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680" yWindow="2295" windowWidth="17520" windowHeight="5850" tabRatio="773"/>
  </bookViews>
  <sheets>
    <sheet name="ImportantDisclosures" sheetId="75" r:id="rId1"/>
    <sheet name="DCF" sheetId="34" r:id="rId2"/>
    <sheet name="MW-Cache" sheetId="42" state="veryHidden" r:id="rId3"/>
    <sheet name="IS" sheetId="1" r:id="rId4"/>
    <sheet name="REVS" sheetId="13" r:id="rId5"/>
    <sheet name="BS" sheetId="2" r:id="rId6"/>
    <sheet name="CF" sheetId="3" r:id="rId7"/>
    <sheet name="Debt" sheetId="22" r:id="rId8"/>
    <sheet name="Product P&amp;L ---&gt;" sheetId="36" r:id="rId9"/>
    <sheet name="Eylea" sheetId="6" r:id="rId10"/>
    <sheet name="Historical Eye Sales" sheetId="35" r:id="rId11"/>
    <sheet name="Zaltrap" sheetId="16" r:id="rId12"/>
    <sheet name="Antibodies" sheetId="17" r:id="rId13"/>
    <sheet name="IO_Antibodies" sheetId="67" r:id="rId14"/>
    <sheet name="Project Costs" sheetId="61" r:id="rId15"/>
    <sheet name="Market Models ---&gt;" sheetId="37" r:id="rId16"/>
    <sheet name="Wet AMD" sheetId="29" r:id="rId17"/>
    <sheet name="DME" sheetId="30" r:id="rId18"/>
    <sheet name="Eylea Dosing Schedule" sheetId="31" r:id="rId19"/>
    <sheet name="PCSK9 Market" sheetId="24" r:id="rId20"/>
    <sheet name="Eosinophilic Asthma" sheetId="25" r:id="rId21"/>
    <sheet name="Atopic Dermatitis" sheetId="26" r:id="rId22"/>
    <sheet name="Historical IL-6 Sales" sheetId="44" r:id="rId23"/>
    <sheet name="IndexInformation" sheetId="76" r:id="rId24"/>
    <sheet name="ModPubIndex" sheetId="77" r:id="rId25"/>
  </sheets>
  <externalReferences>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s>
  <definedNames>
    <definedName name="__a1" hidden="1">{"comp1",#N/A,FALSE,"COMPS";"footnotes",#N/A,FALSE,"COMPS"}</definedName>
    <definedName name="__aa1" hidden="1">{#N/A,#N/A,TRUE,"Pro Forma";#N/A,#N/A,TRUE,"PF_Bal";#N/A,#N/A,TRUE,"PF_INC";#N/A,#N/A,TRUE,"CBE";#N/A,#N/A,TRUE,"SWK"}</definedName>
    <definedName name="__ab1" hidden="1">{"comp1",#N/A,FALSE,"COMPS";"footnotes",#N/A,FALSE,"COMPS"}</definedName>
    <definedName name="__ae1" hidden="1">{#N/A,#N/A,FALSE,"Calc";#N/A,#N/A,FALSE,"Sensitivity";#N/A,#N/A,FALSE,"LT Earn.Dil.";#N/A,#N/A,FALSE,"Dil. AVP"}</definedName>
    <definedName name="__am1" hidden="1">{#N/A,#N/A,TRUE,"Pro Forma";#N/A,#N/A,TRUE,"PF_Bal";#N/A,#N/A,TRUE,"PF_INC";#N/A,#N/A,TRUE,"CBE";#N/A,#N/A,TRUE,"SWK"}</definedName>
    <definedName name="__as1" hidden="1">{"comp1",#N/A,FALSE,"COMPS";"footnotes",#N/A,FALSE,"COMPS"}</definedName>
    <definedName name="__f1" hidden="1">{"assumption cash",#N/A,TRUE,"Merger";"has gets cash",#N/A,TRUE,"Merger";"accretion dilution",#N/A,TRUE,"Merger";"comparison credit stats",#N/A,TRUE,"Merger";"pf credit stats",#N/A,TRUE,"Merger";"pf sheets",#N/A,TRUE,"Merger"}</definedName>
    <definedName name="__FDS_HYPERLINK_TOGGLE_STATE__" hidden="1">"ON"</definedName>
    <definedName name="__FDS_UNIQUE_RANGE_ID_GENERATOR_COUNTER" hidden="1">1</definedName>
    <definedName name="__ik1" hidden="1">{"casespecific",#N/A,FALSE,"Assumptions"}</definedName>
    <definedName name="_1__FDSAUDITLINK__" hidden="1">{"fdsup://directions/FAT Viewer?action=UPDATE&amp;creator=factset&amp;DYN_ARGS=TRUE&amp;DOC_NAME=FAT:FQL_AUDITING_CLIENT_TEMPLATE.FAT&amp;display_string=Audit&amp;VAR:KEY=FUDMZMZIRG&amp;VAR:QUERY=RkZfRUJJVERBX0lCKEFOTiwyMDA4KQ==&amp;WINDOW=FIRST_POPUP&amp;HEIGHT=450&amp;WIDTH=450&amp;START_MAXIMI","ZED=FALSE&amp;VAR:CALENDAR=FIVEDAY&amp;VAR:SYMBOL=PFE&amp;VAR:INDEX=0"}</definedName>
    <definedName name="_10__FDSAUDITLINK__"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0__FDSAUDITLINK__" hidden="1">{"fdsup://directions/FAT Viewer?action=UPDATE&amp;creator=factset&amp;DYN_ARGS=TRUE&amp;DOC_NAME=FAT:FQL_AUDITING_CLIENT_TEMPLATE.FAT&amp;display_string=Audit&amp;VAR:KEY=PSDGZOPMZI&amp;VAR:QUERY=RkZfREVCVChRVFIsMCk=&amp;WINDOW=FIRST_POPUP&amp;HEIGHT=450&amp;WIDTH=450&amp;START_MAXIMIZED=FALSE&amp;VA","R:CALENDAR=FIVEDAY&amp;VAR:SYMBOL=ALXN&amp;VAR:INDEX=0"}</definedName>
    <definedName name="_101__FDSAUDITLINK__" hidden="1">{"fdsup://Directions/FactSet Auditing Viewer?action=AUDIT_VALUE&amp;DB=129&amp;ID1=03116210&amp;VALUEID=02001&amp;SDATE=201102&amp;PERIODTYPE=QTR_STD&amp;SCFT=3&amp;window=popup_no_bar&amp;width=385&amp;height=120&amp;START_MAXIMIZED=FALSE&amp;creator=factset&amp;display_string=Audit"}</definedName>
    <definedName name="_102__FDSAUDITLINK__" hidden="1">{"fdsup://directions/FAT Viewer?action=UPDATE&amp;creator=factset&amp;DYN_ARGS=TRUE&amp;DOC_NAME=FAT:FQL_AUDITING_CLIENT_TEMPLATE.FAT&amp;display_string=Audit&amp;VAR:KEY=VSXYLYBGBQ&amp;VAR:QUERY=RkZfREVCVChRVFIsMCk=&amp;WINDOW=FIRST_POPUP&amp;HEIGHT=450&amp;WIDTH=450&amp;START_MAXIMIZED=FALSE&amp;VA","R:CALENDAR=FIVEDAY&amp;VAR:SYMBOL=AMGN&amp;VAR:INDEX=0"}</definedName>
    <definedName name="_103__FDSAUDITLINK__" hidden="1">{"fdsup://Directions/FactSet Auditing Viewer?action=AUDIT_VALUE&amp;DB=129&amp;ID1=09062X10&amp;VALUEID=02001&amp;SDATE=201102&amp;PERIODTYPE=QTR_STD&amp;SCFT=3&amp;window=popup_no_bar&amp;width=385&amp;height=120&amp;START_MAXIMIZED=FALSE&amp;creator=factset&amp;display_string=Audit"}</definedName>
    <definedName name="_104__FDSAUDITLINK__" hidden="1">{"fdsup://directions/FAT Viewer?action=UPDATE&amp;creator=factset&amp;DYN_ARGS=TRUE&amp;DOC_NAME=FAT:FQL_AUDITING_CLIENT_TEMPLATE.FAT&amp;display_string=Audit&amp;VAR:KEY=VMDCDAZUDU&amp;VAR:QUERY=RkZfREVCVChRVFIsMCk=&amp;WINDOW=FIRST_POPUP&amp;HEIGHT=450&amp;WIDTH=450&amp;START_MAXIMIZED=FALSE&amp;VA","R:CALENDAR=FIVEDAY&amp;VAR:SYMBOL=BIIB&amp;VAR:INDEX=0"}</definedName>
    <definedName name="_105__FDSAUDITLINK__" hidden="1">{"fdsup://Directions/FactSet Auditing Viewer?action=AUDIT_VALUE&amp;DB=129&amp;ID1=15102010&amp;VALUEID=02001&amp;SDATE=201102&amp;PERIODTYPE=QTR_STD&amp;SCFT=3&amp;window=popup_no_bar&amp;width=385&amp;height=120&amp;START_MAXIMIZED=FALSE&amp;creator=factset&amp;display_string=Audit"}</definedName>
    <definedName name="_106__FDSAUDITLINK__" hidden="1">{"fdsup://directions/FAT Viewer?action=UPDATE&amp;creator=factset&amp;DYN_ARGS=TRUE&amp;DOC_NAME=FAT:FQL_AUDITING_CLIENT_TEMPLATE.FAT&amp;display_string=Audit&amp;VAR:KEY=PAZYDCHIJW&amp;VAR:QUERY=RkZfREVCVChRVFIsMCk=&amp;WINDOW=FIRST_POPUP&amp;HEIGHT=450&amp;WIDTH=450&amp;START_MAXIMIZED=FALSE&amp;VA","R:CALENDAR=FIVEDAY&amp;VAR:SYMBOL=CELG&amp;VAR:INDEX=0"}</definedName>
    <definedName name="_107__FDSAUDITLINK__" hidden="1">{"fdsup://Directions/FactSet Auditing Viewer?action=AUDIT_VALUE&amp;DB=129&amp;ID1=37555810&amp;VALUEID=02001&amp;SDATE=201102&amp;PERIODTYPE=QTR_STD&amp;SCFT=3&amp;window=popup_no_bar&amp;width=385&amp;height=120&amp;START_MAXIMIZED=FALSE&amp;creator=factset&amp;display_string=Audit"}</definedName>
    <definedName name="_108__FDSAUDITLINK__" hidden="1">{"fdsup://directions/FAT Viewer?action=UPDATE&amp;creator=factset&amp;DYN_ARGS=TRUE&amp;DOC_NAME=FAT:FQL_AUDITING_CLIENT_TEMPLATE.FAT&amp;display_string=Audit&amp;VAR:KEY=JEFCXSDILQ&amp;VAR:QUERY=RkZfREVCVChRVFIsMCk=&amp;WINDOW=FIRST_POPUP&amp;HEIGHT=450&amp;WIDTH=450&amp;START_MAXIMIZED=FALSE&amp;VA","R:CALENDAR=FIVEDAY&amp;VAR:SYMBOL=GILD&amp;VAR:INDEX=0"}</definedName>
    <definedName name="_109__FDSAUDITLINK__" hidden="1">{"fdsup://Directions/FactSet Auditing Viewer?action=AUDIT_VALUE&amp;DB=129&amp;ID1=01849010&amp;VALUEID=02001&amp;SDATE=201102&amp;PERIODTYPE=QTR_STD&amp;SCFT=3&amp;window=popup_no_bar&amp;width=385&amp;height=120&amp;START_MAXIMIZED=FALSE&amp;creator=factset&amp;display_string=Audit"}</definedName>
    <definedName name="_11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0__FDSAUDITLINK__" hidden="1">{"fdsup://directions/FAT Viewer?action=UPDATE&amp;creator=factset&amp;DYN_ARGS=TRUE&amp;DOC_NAME=FAT:FQL_AUDITING_CLIENT_TEMPLATE.FAT&amp;display_string=Audit&amp;VAR:KEY=VUZWFCLEDW&amp;VAR:QUERY=RkZfREVCVChRVFIsMCk=&amp;WINDOW=FIRST_POPUP&amp;HEIGHT=450&amp;WIDTH=450&amp;START_MAXIMIZED=FALSE&amp;VA","R:CALENDAR=FIVEDAY&amp;VAR:SYMBOL=AGN&amp;VAR:INDEX=0"}</definedName>
    <definedName name="_111__FDSAUDITLINK__" hidden="1">{"fdsup://Directions/FactSet Auditing Viewer?action=AUDIT_VALUE&amp;DB=129&amp;ID1=15670810&amp;VALUEID=02001&amp;SDATE=201102&amp;PERIODTYPE=QTR_STD&amp;SCFT=3&amp;window=popup_no_bar&amp;width=385&amp;height=120&amp;START_MAXIMIZED=FALSE&amp;creator=factset&amp;display_string=Audit"}</definedName>
    <definedName name="_112__FDSAUDITLINK__" hidden="1">{"fdsup://directions/FAT Viewer?action=UPDATE&amp;creator=factset&amp;DYN_ARGS=TRUE&amp;DOC_NAME=FAT:FQL_AUDITING_CLIENT_TEMPLATE.FAT&amp;display_string=Audit&amp;VAR:KEY=BCLCTSFIVE&amp;VAR:QUERY=RkZfREVCVChRVFIsMCk=&amp;WINDOW=FIRST_POPUP&amp;HEIGHT=450&amp;WIDTH=450&amp;START_MAXIMIZED=FALSE&amp;VA","R:CALENDAR=FIVEDAY&amp;VAR:SYMBOL=CEPH&amp;VAR:INDEX=0"}</definedName>
    <definedName name="_113__FDSAUDITLINK__" hidden="1">{"fdsup://Directions/FactSet Auditing Viewer?action=AUDIT_VALUE&amp;DB=129&amp;ID1=29264F20&amp;VALUEID=02001&amp;SDATE=201102&amp;PERIODTYPE=QTR_STD&amp;SCFT=3&amp;window=popup_no_bar&amp;width=385&amp;height=120&amp;START_MAXIMIZED=FALSE&amp;creator=factset&amp;display_string=Audit"}</definedName>
    <definedName name="_114__FDSAUDITLINK__" hidden="1">{"fdsup://directions/FAT Viewer?action=UPDATE&amp;creator=factset&amp;DYN_ARGS=TRUE&amp;DOC_NAME=FAT:FQL_AUDITING_CLIENT_TEMPLATE.FAT&amp;display_string=Audit&amp;VAR:KEY=VIDYPCHCVC&amp;VAR:QUERY=RkZfREVCVChRVFIsMCk=&amp;WINDOW=FIRST_POPUP&amp;HEIGHT=450&amp;WIDTH=450&amp;START_MAXIMIZED=FALSE&amp;VA","R:CALENDAR=FIVEDAY&amp;VAR:SYMBOL=ENDP&amp;VAR:INDEX=0"}</definedName>
    <definedName name="_115__FDSAUDITLINK__" hidden="1">{"fdsup://Directions/FactSet Auditing Viewer?action=AUDIT_VALUE&amp;DB=129&amp;ID1=34583810&amp;VALUEID=02001&amp;SDATE=201101&amp;PERIODTYPE=QTR_STD&amp;SCFT=3&amp;window=popup_no_bar&amp;width=385&amp;height=120&amp;START_MAXIMIZED=FALSE&amp;creator=factset&amp;display_string=Audit"}</definedName>
    <definedName name="_116__FDSAUDITLINK__" hidden="1">{"fdsup://directions/FAT Viewer?action=UPDATE&amp;creator=factset&amp;DYN_ARGS=TRUE&amp;DOC_NAME=FAT:FQL_AUDITING_CLIENT_TEMPLATE.FAT&amp;display_string=Audit&amp;VAR:KEY=VSVENCJCNO&amp;VAR:QUERY=RkZfREVCVChRVFIsMCk=&amp;WINDOW=FIRST_POPUP&amp;HEIGHT=450&amp;WIDTH=450&amp;START_MAXIMIZED=FALSE&amp;VA","R:CALENDAR=FIVEDAY&amp;VAR:SYMBOL=FRX&amp;VAR:INDEX=0"}</definedName>
    <definedName name="_117__FDSAUDITLINK__" hidden="1">{"fdsup://Directions/FactSet Auditing Viewer?action=AUDIT_VALUE&amp;DB=129&amp;ID1=47214710&amp;VALUEID=02001&amp;SDATE=201102&amp;PERIODTYPE=QTR_STD&amp;SCFT=3&amp;window=popup_no_bar&amp;width=385&amp;height=120&amp;START_MAXIMIZED=FALSE&amp;creator=factset&amp;display_string=Audit"}</definedName>
    <definedName name="_118__FDSAUDITLINK__" hidden="1">{"fdsup://directions/FAT Viewer?action=UPDATE&amp;creator=factset&amp;DYN_ARGS=TRUE&amp;DOC_NAME=FAT:FQL_AUDITING_CLIENT_TEMPLATE.FAT&amp;display_string=Audit&amp;VAR:KEY=FUTILMFCBM&amp;VAR:QUERY=RkZfREVCVChRVFIsMCk=&amp;WINDOW=FIRST_POPUP&amp;HEIGHT=450&amp;WIDTH=450&amp;START_MAXIMIZED=FALSE&amp;VA","R:CALENDAR=FIVEDAY&amp;VAR:SYMBOL=JAZZ&amp;VAR:INDEX=0"}</definedName>
    <definedName name="_119__FDSAUDITLINK__" hidden="1">{"fdsup://Directions/FactSet Auditing Viewer?action=AUDIT_VALUE&amp;DB=129&amp;ID1=58469030&amp;VALUEID=02001&amp;SDATE=201102&amp;PERIODTYPE=QTR_STD&amp;SCFT=3&amp;window=popup_no_bar&amp;width=385&amp;height=120&amp;START_MAXIMIZED=FALSE&amp;creator=factset&amp;display_string=Audit"}</definedName>
    <definedName name="_12__FDSAUDITLINK__"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0__FDSAUDITLINK__" hidden="1">{"fdsup://directions/FAT Viewer?action=UPDATE&amp;creator=factset&amp;DYN_ARGS=TRUE&amp;DOC_NAME=FAT:FQL_AUDITING_CLIENT_TEMPLATE.FAT&amp;display_string=Audit&amp;VAR:KEY=FGNOVMBIZI&amp;VAR:QUERY=RkZfREVCVChRVFIsMCk=&amp;WINDOW=FIRST_POPUP&amp;HEIGHT=450&amp;WIDTH=450&amp;START_MAXIMIZED=FALSE&amp;VA","R:CALENDAR=FIVEDAY&amp;VAR:SYMBOL=MRX&amp;VAR:INDEX=0"}</definedName>
    <definedName name="_121__FDSAUDITLINK__" hidden="1">{"fdsup://Directions/FactSet Auditing Viewer?action=AUDIT_VALUE&amp;DB=129&amp;ID1=79543510&amp;VALUEID=02001&amp;SDATE=201102&amp;PERIODTYPE=QTR_STD&amp;SCFT=3&amp;window=popup_no_bar&amp;width=385&amp;height=120&amp;START_MAXIMIZED=FALSE&amp;creator=factset&amp;display_string=Audit"}</definedName>
    <definedName name="_122__FDSAUDITLINK__" hidden="1">{"fdsup://directions/FAT Viewer?action=UPDATE&amp;creator=factset&amp;DYN_ARGS=TRUE&amp;DOC_NAME=FAT:FQL_AUDITING_CLIENT_TEMPLATE.FAT&amp;display_string=Audit&amp;VAR:KEY=ZUTEFOPYRO&amp;VAR:QUERY=RkZfREVCVChRVFIsMCk=&amp;WINDOW=FIRST_POPUP&amp;HEIGHT=450&amp;WIDTH=450&amp;START_MAXIMIZED=FALSE&amp;VA","R:CALENDAR=FIVEDAY&amp;VAR:SYMBOL=SLXP&amp;VAR:INDEX=0"}</definedName>
    <definedName name="_123__FDSAUDITLINK__" hidden="1">{"fdsup://directions/FAT Viewer?action=UPDATE&amp;creator=factset&amp;DYN_ARGS=TRUE&amp;DOC_NAME=FAT:FQL_AUDITING_CLIENT_TEMPLATE.FAT&amp;display_string=Audit&amp;VAR:KEY=PYDEHOFGDK&amp;VAR:QUERY=RkZfREVCVChRVFIsMCk=&amp;WINDOW=FIRST_POPUP&amp;HEIGHT=450&amp;WIDTH=450&amp;START_MAXIMIZED=FALSE&amp;VA","R:CALENDAR=FIVEDAY&amp;VAR:SYMBOL=VRX&amp;VAR:INDEX=0"}</definedName>
    <definedName name="_124__FDSAUDITLINK__" hidden="1">{"fdsup://Directions/FactSet Auditing Viewer?action=AUDIT_VALUE&amp;DB=129&amp;ID1=92824110&amp;VALUEID=02001&amp;SDATE=201102&amp;PERIODTYPE=QTR_STD&amp;SCFT=3&amp;window=popup_no_bar&amp;width=385&amp;height=120&amp;START_MAXIMIZED=FALSE&amp;creator=factset&amp;display_string=Audit"}</definedName>
    <definedName name="_125__FDSAUDITLINK__" hidden="1">{"fdsup://directions/FAT Viewer?action=UPDATE&amp;creator=factset&amp;DYN_ARGS=TRUE&amp;DOC_NAME=FAT:FQL_AUDITING_CLIENT_TEMPLATE.FAT&amp;display_string=Audit&amp;VAR:KEY=VYLUTCPEFG&amp;VAR:QUERY=RkZfREVCVChRVFIsMCk=&amp;WINDOW=FIRST_POPUP&amp;HEIGHT=450&amp;WIDTH=450&amp;START_MAXIMIZED=FALSE&amp;VA","R:CALENDAR=FIVEDAY&amp;VAR:SYMBOL=VPHM&amp;VAR:INDEX=0"}</definedName>
    <definedName name="_126__FDSAUDITLINK__" hidden="1">{"fdsup://Directions/FactSet Auditing Viewer?action=AUDIT_VALUE&amp;DB=129&amp;ID1=G9436810&amp;VALUEID=02001&amp;SDATE=201102&amp;PERIODTYPE=QTR_STD&amp;SCFT=3&amp;window=popup_no_bar&amp;width=385&amp;height=120&amp;START_MAXIMIZED=FALSE&amp;creator=factset&amp;display_string=Audit"}</definedName>
    <definedName name="_127__FDSAUDITLINK__" hidden="1">{"fdsup://directions/FAT Viewer?action=UPDATE&amp;creator=factset&amp;DYN_ARGS=TRUE&amp;DOC_NAME=FAT:FQL_AUDITING_CLIENT_TEMPLATE.FAT&amp;display_string=Audit&amp;VAR:KEY=VOFGXWTOLW&amp;VAR:QUERY=RkZfREVCVChRVFIsMCk=&amp;WINDOW=FIRST_POPUP&amp;HEIGHT=450&amp;WIDTH=450&amp;START_MAXIMIZED=FALSE&amp;VA","R:CALENDAR=FIVEDAY&amp;VAR:SYMBOL=WCRX&amp;VAR:INDEX=0"}</definedName>
    <definedName name="_128__FDSAUDITLINK__" hidden="1">{"fdsup://Directions/FactSet Auditing Viewer?action=AUDIT_VALUE&amp;DB=129&amp;ID1=42840B10&amp;VALUEID=02001&amp;SDATE=201004&amp;PERIODTYPE=QTR_STD&amp;SCFT=3&amp;window=popup_no_bar&amp;width=385&amp;height=120&amp;START_MAXIMIZED=FALSE&amp;creator=factset&amp;display_string=Audit"}</definedName>
    <definedName name="_129__FDSAUDITLINK__" hidden="1">{"fdsup://directions/FAT Viewer?action=UPDATE&amp;creator=factset&amp;DYN_ARGS=TRUE&amp;DOC_NAME=FAT:FQL_AUDITING_CLIENT_TEMPLATE.FAT&amp;display_string=Audit&amp;VAR:KEY=HQPMJKLSBE&amp;VAR:QUERY=RkZfREVCVChRVFIsMCk=&amp;WINDOW=FIRST_POPUP&amp;HEIGHT=450&amp;WIDTH=450&amp;START_MAXIMIZED=FALSE&amp;VA","R:CALENDAR=FIVEDAY&amp;VAR:SYMBOL=HITK&amp;VAR:INDEX=0"}</definedName>
    <definedName name="_13__FDSAUDITLINK__"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0__FDSAUDITLINK__" hidden="1">{"fdsup://Directions/FactSet Auditing Viewer?action=AUDIT_VALUE&amp;DB=129&amp;ID1=44106010&amp;VALUEID=02001&amp;SDATE=201102&amp;PERIODTYPE=QTR_STD&amp;SCFT=3&amp;window=popup_no_bar&amp;width=385&amp;height=120&amp;START_MAXIMIZED=FALSE&amp;creator=factset&amp;display_string=Audit"}</definedName>
    <definedName name="_131__FDSAUDITLINK__" hidden="1">{"fdsup://directions/FAT Viewer?action=UPDATE&amp;creator=factset&amp;DYN_ARGS=TRUE&amp;DOC_NAME=FAT:FQL_AUDITING_CLIENT_TEMPLATE.FAT&amp;display_string=Audit&amp;VAR:KEY=JOVQVKXOTE&amp;VAR:QUERY=RkZfREVCVChRVFIsMCk=&amp;WINDOW=FIRST_POPUP&amp;HEIGHT=450&amp;WIDTH=450&amp;START_MAXIMIZED=FALSE&amp;VA","R:CALENDAR=FIVEDAY&amp;VAR:SYMBOL=HSP&amp;VAR:INDEX=0"}</definedName>
    <definedName name="_132__FDSAUDITLINK__" hidden="1">{"fdsup://Directions/FactSet Auditing Viewer?action=AUDIT_VALUE&amp;DB=129&amp;ID1=45256B10&amp;VALUEID=02001&amp;SDATE=201102&amp;PERIODTYPE=QTR_STD&amp;SCFT=3&amp;window=popup_no_bar&amp;width=385&amp;height=120&amp;START_MAXIMIZED=FALSE&amp;creator=factset&amp;display_string=Audit"}</definedName>
    <definedName name="_133__FDSAUDITLINK__" hidden="1">{"fdsup://directions/FAT Viewer?action=UPDATE&amp;creator=factset&amp;DYN_ARGS=TRUE&amp;DOC_NAME=FAT:FQL_AUDITING_CLIENT_TEMPLATE.FAT&amp;display_string=Audit&amp;VAR:KEY=HUNQXUHUPG&amp;VAR:QUERY=RkZfREVCVChRVFIsMCk=&amp;WINDOW=FIRST_POPUP&amp;HEIGHT=450&amp;WIDTH=450&amp;START_MAXIMIZED=FALSE&amp;VA","R:CALENDAR=FIVEDAY&amp;VAR:SYMBOL=IPXL&amp;VAR:INDEX=0"}</definedName>
    <definedName name="_134__FDSAUDITLINK__" hidden="1">{"fdsup://Directions/FactSet Auditing Viewer?action=AUDIT_VALUE&amp;DB=129&amp;ID1=62853010&amp;VALUEID=02001&amp;SDATE=201102&amp;PERIODTYPE=QTR_STD&amp;SCFT=3&amp;window=popup_no_bar&amp;width=385&amp;height=120&amp;START_MAXIMIZED=FALSE&amp;creator=factset&amp;display_string=Audit"}</definedName>
    <definedName name="_135__FDSAUDITLINK__" hidden="1">{"fdsup://directions/FAT Viewer?action=UPDATE&amp;creator=factset&amp;DYN_ARGS=TRUE&amp;DOC_NAME=FAT:FQL_AUDITING_CLIENT_TEMPLATE.FAT&amp;display_string=Audit&amp;VAR:KEY=LGRYPMTCTO&amp;VAR:QUERY=RkZfREVCVChRVFIsMCk=&amp;WINDOW=FIRST_POPUP&amp;HEIGHT=450&amp;WIDTH=450&amp;START_MAXIMIZED=FALSE&amp;VA","R:CALENDAR=FIVEDAY&amp;VAR:SYMBOL=MYL&amp;VAR:INDEX=0"}</definedName>
    <definedName name="_136__FDSAUDITLINK__" hidden="1">{"fdsup://Directions/FactSet Auditing Viewer?action=AUDIT_VALUE&amp;DB=129&amp;ID1=71429010&amp;VALUEID=02001&amp;SDATE=201104&amp;PERIODTYPE=QTR_STD&amp;SCFT=3&amp;window=popup_no_bar&amp;width=385&amp;height=120&amp;START_MAXIMIZED=FALSE&amp;creator=factset&amp;display_string=Audit"}</definedName>
    <definedName name="_137__FDSAUDITLINK__" hidden="1">{"fdsup://directions/FAT Viewer?action=UPDATE&amp;creator=factset&amp;DYN_ARGS=TRUE&amp;DOC_NAME=FAT:FQL_AUDITING_CLIENT_TEMPLATE.FAT&amp;display_string=Audit&amp;VAR:KEY=LMPYFOLSXK&amp;VAR:QUERY=RkZfREVCVChRVFIsMCk=&amp;WINDOW=FIRST_POPUP&amp;HEIGHT=450&amp;WIDTH=450&amp;START_MAXIMIZED=FALSE&amp;VA","R:CALENDAR=FIVEDAY&amp;VAR:SYMBOL=PRGO&amp;VAR:INDEX=0"}</definedName>
    <definedName name="_138__FDSAUDITLINK__" hidden="1">{"fdsup://Directions/FactSet Auditing Viewer?action=AUDIT_VALUE&amp;DB=129&amp;ID1=69888P10&amp;VALUEID=02001&amp;SDATE=201102&amp;PERIODTYPE=QTR_STD&amp;SCFT=3&amp;window=popup_no_bar&amp;width=385&amp;height=120&amp;START_MAXIMIZED=FALSE&amp;creator=factset&amp;display_string=Audit"}</definedName>
    <definedName name="_139__FDSAUDITLINK__" hidden="1">{"fdsup://directions/FAT Viewer?action=UPDATE&amp;creator=factset&amp;DYN_ARGS=TRUE&amp;DOC_NAME=FAT:FQL_AUDITING_CLIENT_TEMPLATE.FAT&amp;display_string=Audit&amp;VAR:KEY=ZSVYTCNSBU&amp;VAR:QUERY=RkZfREVCVChRVFIsMCk=&amp;WINDOW=FIRST_POPUP&amp;HEIGHT=450&amp;WIDTH=450&amp;START_MAXIMIZED=FALSE&amp;VA","R:CALENDAR=FIVEDAY&amp;VAR:SYMBOL=PRX&amp;VAR:INDEX=0"}</definedName>
    <definedName name="_14__FDSAUDITLINK__"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0__FDSAUDITLINK__" hidden="1">{"fdsup://Directions/FactSet Auditing Viewer?action=AUDIT_VALUE&amp;DB=129&amp;ID1=78669210&amp;VALUEID=02001&amp;SDATE=201102&amp;PERIODTYPE=QTR_STD&amp;SCFT=3&amp;window=popup_no_bar&amp;width=385&amp;height=120&amp;START_MAXIMIZED=FALSE&amp;creator=factset&amp;display_string=Audit"}</definedName>
    <definedName name="_141__FDSAUDITLINK__" hidden="1">{"fdsup://directions/FAT Viewer?action=UPDATE&amp;creator=factset&amp;DYN_ARGS=TRUE&amp;DOC_NAME=FAT:FQL_AUDITING_CLIENT_TEMPLATE.FAT&amp;display_string=Audit&amp;VAR:KEY=FGXQXCPORU&amp;VAR:QUERY=RkZfREVCVChRVFIsMCk=&amp;WINDOW=FIRST_POPUP&amp;HEIGHT=450&amp;WIDTH=450&amp;START_MAXIMIZED=FALSE&amp;VA","R:CALENDAR=FIVEDAY&amp;VAR:SYMBOL=SGNT&amp;VAR:INDEX=0"}</definedName>
    <definedName name="_142__FDSAUDITLINK__" hidden="1">{"fdsup://directions/FAT Viewer?action=UPDATE&amp;creator=factset&amp;DYN_ARGS=TRUE&amp;DOC_NAME=FAT:FQL_AUDITING_CLIENT_TEMPLATE.FAT&amp;display_string=Audit&amp;VAR:KEY=POJIJMTWHO&amp;VAR:QUERY=RkZfREVCVChRVFIsMCk=&amp;WINDOW=FIRST_POPUP&amp;HEIGHT=450&amp;WIDTH=450&amp;START_MAXIMIZED=FALSE&amp;VA","R:CALENDAR=FIVEDAY&amp;VAR:SYMBOL=TEVA&amp;VAR:INDEX=0"}</definedName>
    <definedName name="_143__FDSAUDITLINK__" hidden="1">{"fdsup://Directions/FactSet Auditing Viewer?action=AUDIT_VALUE&amp;DB=129&amp;ID1=94268310&amp;VALUEID=02001&amp;SDATE=201102&amp;PERIODTYPE=QTR_STD&amp;SCFT=3&amp;window=popup_no_bar&amp;width=385&amp;height=120&amp;START_MAXIMIZED=FALSE&amp;creator=factset&amp;display_string=Audit"}</definedName>
    <definedName name="_144__FDSAUDITLINK__" hidden="1">{"fdsup://directions/FAT Viewer?action=UPDATE&amp;creator=factset&amp;DYN_ARGS=TRUE&amp;DOC_NAME=FAT:FQL_AUDITING_CLIENT_TEMPLATE.FAT&amp;display_string=Audit&amp;VAR:KEY=ZIBYFOFQBU&amp;VAR:QUERY=RkZfREVCVChRVFIsMCk=&amp;WINDOW=FIRST_POPUP&amp;HEIGHT=450&amp;WIDTH=450&amp;START_MAXIMIZED=FALSE&amp;VA","R:CALENDAR=FIVEDAY&amp;VAR:SYMBOL=WPI&amp;VAR:INDEX=0"}</definedName>
    <definedName name="_145__FDSAUDITLINK__" hidden="1">{"fdsup://directions/FAT Viewer?action=UPDATE&amp;creator=factset&amp;DYN_ARGS=TRUE&amp;DOC_NAME=FAT:FQL_AUDITING_CLIENT_TEMPLATE.FAT&amp;display_string=Audit&amp;VAR:KEY=ZYZQZMRURU&amp;VAR:QUERY=RkZfREVCVChRVFIsMCk=&amp;WINDOW=FIRST_POPUP&amp;HEIGHT=450&amp;WIDTH=450&amp;START_MAXIMIZED=FALSE&amp;VA","R:CALENDAR=FIVEDAY&amp;VAR:SYMBOL=SP50&amp;VAR:INDEX=0"}</definedName>
    <definedName name="_146__FDSAUDITLINK__" hidden="1">{"fdsup://directions/FAT Viewer?action=UPDATE&amp;creator=factset&amp;DYN_ARGS=TRUE&amp;DOC_NAME=FAT:FQL_AUDITING_CLIENT_TEMPLATE.FAT&amp;display_string=Audit&amp;VAR:KEY=ZWXQZQFWZW&amp;VAR:QUERY=RkZfREVCVChRVFIsMCk=&amp;WINDOW=FIRST_POPUP&amp;HEIGHT=450&amp;WIDTH=450&amp;START_MAXIMIZED=FALSE&amp;VA","R:CALENDAR=FIVEDAY&amp;VAR:SYMBOL=SP565&amp;VAR:INDEX=0"}</definedName>
    <definedName name="_147__FDSAUDITLINK__" hidden="1">{"fdsup://directions/FAT Viewer?action=UPDATE&amp;creator=factset&amp;DYN_ARGS=TRUE&amp;DOC_NAME=FAT:FQL_AUDITING_CLIENT_TEMPLATE.FAT&amp;display_string=Audit&amp;VAR:KEY=DSDATGHMDG&amp;VAR:QUERY=RkZfREVCVChRVFIsMCk=&amp;WINDOW=FIRST_POPUP&amp;HEIGHT=450&amp;WIDTH=450&amp;START_MAXIMIZED=FALSE&amp;VA","R:CALENDAR=FIVEDAY&amp;VAR:SYMBOL=DRG&amp;VAR:INDEX=0"}</definedName>
    <definedName name="_15__FDSAUDITLINK__"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7__FDSAUDITLINK__"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8__FDSAUDITLINK__"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__FDSAUDITLINK__" hidden="1">{"fdsup://directions/FAT Viewer?action=UPDATE&amp;creator=factset&amp;DYN_ARGS=TRUE&amp;DOC_NAME=FAT:FQL_AUDITING_CLIENT_TEMPLATE.FAT&amp;display_string=Audit&amp;VAR:KEY=ZMPOLWNEPK&amp;VAR:QUERY=RkZfRUJJVERBX0lCKEFOTiwyMDA3KQ==&amp;WINDOW=FIRST_POPUP&amp;HEIGHT=450&amp;WIDTH=450&amp;START_MAXIMI","ZED=FALSE&amp;VAR:CALENDAR=FIVEDAY&amp;VAR:SYMBOL=PFE&amp;VAR:INDEX=0"}</definedName>
    <definedName name="_20__FDSAUDITLINK__"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9__FDSAUDITLINK__" hidden="1">{"fdsup://directions/FAT Viewer?action=UPDATE&amp;creator=factset&amp;DYN_ARGS=TRUE&amp;DOC_NAME=FAT:FQL_AUDITING_CLIENT_TEMPLATE.FAT&amp;display_string=Audit&amp;VAR:KEY=PUPARQXUXG&amp;VAR:QUERY=RkZfUEFZX09VVF9SQVRJTyhBTk4sTk9XKQ==&amp;WINDOW=FIRST_POPUP&amp;HEIGHT=450&amp;WIDTH=450&amp;START_MA","XIMIZED=FALSE&amp;VAR:CALENDAR=FIVEDAY&amp;VAR:SYMBOL=AMGN&amp;VAR:INDEX=0"}</definedName>
    <definedName name="_3__FDSAUDITLINK__" hidden="1">{"fdsup://directions/FAT Viewer?action=UPDATE&amp;creator=factset&amp;DYN_ARGS=TRUE&amp;DOC_NAME=FAT:FQL_AUDITING_CLIENT_TEMPLATE.FAT&amp;display_string=Audit&amp;VAR:KEY=JELGTKDCPC&amp;VAR:QUERY=RkZfRUJJVERBX0lCKEFOTiwyMDA2KQ==&amp;WINDOW=FIRST_POPUP&amp;HEIGHT=450&amp;WIDTH=450&amp;START_MAXIMI","ZED=FALSE&amp;VAR:CALENDAR=FIVEDAY&amp;VAR:SYMBOL=PFE&amp;VAR:INDEX=0"}</definedName>
    <definedName name="_30__FDSAUDITLINK__" hidden="1">{"fdsup://directions/FAT Viewer?action=UPDATE&amp;creator=factset&amp;DYN_ARGS=TRUE&amp;DOC_NAME=FAT:FQL_AUDITING_CLIENT_TEMPLATE.FAT&amp;display_string=Audit&amp;VAR:KEY=NOBIVMNGPE&amp;VAR:QUERY=RkZfUEFZX09VVF9SQVRJTyhBTk4sTk9XKQ==&amp;WINDOW=FIRST_POPUP&amp;HEIGHT=450&amp;WIDTH=450&amp;START_MA","XIMIZED=FALSE&amp;VAR:CALENDAR=FIVEDAY&amp;VAR:SYMBOL=ALXN&amp;VAR:INDEX=0"}</definedName>
    <definedName name="_38__FDSAUDITLINK__" hidden="1">{"fdsup://directions/FAT Viewer?action=UPDATE&amp;creator=factset&amp;DYN_ARGS=TRUE&amp;DOC_NAME=FAT:FQL_AUDITING_CLIENT_TEMPLATE.FAT&amp;display_string=Audit&amp;VAR:KEY=NQHQDUZKFC&amp;VAR:QUERY=RkZfUEFZX09VVF9SQVRJTyhBTk4sTk9XKQ==&amp;WINDOW=FIRST_POPUP&amp;HEIGHT=450&amp;WIDTH=450&amp;START_MA","XIMIZED=FALSE&amp;VAR:CALENDAR=FIVEDAY&amp;VAR:SYMBOL=BAYRY&amp;VAR:INDEX=0"}</definedName>
    <definedName name="_39__FDSAUDITLINK__" hidden="1">{"fdsup://directions/FAT Viewer?action=UPDATE&amp;creator=factset&amp;DYN_ARGS=TRUE&amp;DOC_NAME=FAT:FQL_AUDITING_CLIENT_TEMPLATE.FAT&amp;display_string=Audit&amp;VAR:KEY=LOPGHWHAPU&amp;VAR:QUERY=RkZfUEFZX09VVF9SQVRJTyhBTk4sTk9XKQ==&amp;WINDOW=FIRST_POPUP&amp;HEIGHT=450&amp;WIDTH=450&amp;START_MA","XIMIZED=FALSE&amp;VAR:CALENDAR=FIVEDAY&amp;VAR:SYMBOL=AZN&amp;VAR:INDEX=0"}</definedName>
    <definedName name="_4__FDSAUDITLINK__"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40__FDSAUDITLINK__" hidden="1">{"fdsup://directions/FAT Viewer?action=UPDATE&amp;creator=factset&amp;DYN_ARGS=TRUE&amp;DOC_NAME=FAT:FQL_AUDITING_CLIENT_TEMPLATE.FAT&amp;display_string=Audit&amp;VAR:KEY=ZCLCRSDAPS&amp;VAR:QUERY=RkZfUEFZX09VVF9SQVRJTyhBTk4sTk9XKQ==&amp;WINDOW=FIRST_POPUP&amp;HEIGHT=450&amp;WIDTH=450&amp;START_MA","XIMIZED=FALSE&amp;VAR:CALENDAR=FIVEDAY&amp;VAR:SYMBOL=PFE&amp;VAR:INDEX=0"}</definedName>
    <definedName name="_41__FDSAUDITLINK__" hidden="1">{"fdsup://directions/FAT Viewer?action=UPDATE&amp;creator=factset&amp;DYN_ARGS=TRUE&amp;DOC_NAME=FAT:FQL_AUDITING_CLIENT_TEMPLATE.FAT&amp;display_string=Audit&amp;VAR:KEY=BYLCVWFIZG&amp;VAR:QUERY=RkZfUEFZX09VVF9SQVRJTyhBTk4sTk9XKQ==&amp;WINDOW=FIRST_POPUP&amp;HEIGHT=450&amp;WIDTH=450&amp;START_MA","XIMIZED=FALSE&amp;VAR:CALENDAR=FIVEDAY&amp;VAR:SYMBOL=MRK&amp;VAR:INDEX=0"}</definedName>
    <definedName name="_42__FDSAUDITLINK__" hidden="1">{"fdsup://directions/FAT Viewer?action=UPDATE&amp;creator=factset&amp;DYN_ARGS=TRUE&amp;DOC_NAME=FAT:FQL_AUDITING_CLIENT_TEMPLATE.FAT&amp;display_string=Audit&amp;VAR:KEY=ZIRGRQDQTW&amp;VAR:QUERY=RkZfUEFZX09VVF9SQVRJTyhBTk4sTk9XKQ==&amp;WINDOW=FIRST_POPUP&amp;HEIGHT=450&amp;WIDTH=450&amp;START_MA","XIMIZED=FALSE&amp;VAR:CALENDAR=FIVEDAY&amp;VAR:SYMBOL=LLY&amp;VAR:INDEX=0"}</definedName>
    <definedName name="_43__FDSAUDITLINK__" hidden="1">{"fdsup://directions/FAT Viewer?action=UPDATE&amp;creator=factset&amp;DYN_ARGS=TRUE&amp;DOC_NAME=FAT:FQL_AUDITING_CLIENT_TEMPLATE.FAT&amp;display_string=Audit&amp;VAR:KEY=NEPKPEBABG&amp;VAR:QUERY=RkZfUEFZX09VVF9SQVRJTyhBTk4sTk9XKQ==&amp;WINDOW=FIRST_POPUP&amp;HEIGHT=450&amp;WIDTH=450&amp;START_MA","XIMIZED=FALSE&amp;VAR:CALENDAR=FIVEDAY&amp;VAR:SYMBOL=JNJ&amp;VAR:INDEX=0"}</definedName>
    <definedName name="_44__FDSAUDITLINK__" hidden="1">{"fdsup://directions/FAT Viewer?action=UPDATE&amp;creator=factset&amp;DYN_ARGS=TRUE&amp;DOC_NAME=FAT:FQL_AUDITING_CLIENT_TEMPLATE.FAT&amp;display_string=Audit&amp;VAR:KEY=DCPCRGJOXS&amp;VAR:QUERY=RkZfUEFZX09VVF9SQVRJTyhBTk4sTk9XKQ==&amp;WINDOW=FIRST_POPUP&amp;HEIGHT=450&amp;WIDTH=450&amp;START_MA","XIMIZED=FALSE&amp;VAR:CALENDAR=FIVEDAY&amp;VAR:SYMBOL=BMY&amp;VAR:INDEX=0"}</definedName>
    <definedName name="_45__FDSAUDITLINK__" hidden="1">{"fdsup://directions/FAT Viewer?action=UPDATE&amp;creator=factset&amp;DYN_ARGS=TRUE&amp;DOC_NAME=FAT:FQL_AUDITING_CLIENT_TEMPLATE.FAT&amp;display_string=Audit&amp;VAR:KEY=ZYZAZOHSNG&amp;VAR:QUERY=RkZfUEFZX09VVF9SQVRJTyhBTk4sTk9XKQ==&amp;WINDOW=FIRST_POPUP&amp;HEIGHT=450&amp;WIDTH=450&amp;START_MA","XIMIZED=FALSE&amp;VAR:CALENDAR=FIVEDAY&amp;VAR:SYMBOL=ABT&amp;VAR:INDEX=0"}</definedName>
    <definedName name="_46__FDSAUDITLINK__" hidden="1">{"fdsup://directions/FAT Viewer?action=UPDATE&amp;creator=factset&amp;DYN_ARGS=TRUE&amp;DOC_NAME=FAT:FQL_AUDITING_CLIENT_TEMPLATE.FAT&amp;display_string=Audit&amp;VAR:KEY=BCPWDIXCDW&amp;VAR:QUERY=RkZfSU5WRVNUX0xUKFFUUiwwKQ==&amp;WINDOW=FIRST_POPUP&amp;HEIGHT=450&amp;WIDTH=450&amp;START_MAXIMIZED=","FALSE&amp;VAR:CALENDAR=FIVEDAY&amp;VAR:SYMBOL=DRG&amp;VAR:INDEX=0"}</definedName>
    <definedName name="_47__FDSAUDITLINK__" hidden="1">{"fdsup://directions/FAT Viewer?action=UPDATE&amp;creator=factset&amp;DYN_ARGS=TRUE&amp;DOC_NAME=FAT:FQL_AUDITING_CLIENT_TEMPLATE.FAT&amp;display_string=Audit&amp;VAR:KEY=TEDYJYHWRU&amp;VAR:QUERY=RkZfSU5WRVNUX0xUKFFUUiwwKQ==&amp;WINDOW=FIRST_POPUP&amp;HEIGHT=450&amp;WIDTH=450&amp;START_MAXIMIZED=","FALSE&amp;VAR:CALENDAR=FIVEDAY&amp;VAR:SYMBOL=SP565&amp;VAR:INDEX=0"}</definedName>
    <definedName name="_48__FDSAUDITLINK__" hidden="1">{"fdsup://directions/FAT Viewer?action=UPDATE&amp;creator=factset&amp;DYN_ARGS=TRUE&amp;DOC_NAME=FAT:FQL_AUDITING_CLIENT_TEMPLATE.FAT&amp;display_string=Audit&amp;VAR:KEY=DSLAREBAXY&amp;VAR:QUERY=RkZfSU5WRVNUX0xUKFFUUiwwKQ==&amp;WINDOW=FIRST_POPUP&amp;HEIGHT=450&amp;WIDTH=450&amp;START_MAXIMIZED=","FALSE&amp;VAR:CALENDAR=FIVEDAY&amp;VAR:SYMBOL=SP50&amp;VAR:INDEX=0"}</definedName>
    <definedName name="_49__FDSAUDITLINK__" hidden="1">{"fdsup://directions/FAT Viewer?action=UPDATE&amp;creator=factset&amp;DYN_ARGS=TRUE&amp;DOC_NAME=FAT:FQL_AUDITING_CLIENT_TEMPLATE.FAT&amp;display_string=Audit&amp;VAR:KEY=BCRAPSHKZU&amp;VAR:QUERY=RkZfSU5WRVNUX0xUKFFUUiwwKQ==&amp;WINDOW=FIRST_POPUP&amp;HEIGHT=450&amp;WIDTH=450&amp;START_MAXIMIZED=","FALSE&amp;VAR:CALENDAR=FIVEDAY&amp;VAR:SYMBOL=WPI&amp;VAR:INDEX=0"}</definedName>
    <definedName name="_5__FDSAUDITLINK__"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50__FDSAUDITLINK__" hidden="1">{"fdsup://directions/FAT Viewer?action=UPDATE&amp;creator=factset&amp;DYN_ARGS=TRUE&amp;DOC_NAME=FAT:FQL_AUDITING_CLIENT_TEMPLATE.FAT&amp;display_string=Audit&amp;VAR:KEY=DKBYXGNAJE&amp;VAR:QUERY=RkZfSU5WRVNUX0xUKFFUUiwwKQ==&amp;WINDOW=FIRST_POPUP&amp;HEIGHT=450&amp;WIDTH=450&amp;START_MAXIMIZED=","FALSE&amp;VAR:CALENDAR=FIVEDAY&amp;VAR:SYMBOL=TEVA&amp;VAR:INDEX=0"}</definedName>
    <definedName name="_51__FDSAUDITLINK__" hidden="1">{"fdsup://directions/FAT Viewer?action=UPDATE&amp;creator=factset&amp;DYN_ARGS=TRUE&amp;DOC_NAME=FAT:FQL_AUDITING_CLIENT_TEMPLATE.FAT&amp;display_string=Audit&amp;VAR:KEY=BSRGLGNQFU&amp;VAR:QUERY=RkZfSU5WRVNUX0xUKFFUUiwwKQ==&amp;WINDOW=FIRST_POPUP&amp;HEIGHT=450&amp;WIDTH=450&amp;START_MAXIMIZED=","FALSE&amp;VAR:CALENDAR=FIVEDAY&amp;VAR:SYMBOL=SGNT&amp;VAR:INDEX=0"}</definedName>
    <definedName name="_52__FDSAUDITLINK__" hidden="1">{"fdsup://directions/FAT Viewer?action=UPDATE&amp;creator=factset&amp;DYN_ARGS=TRUE&amp;DOC_NAME=FAT:FQL_AUDITING_CLIENT_TEMPLATE.FAT&amp;display_string=Audit&amp;VAR:KEY=JYNYLSNKZK&amp;VAR:QUERY=RkZfSU5WRVNUX0xUKFFUUiwwKQ==&amp;WINDOW=FIRST_POPUP&amp;HEIGHT=450&amp;WIDTH=450&amp;START_MAXIMIZED=","FALSE&amp;VAR:CALENDAR=FIVEDAY&amp;VAR:SYMBOL=PRX&amp;VAR:INDEX=0"}</definedName>
    <definedName name="_53__FDSAUDITLINK__" hidden="1">{"fdsup://directions/FAT Viewer?action=UPDATE&amp;creator=factset&amp;DYN_ARGS=TRUE&amp;DOC_NAME=FAT:FQL_AUDITING_CLIENT_TEMPLATE.FAT&amp;display_string=Audit&amp;VAR:KEY=VORGDSBSHE&amp;VAR:QUERY=RkZfSU5WRVNUX0xUKFFUUiwwKQ==&amp;WINDOW=FIRST_POPUP&amp;HEIGHT=450&amp;WIDTH=450&amp;START_MAXIMIZED=","FALSE&amp;VAR:CALENDAR=FIVEDAY&amp;VAR:SYMBOL=PRGO&amp;VAR:INDEX=0"}</definedName>
    <definedName name="_54__FDSAUDITLINK__" hidden="1">{"fdsup://directions/FAT Viewer?action=UPDATE&amp;creator=factset&amp;DYN_ARGS=TRUE&amp;DOC_NAME=FAT:FQL_AUDITING_CLIENT_TEMPLATE.FAT&amp;display_string=Audit&amp;VAR:KEY=NWLCFEHKDW&amp;VAR:QUERY=RkZfSU5WRVNUX0xUKFFUUiwwKQ==&amp;WINDOW=FIRST_POPUP&amp;HEIGHT=450&amp;WIDTH=450&amp;START_MAXIMIZED=","FALSE&amp;VAR:CALENDAR=FIVEDAY&amp;VAR:SYMBOL=MYL&amp;VAR:INDEX=0"}</definedName>
    <definedName name="_55__FDSAUDITLINK__" hidden="1">{"fdsup://directions/FAT Viewer?action=UPDATE&amp;creator=factset&amp;DYN_ARGS=TRUE&amp;DOC_NAME=FAT:FQL_AUDITING_CLIENT_TEMPLATE.FAT&amp;display_string=Audit&amp;VAR:KEY=VOTWJIPIRG&amp;VAR:QUERY=RkZfSU5WRVNUX0xUKFFUUiwwKQ==&amp;WINDOW=FIRST_POPUP&amp;HEIGHT=450&amp;WIDTH=450&amp;START_MAXIMIZED=","FALSE&amp;VAR:CALENDAR=FIVEDAY&amp;VAR:SYMBOL=IPXL&amp;VAR:INDEX=0"}</definedName>
    <definedName name="_56__FDSAUDITLINK__" hidden="1">{"fdsup://directions/FAT Viewer?action=UPDATE&amp;creator=factset&amp;DYN_ARGS=TRUE&amp;DOC_NAME=FAT:FQL_AUDITING_CLIENT_TEMPLATE.FAT&amp;display_string=Audit&amp;VAR:KEY=HYXOPWBMVW&amp;VAR:QUERY=RkZfSU5WRVNUX0xUKFFUUiwwKQ==&amp;WINDOW=FIRST_POPUP&amp;HEIGHT=450&amp;WIDTH=450&amp;START_MAXIMIZED=","FALSE&amp;VAR:CALENDAR=FIVEDAY&amp;VAR:SYMBOL=HSP&amp;VAR:INDEX=0"}</definedName>
    <definedName name="_57__FDSAUDITLINK__" hidden="1">{"fdsup://directions/FAT Viewer?action=UPDATE&amp;creator=factset&amp;DYN_ARGS=TRUE&amp;DOC_NAME=FAT:FQL_AUDITING_CLIENT_TEMPLATE.FAT&amp;display_string=Audit&amp;VAR:KEY=JGLIBUVSXS&amp;VAR:QUERY=RkZfSU5WRVNUX0xUKFFUUiwwKQ==&amp;WINDOW=FIRST_POPUP&amp;HEIGHT=450&amp;WIDTH=450&amp;START_MAXIMIZED=","FALSE&amp;VAR:CALENDAR=FIVEDAY&amp;VAR:SYMBOL=HITK&amp;VAR:INDEX=0"}</definedName>
    <definedName name="_58__FDSAUDITLINK__" hidden="1">{"fdsup://directions/FAT Viewer?action=UPDATE&amp;creator=factset&amp;DYN_ARGS=TRUE&amp;DOC_NAME=FAT:FQL_AUDITING_CLIENT_TEMPLATE.FAT&amp;display_string=Audit&amp;VAR:KEY=LIZAJWFUFG&amp;VAR:QUERY=RkZfSU5WRVNUX0xUKFFUUiwwKQ==&amp;WINDOW=FIRST_POPUP&amp;HEIGHT=450&amp;WIDTH=450&amp;START_MAXIMIZED=","FALSE&amp;VAR:CALENDAR=FIVEDAY&amp;VAR:SYMBOL=WCRX&amp;VAR:INDEX=0"}</definedName>
    <definedName name="_59__FDSAUDITLINK__" hidden="1">{"fdsup://directions/FAT Viewer?action=UPDATE&amp;creator=factset&amp;DYN_ARGS=TRUE&amp;DOC_NAME=FAT:FQL_AUDITING_CLIENT_TEMPLATE.FAT&amp;display_string=Audit&amp;VAR:KEY=ZAPCZANCVI&amp;VAR:QUERY=RkZfSU5WRVNUX0xUKFFUUiwwKQ==&amp;WINDOW=FIRST_POPUP&amp;HEIGHT=450&amp;WIDTH=450&amp;START_MAXIMIZED=","FALSE&amp;VAR:CALENDAR=FIVEDAY&amp;VAR:SYMBOL=VPHM&amp;VAR:INDEX=0"}</definedName>
    <definedName name="_6__FDSAUDITLINK__"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60__FDSAUDITLINK__" hidden="1">{"fdsup://directions/FAT Viewer?action=UPDATE&amp;creator=factset&amp;DYN_ARGS=TRUE&amp;DOC_NAME=FAT:FQL_AUDITING_CLIENT_TEMPLATE.FAT&amp;display_string=Audit&amp;VAR:KEY=DMPWPUVYLW&amp;VAR:QUERY=RkZfSU5WRVNUX0xUKFFUUiwwKQ==&amp;WINDOW=FIRST_POPUP&amp;HEIGHT=450&amp;WIDTH=450&amp;START_MAXIMIZED=","FALSE&amp;VAR:CALENDAR=FIVEDAY&amp;VAR:SYMBOL=VRX&amp;VAR:INDEX=0"}</definedName>
    <definedName name="_61__FDSAUDITLINK__" hidden="1">{"fdsup://directions/FAT Viewer?action=UPDATE&amp;creator=factset&amp;DYN_ARGS=TRUE&amp;DOC_NAME=FAT:FQL_AUDITING_CLIENT_TEMPLATE.FAT&amp;display_string=Audit&amp;VAR:KEY=ZWLERMTOXY&amp;VAR:QUERY=RkZfSU5WRVNUX0xUKFFUUiwwKQ==&amp;WINDOW=FIRST_POPUP&amp;HEIGHT=450&amp;WIDTH=450&amp;START_MAXIMIZED=","FALSE&amp;VAR:CALENDAR=FIVEDAY&amp;VAR:SYMBOL=SLXP&amp;VAR:INDEX=0"}</definedName>
    <definedName name="_62__FDSAUDITLINK__" hidden="1">{"fdsup://directions/FAT Viewer?action=UPDATE&amp;creator=factset&amp;DYN_ARGS=TRUE&amp;DOC_NAME=FAT:FQL_AUDITING_CLIENT_TEMPLATE.FAT&amp;display_string=Audit&amp;VAR:KEY=TEVCJYNIRA&amp;VAR:QUERY=RkZfSU5WRVNUX0xUKFFUUiwwKQ==&amp;WINDOW=FIRST_POPUP&amp;HEIGHT=450&amp;WIDTH=450&amp;START_MAXIMIZED=","FALSE&amp;VAR:CALENDAR=FIVEDAY&amp;VAR:SYMBOL=MRX&amp;VAR:INDEX=0"}</definedName>
    <definedName name="_63__FDSAUDITLINK__" hidden="1">{"fdsup://directions/FAT Viewer?action=UPDATE&amp;creator=factset&amp;DYN_ARGS=TRUE&amp;DOC_NAME=FAT:FQL_AUDITING_CLIENT_TEMPLATE.FAT&amp;display_string=Audit&amp;VAR:KEY=PQXQHMJAJK&amp;VAR:QUERY=RkZfSU5WRVNUX0xUKFFUUiwwKQ==&amp;WINDOW=FIRST_POPUP&amp;HEIGHT=450&amp;WIDTH=450&amp;START_MAXIMIZED=","FALSE&amp;VAR:CALENDAR=FIVEDAY&amp;VAR:SYMBOL=JAZZ&amp;VAR:INDEX=0"}</definedName>
    <definedName name="_64__FDSAUDITLINK__" hidden="1">{"fdsup://directions/FAT Viewer?action=UPDATE&amp;creator=factset&amp;DYN_ARGS=TRUE&amp;DOC_NAME=FAT:FQL_AUDITING_CLIENT_TEMPLATE.FAT&amp;display_string=Audit&amp;VAR:KEY=HORKLYBSXK&amp;VAR:QUERY=RkZfSU5WRVNUX0xUKFFUUiwwKQ==&amp;WINDOW=FIRST_POPUP&amp;HEIGHT=450&amp;WIDTH=450&amp;START_MAXIMIZED=","FALSE&amp;VAR:CALENDAR=FIVEDAY&amp;VAR:SYMBOL=FRX&amp;VAR:INDEX=0"}</definedName>
    <definedName name="_65__FDSAUDITLINK__" hidden="1">{"fdsup://directions/FAT Viewer?action=UPDATE&amp;creator=factset&amp;DYN_ARGS=TRUE&amp;DOC_NAME=FAT:FQL_AUDITING_CLIENT_TEMPLATE.FAT&amp;display_string=Audit&amp;VAR:KEY=DITIHIDQBQ&amp;VAR:QUERY=RkZfSU5WRVNUX0xUKFFUUiwwKQ==&amp;WINDOW=FIRST_POPUP&amp;HEIGHT=450&amp;WIDTH=450&amp;START_MAXIMIZED=","FALSE&amp;VAR:CALENDAR=FIVEDAY&amp;VAR:SYMBOL=ENDP&amp;VAR:INDEX=0"}</definedName>
    <definedName name="_66__FDSAUDITLINK__" hidden="1">{"fdsup://directions/FAT Viewer?action=UPDATE&amp;creator=factset&amp;DYN_ARGS=TRUE&amp;DOC_NAME=FAT:FQL_AUDITING_CLIENT_TEMPLATE.FAT&amp;display_string=Audit&amp;VAR:KEY=RKVMRORARM&amp;VAR:QUERY=RkZfSU5WRVNUX0xUKFFUUiwwKQ==&amp;WINDOW=FIRST_POPUP&amp;HEIGHT=450&amp;WIDTH=450&amp;START_MAXIMIZED=","FALSE&amp;VAR:CALENDAR=FIVEDAY&amp;VAR:SYMBOL=CEPH&amp;VAR:INDEX=0"}</definedName>
    <definedName name="_67__FDSAUDITLINK__" hidden="1">{"fdsup://directions/FAT Viewer?action=UPDATE&amp;creator=factset&amp;DYN_ARGS=TRUE&amp;DOC_NAME=FAT:FQL_AUDITING_CLIENT_TEMPLATE.FAT&amp;display_string=Audit&amp;VAR:KEY=XILINMFINW&amp;VAR:QUERY=RkZfSU5WRVNUX0xUKFFUUiwwKQ==&amp;WINDOW=FIRST_POPUP&amp;HEIGHT=450&amp;WIDTH=450&amp;START_MAXIMIZED=","FALSE&amp;VAR:CALENDAR=FIVEDAY&amp;VAR:SYMBOL=AGN&amp;VAR:INDEX=0"}</definedName>
    <definedName name="_68__FDSAUDITLINK__" hidden="1">{"fdsup://directions/FAT Viewer?action=UPDATE&amp;creator=factset&amp;DYN_ARGS=TRUE&amp;DOC_NAME=FAT:FQL_AUDITING_CLIENT_TEMPLATE.FAT&amp;display_string=Audit&amp;VAR:KEY=NAHOLSNWDY&amp;VAR:QUERY=RkZfSU5WRVNUX0xUKFFUUiwwKQ==&amp;WINDOW=FIRST_POPUP&amp;HEIGHT=450&amp;WIDTH=450&amp;START_MAXIMIZED=","FALSE&amp;VAR:CALENDAR=FIVEDAY&amp;VAR:SYMBOL=GILD&amp;VAR:INDEX=0"}</definedName>
    <definedName name="_69__FDSAUDITLINK__" hidden="1">{"fdsup://directions/FAT Viewer?action=UPDATE&amp;creator=factset&amp;DYN_ARGS=TRUE&amp;DOC_NAME=FAT:FQL_AUDITING_CLIENT_TEMPLATE.FAT&amp;display_string=Audit&amp;VAR:KEY=XYVWDOTINK&amp;VAR:QUERY=RkZfSU5WRVNUX0xUKFFUUiwwKQ==&amp;WINDOW=FIRST_POPUP&amp;HEIGHT=450&amp;WIDTH=450&amp;START_MAXIMIZED=","FALSE&amp;VAR:CALENDAR=FIVEDAY&amp;VAR:SYMBOL=CELG&amp;VAR:INDEX=0"}</definedName>
    <definedName name="_7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0__FDSAUDITLINK__" hidden="1">{"fdsup://directions/FAT Viewer?action=UPDATE&amp;creator=factset&amp;DYN_ARGS=TRUE&amp;DOC_NAME=FAT:FQL_AUDITING_CLIENT_TEMPLATE.FAT&amp;display_string=Audit&amp;VAR:KEY=VGXUNQXELC&amp;VAR:QUERY=RkZfSU5WRVNUX0xUKFFUUiwwKQ==&amp;WINDOW=FIRST_POPUP&amp;HEIGHT=450&amp;WIDTH=450&amp;START_MAXIMIZED=","FALSE&amp;VAR:CALENDAR=FIVEDAY&amp;VAR:SYMBOL=BIIB&amp;VAR:INDEX=0"}</definedName>
    <definedName name="_71__FDSAUDITLINK__" hidden="1">{"fdsup://directions/FAT Viewer?action=UPDATE&amp;creator=factset&amp;DYN_ARGS=TRUE&amp;DOC_NAME=FAT:FQL_AUDITING_CLIENT_TEMPLATE.FAT&amp;display_string=Audit&amp;VAR:KEY=ZWDUTWDEPG&amp;VAR:QUERY=RkZfSU5WRVNUX0xUKFFUUiwwKQ==&amp;WINDOW=FIRST_POPUP&amp;HEIGHT=450&amp;WIDTH=450&amp;START_MAXIMIZED=","FALSE&amp;VAR:CALENDAR=FIVEDAY&amp;VAR:SYMBOL=AMGN&amp;VAR:INDEX=0"}</definedName>
    <definedName name="_72__FDSAUDITLINK__" hidden="1">{"fdsup://directions/FAT Viewer?action=UPDATE&amp;creator=factset&amp;DYN_ARGS=TRUE&amp;DOC_NAME=FAT:FQL_AUDITING_CLIENT_TEMPLATE.FAT&amp;display_string=Audit&amp;VAR:KEY=LOPUXAFKXA&amp;VAR:QUERY=RkZfSU5WRVNUX0xUKFFUUiwwKQ==&amp;WINDOW=FIRST_POPUP&amp;HEIGHT=450&amp;WIDTH=450&amp;START_MAXIMIZED=","FALSE&amp;VAR:CALENDAR=FIVEDAY&amp;VAR:SYMBOL=ALXN&amp;VAR:INDEX=0"}</definedName>
    <definedName name="_73__FDSAUDITLINK__" hidden="1">{"fdsup://directions/FAT Viewer?action=UPDATE&amp;creator=factset&amp;DYN_ARGS=TRUE&amp;DOC_NAME=FAT:FQL_AUDITING_CLIENT_TEMPLATE.FAT&amp;display_string=Audit&amp;VAR:KEY=ZSHOZIHUTA&amp;VAR:QUERY=RkZfSU5WRVNUX0xUKFFUUiwwKQ==&amp;WINDOW=FIRST_POPUP&amp;HEIGHT=450&amp;WIDTH=450&amp;START_MAXIMIZED=","FALSE&amp;VAR:CALENDAR=FIVEDAY&amp;VAR:SYMBOL=435209&amp;VAR:INDEX=0"}</definedName>
    <definedName name="_74__FDSAUDITLINK__" hidden="1">{"fdsup://directions/FAT Viewer?action=UPDATE&amp;creator=factset&amp;DYN_ARGS=TRUE&amp;DOC_NAME=FAT:FQL_AUDITING_CLIENT_TEMPLATE.FAT&amp;display_string=Audit&amp;VAR:KEY=VQFEJCHUXU&amp;VAR:QUERY=RkZfREVCVChRVFIsMCk=&amp;WINDOW=FIRST_POPUP&amp;HEIGHT=450&amp;WIDTH=450&amp;START_MAXIMIZED=FALSE&amp;VA","R:CALENDAR=FIVEDAY&amp;VAR:SYMBOL=435209&amp;VAR:INDEX=0"}</definedName>
    <definedName name="_75__FDSAUDITLINK__" hidden="1">{"fdsup://directions/FAT Viewer?action=UPDATE&amp;creator=factset&amp;DYN_ARGS=TRUE&amp;DOC_NAME=FAT:FQL_AUDITING_CLIENT_TEMPLATE.FAT&amp;display_string=Audit&amp;VAR:KEY=LCJMPUTERA&amp;VAR:QUERY=RkZfSU5WRVNUX0xUKFFUUiwwKQ==&amp;WINDOW=FIRST_POPUP&amp;HEIGHT=450&amp;WIDTH=450&amp;START_MAXIMIZED=","FALSE&amp;VAR:CALENDAR=FIVEDAY&amp;VAR:SYMBOL=PFE&amp;VAR:INDEX=0"}</definedName>
    <definedName name="_76__FDSAUDITLINK__" hidden="1">{"fdsup://directions/FAT Viewer?action=UPDATE&amp;creator=factset&amp;DYN_ARGS=TRUE&amp;DOC_NAME=FAT:FQL_AUDITING_CLIENT_TEMPLATE.FAT&amp;display_string=Audit&amp;VAR:KEY=HYLCZGJGBW&amp;VAR:QUERY=RkZfSU5WRVNUX0xUKFFUUiwwKQ==&amp;WINDOW=FIRST_POPUP&amp;HEIGHT=450&amp;WIDTH=450&amp;START_MAXIMIZED=","FALSE&amp;VAR:CALENDAR=FIVEDAY&amp;VAR:SYMBOL=MRK&amp;VAR:INDEX=0"}</definedName>
    <definedName name="_77__FDSAUDITLINK__" hidden="1">{"fdsup://directions/FAT Viewer?action=UPDATE&amp;creator=factset&amp;DYN_ARGS=TRUE&amp;DOC_NAME=FAT:FQL_AUDITING_CLIENT_TEMPLATE.FAT&amp;display_string=Audit&amp;VAR:KEY=DERQHCPOHU&amp;VAR:QUERY=RkZfSU5WRVNUX0xUKFFUUiwwKQ==&amp;WINDOW=FIRST_POPUP&amp;HEIGHT=450&amp;WIDTH=450&amp;START_MAXIMIZED=","FALSE&amp;VAR:CALENDAR=FIVEDAY&amp;VAR:SYMBOL=LLY&amp;VAR:INDEX=0"}</definedName>
    <definedName name="_78__FDSAUDITLINK__" hidden="1">{"fdsup://directions/FAT Viewer?action=UPDATE&amp;creator=factset&amp;DYN_ARGS=TRUE&amp;DOC_NAME=FAT:FQL_AUDITING_CLIENT_TEMPLATE.FAT&amp;display_string=Audit&amp;VAR:KEY=FGNKPMPQZY&amp;VAR:QUERY=RkZfSU5WRVNUX0xUKFFUUiwwKQ==&amp;WINDOW=FIRST_POPUP&amp;HEIGHT=450&amp;WIDTH=450&amp;START_MAXIMIZED=","FALSE&amp;VAR:CALENDAR=FIVEDAY&amp;VAR:SYMBOL=JNJ&amp;VAR:INDEX=0"}</definedName>
    <definedName name="_79__FDSAUDITLINK__" hidden="1">{"fdsup://directions/FAT Viewer?action=UPDATE&amp;creator=factset&amp;DYN_ARGS=TRUE&amp;DOC_NAME=FAT:FQL_AUDITING_CLIENT_TEMPLATE.FAT&amp;display_string=Audit&amp;VAR:KEY=LYXSRCBOHA&amp;VAR:QUERY=RkZfSU5WRVNUX0xUKFFUUiwwKQ==&amp;WINDOW=FIRST_POPUP&amp;HEIGHT=450&amp;WIDTH=450&amp;START_MAXIMIZED=","FALSE&amp;VAR:CALENDAR=FIVEDAY&amp;VAR:SYMBOL=BMY&amp;VAR:INDEX=0"}</definedName>
    <definedName name="_8__FDSAUDITLINK__"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0__FDSAUDITLINK__" hidden="1">{"fdsup://directions/FAT Viewer?action=UPDATE&amp;creator=factset&amp;DYN_ARGS=TRUE&amp;DOC_NAME=FAT:FQL_AUDITING_CLIENT_TEMPLATE.FAT&amp;display_string=Audit&amp;VAR:KEY=ZOVAZMHKPC&amp;VAR:QUERY=RkZfSU5WRVNUX0xUKFFUUiwwKQ==&amp;WINDOW=FIRST_POPUP&amp;HEIGHT=450&amp;WIDTH=450&amp;START_MAXIMIZED=","FALSE&amp;VAR:CALENDAR=FIVEDAY&amp;VAR:SYMBOL=ABT&amp;VAR:INDEX=0"}</definedName>
    <definedName name="_81__FDSAUDITLINK__" hidden="1">{"fdsup://directions/FAT Viewer?action=UPDATE&amp;creator=factset&amp;DYN_ARGS=TRUE&amp;DOC_NAME=FAT:FQL_AUDITING_CLIENT_TEMPLATE.FAT&amp;display_string=Audit&amp;VAR:KEY=JSLSBKVYHS&amp;VAR:QUERY=RkZfSU5WRVNUX0xUKFFUUiwwKQ==&amp;WINDOW=FIRST_POPUP&amp;HEIGHT=450&amp;WIDTH=450&amp;START_MAXIMIZED=","FALSE&amp;VAR:CALENDAR=FIVEDAY&amp;VAR:SYMBOL=AZN&amp;VAR:INDEX=0"}</definedName>
    <definedName name="_82__FDSAUDITLINK__" hidden="1">{"fdsup://directions/FAT Viewer?action=UPDATE&amp;creator=factset&amp;DYN_ARGS=TRUE&amp;DOC_NAME=FAT:FQL_AUDITING_CLIENT_TEMPLATE.FAT&amp;display_string=Audit&amp;VAR:KEY=HAHKXMLERQ&amp;VAR:QUERY=RkZfSU5WRVNUX0xUKFFUUiwwKQ==&amp;WINDOW=FIRST_POPUP&amp;HEIGHT=450&amp;WIDTH=450&amp;START_MAXIMIZED=","FALSE&amp;VAR:CALENDAR=FIVEDAY&amp;VAR:SYMBOL=NVS&amp;VAR:INDEX=0"}</definedName>
    <definedName name="_83__FDSAUDITLINK__" hidden="1">{"fdsup://directions/FAT Viewer?action=UPDATE&amp;creator=factset&amp;DYN_ARGS=TRUE&amp;DOC_NAME=FAT:FQL_AUDITING_CLIENT_TEMPLATE.FAT&amp;display_string=Audit&amp;VAR:KEY=ZGBABKVOBO&amp;VAR:QUERY=RkZfSU5WRVNUX0xUKFFUUiwwKQ==&amp;WINDOW=FIRST_POPUP&amp;HEIGHT=450&amp;WIDTH=450&amp;START_MAXIMIZED=","FALSE&amp;VAR:CALENDAR=FIVEDAY&amp;VAR:SYMBOL=SHPGY&amp;VAR:INDEX=0"}</definedName>
    <definedName name="_84__FDSAUDITLINK__" hidden="1">{"fdsup://Directions/FactSet Auditing Viewer?action=AUDIT_VALUE&amp;DB=129&amp;ID1=00282410&amp;VALUEID=02001&amp;SDATE=201102&amp;PERIODTYPE=QTR_STD&amp;SCFT=3&amp;window=popup_no_bar&amp;width=385&amp;height=120&amp;START_MAXIMIZED=FALSE&amp;creator=factset&amp;display_string=Audit"}</definedName>
    <definedName name="_85__FDSAUDITLINK__" hidden="1">{"fdsup://directions/FAT Viewer?action=UPDATE&amp;creator=factset&amp;DYN_ARGS=TRUE&amp;DOC_NAME=FAT:FQL_AUDITING_CLIENT_TEMPLATE.FAT&amp;display_string=Audit&amp;VAR:KEY=FQVITULUDU&amp;VAR:QUERY=RkZfREVCVChRVFIsMCk=&amp;WINDOW=FIRST_POPUP&amp;HEIGHT=450&amp;WIDTH=450&amp;START_MAXIMIZED=FALSE&amp;VA","R:CALENDAR=FIVEDAY&amp;VAR:SYMBOL=ABT&amp;VAR:INDEX=0"}</definedName>
    <definedName name="_86__FDSAUDITLINK__" hidden="1">{"fdsup://Directions/FactSet Auditing Viewer?action=AUDIT_VALUE&amp;DB=129&amp;ID1=11012210&amp;VALUEID=02001&amp;SDATE=201102&amp;PERIODTYPE=QTR_STD&amp;SCFT=3&amp;window=popup_no_bar&amp;width=385&amp;height=120&amp;START_MAXIMIZED=FALSE&amp;creator=factset&amp;display_string=Audit"}</definedName>
    <definedName name="_87__FDSAUDITLINK__" hidden="1">{"fdsup://directions/FAT Viewer?action=UPDATE&amp;creator=factset&amp;DYN_ARGS=TRUE&amp;DOC_NAME=FAT:FQL_AUDITING_CLIENT_TEMPLATE.FAT&amp;display_string=Audit&amp;VAR:KEY=DKTMXEVMHY&amp;VAR:QUERY=RkZfREVCVChRVFIsMCk=&amp;WINDOW=FIRST_POPUP&amp;HEIGHT=450&amp;WIDTH=450&amp;START_MAXIMIZED=FALSE&amp;VA","R:CALENDAR=FIVEDAY&amp;VAR:SYMBOL=BMY&amp;VAR:INDEX=0"}</definedName>
    <definedName name="_88__FDSAUDITLINK__" hidden="1">{"fdsup://Directions/FactSet Auditing Viewer?action=AUDIT_VALUE&amp;DB=129&amp;ID1=47816010&amp;VALUEID=02001&amp;SDATE=201102&amp;PERIODTYPE=QTR_STD&amp;SCFT=3&amp;window=popup_no_bar&amp;width=385&amp;height=120&amp;START_MAXIMIZED=FALSE&amp;creator=factset&amp;display_string=Audit"}</definedName>
    <definedName name="_89__FDSAUDITLINK__" hidden="1">{"fdsup://directions/FAT Viewer?action=UPDATE&amp;creator=factset&amp;DYN_ARGS=TRUE&amp;DOC_NAME=FAT:FQL_AUDITING_CLIENT_TEMPLATE.FAT&amp;display_string=Audit&amp;VAR:KEY=TCZQTEZSZW&amp;VAR:QUERY=RkZfREVCVChRVFIsMCk=&amp;WINDOW=FIRST_POPUP&amp;HEIGHT=450&amp;WIDTH=450&amp;START_MAXIMIZED=FALSE&amp;VA","R:CALENDAR=FIVEDAY&amp;VAR:SYMBOL=JNJ&amp;VAR:INDEX=0"}</definedName>
    <definedName name="_9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0__FDSAUDITLINK__" hidden="1">{"fdsup://Directions/FactSet Auditing Viewer?action=AUDIT_VALUE&amp;DB=129&amp;ID1=53245710&amp;VALUEID=02001&amp;SDATE=201102&amp;PERIODTYPE=QTR_STD&amp;SCFT=3&amp;window=popup_no_bar&amp;width=385&amp;height=120&amp;START_MAXIMIZED=FALSE&amp;creator=factset&amp;display_string=Audit"}</definedName>
    <definedName name="_91__FDSAUDITLINK__" hidden="1">{"fdsup://directions/FAT Viewer?action=UPDATE&amp;creator=factset&amp;DYN_ARGS=TRUE&amp;DOC_NAME=FAT:FQL_AUDITING_CLIENT_TEMPLATE.FAT&amp;display_string=Audit&amp;VAR:KEY=XEBYRMFCTI&amp;VAR:QUERY=RkZfREVCVChRVFIsMCk=&amp;WINDOW=FIRST_POPUP&amp;HEIGHT=450&amp;WIDTH=450&amp;START_MAXIMIZED=FALSE&amp;VA","R:CALENDAR=FIVEDAY&amp;VAR:SYMBOL=LLY&amp;VAR:INDEX=0"}</definedName>
    <definedName name="_92__FDSAUDITLINK__" hidden="1">{"fdsup://Directions/FactSet Auditing Viewer?action=AUDIT_VALUE&amp;DB=129&amp;ID1=58933Y10&amp;VALUEID=02001&amp;SDATE=201102&amp;PERIODTYPE=QTR_STD&amp;SCFT=3&amp;window=popup_no_bar&amp;width=385&amp;height=120&amp;START_MAXIMIZED=FALSE&amp;creator=factset&amp;display_string=Audit"}</definedName>
    <definedName name="_93__FDSAUDITLINK__" hidden="1">{"fdsup://directions/FAT Viewer?action=UPDATE&amp;creator=factset&amp;DYN_ARGS=TRUE&amp;DOC_NAME=FAT:FQL_AUDITING_CLIENT_TEMPLATE.FAT&amp;display_string=Audit&amp;VAR:KEY=VSHAXOFKJC&amp;VAR:QUERY=RkZfREVCVChRVFIsMCk=&amp;WINDOW=FIRST_POPUP&amp;HEIGHT=450&amp;WIDTH=450&amp;START_MAXIMIZED=FALSE&amp;VA","R:CALENDAR=FIVEDAY&amp;VAR:SYMBOL=MRK&amp;VAR:INDEX=0"}</definedName>
    <definedName name="_94__FDSAUDITLINK__" hidden="1">{"fdsup://Directions/FactSet Auditing Viewer?action=AUDIT_VALUE&amp;DB=129&amp;ID1=71708110&amp;VALUEID=02001&amp;SDATE=201102&amp;PERIODTYPE=QTR_STD&amp;SCFT=3&amp;window=popup_no_bar&amp;width=385&amp;height=120&amp;START_MAXIMIZED=FALSE&amp;creator=factset&amp;display_string=Audit"}</definedName>
    <definedName name="_95__FDSAUDITLINK__" hidden="1">{"fdsup://directions/FAT Viewer?action=UPDATE&amp;creator=factset&amp;DYN_ARGS=TRUE&amp;DOC_NAME=FAT:FQL_AUDITING_CLIENT_TEMPLATE.FAT&amp;display_string=Audit&amp;VAR:KEY=DKFMPYNSHQ&amp;VAR:QUERY=RkZfREVCVChRVFIsMCk=&amp;WINDOW=FIRST_POPUP&amp;HEIGHT=450&amp;WIDTH=450&amp;START_MAXIMIZED=FALSE&amp;VA","R:CALENDAR=FIVEDAY&amp;VAR:SYMBOL=PFE&amp;VAR:INDEX=0"}</definedName>
    <definedName name="_96__FDSAUDITLINK__" hidden="1">{"fdsup://directions/FAT Viewer?action=UPDATE&amp;creator=factset&amp;DYN_ARGS=TRUE&amp;DOC_NAME=FAT:FQL_AUDITING_CLIENT_TEMPLATE.FAT&amp;display_string=Audit&amp;VAR:KEY=JWRODKFUNO&amp;VAR:QUERY=RkZfREVCVChRVFIsMCk=&amp;WINDOW=FIRST_POPUP&amp;HEIGHT=450&amp;WIDTH=450&amp;START_MAXIMIZED=FALSE&amp;VA","R:CALENDAR=FIVEDAY&amp;VAR:SYMBOL=AZN&amp;VAR:INDEX=0"}</definedName>
    <definedName name="_97__FDSAUDITLINK__" hidden="1">{"fdsup://directions/FAT Viewer?action=UPDATE&amp;creator=factset&amp;DYN_ARGS=TRUE&amp;DOC_NAME=FAT:FQL_AUDITING_CLIENT_TEMPLATE.FAT&amp;display_string=Audit&amp;VAR:KEY=DIZEHARWFQ&amp;VAR:QUERY=RkZfREVCVChRVFIsMCk=&amp;WINDOW=FIRST_POPUP&amp;HEIGHT=450&amp;WIDTH=450&amp;START_MAXIMIZED=FALSE&amp;VA","R:CALENDAR=FIVEDAY&amp;VAR:SYMBOL=NVS&amp;VAR:INDEX=0"}</definedName>
    <definedName name="_98__FDSAUDITLINK__" hidden="1">{"fdsup://directions/FAT Viewer?action=UPDATE&amp;creator=factset&amp;DYN_ARGS=TRUE&amp;DOC_NAME=FAT:FQL_AUDITING_CLIENT_TEMPLATE.FAT&amp;display_string=Audit&amp;VAR:KEY=VSPITILQPU&amp;VAR:QUERY=RkZfREVCVChRVFIsMCk=&amp;WINDOW=FIRST_POPUP&amp;HEIGHT=450&amp;WIDTH=450&amp;START_MAXIMIZED=FALSE&amp;VA","R:CALENDAR=FIVEDAY&amp;VAR:SYMBOL=SHPGY&amp;VAR:INDEX=0"}</definedName>
    <definedName name="_99__FDSAUDITLINK__" hidden="1">{"fdsup://Directions/FactSet Auditing Viewer?action=AUDIT_VALUE&amp;DB=129&amp;ID1=01535110&amp;VALUEID=02001&amp;SDATE=201102&amp;PERIODTYPE=QTR_STD&amp;SCFT=3&amp;window=popup_no_bar&amp;width=385&amp;height=120&amp;START_MAXIMIZED=FALSE&amp;creator=factset&amp;display_string=Audit"}</definedName>
    <definedName name="_bdm.02E29E7B1053433EA3CCCBE4E5141596.edm" hidden="1">[1]Sheet1!$A:$IV</definedName>
    <definedName name="_bdm.0465D0F8BD2C4E888AB9C11EA0CBE52C.edm" hidden="1">'[2]rev change analysis'!$A:$IV</definedName>
    <definedName name="_bdm.23CAB1676C0C411BB6D812CE5B582BC0.edm" hidden="1">'[2]MWA RR'!$A:$IV</definedName>
    <definedName name="_bdm.2DD2C96D34A94119897BA9F9064DA371.edm" hidden="1">'[3]rev change analysis'!$A:$IV</definedName>
    <definedName name="_bdm.31B38A4456914D13B036C519BB497D92.edm" hidden="1">'[4]rev change analysis'!$A:$IV</definedName>
    <definedName name="_bdm.384BFCED33ED4B149016C877E23F998D.edm" hidden="1">'[4]short IS'!$A:$IV</definedName>
    <definedName name="_bdm.42F67CCC3C1C45638B5EC98256E90947.edm" hidden="1">'[5]Good 12-00 (2)'!$A:$IV</definedName>
    <definedName name="_bdm.46D56600DB7840728F138544F8E425DB.edm" hidden="1">'[5]Good 11-36'!$A:$IV</definedName>
    <definedName name="_bdm.60A1016E4A5045B0B4BE42FB21AAF6D6.edm" hidden="1">'[5]Good 11-50'!$A:$IV</definedName>
    <definedName name="_bdm.7317521E367C4A50896524C70180A68C.edm" hidden="1">'[4]2015 rev change'!$A:$IV</definedName>
    <definedName name="_bdm.731BDA48F9E34C35A30B181461F49F5F.edm" hidden="1">'[6]Retail prices'!$A:$IV</definedName>
    <definedName name="_bdm.76074D17ADD044A287D271B1AAFC4036.edm" hidden="1">'[4]Product Mix 100%'!$A:$IV</definedName>
    <definedName name="_bdm.77192A69936D48368D0A13E908672759.edm" hidden="1">'[4]cost savings'!$A:$IV</definedName>
    <definedName name="_bdm.84F38A9759994A80A6CF34B5BBEB633C.edm" hidden="1">'[7]rev change analysis'!$A:$IV</definedName>
    <definedName name="_bdm.9301DDFC67D846248C16E96B86458D94.edm" hidden="1">'[2]rev contribution analysis'!$A:$IV</definedName>
    <definedName name="_bdm.C7C6FBA36F39444B8BCEC128D5B7F931.edm" hidden="1">'[5]Sheet3 (5)'!$A:$IV</definedName>
    <definedName name="_bdm.E2B991B7B5454C4CBE252B2B73D6513B.edm" hidden="1">[8]margins!$A:$IV</definedName>
    <definedName name="_bdm.F0D73515AC3D4919BC3602806970DE2D.edm" hidden="1">'[4]Per Pharma Traditional &amp; Biolog'!$A:$IV</definedName>
    <definedName name="_bdm.F503F160FFA641EDB1AD757205401861.edm" hidden="1">'[8]rev change analysis'!$A:$IV</definedName>
    <definedName name="_Key1" hidden="1">[9]単独!$U$1</definedName>
    <definedName name="_Order1" hidden="1">255</definedName>
    <definedName name="_Sort" hidden="1">[9]単独!$A$512:$AC$552</definedName>
    <definedName name="a" hidden="1">[9]ｾｸﾞﾒﾝﾄ!$E$165:$I$165</definedName>
    <definedName name="abc" localSheetId="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ual" hidden="1">{#N/A,#N/A,TRUE,"Historicals";#N/A,#N/A,TRUE,"Charts";#N/A,#N/A,TRUE,"Forecasts"}</definedName>
    <definedName name="AdditionalInstructions">IndexInformation!$B$42</definedName>
    <definedName name="Address" localSheetId="0">ImportantDisclosures!$A$2:$A$2</definedName>
    <definedName name="ANA" localSheetId="24">ModPubIndex!$A$7</definedName>
    <definedName name="anscount" hidden="1">1</definedName>
    <definedName name="asd" localSheetId="1"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sd"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sda" hidden="1">{"fdsup://directions/FAT%20Viewer?VAR:PED=20071231&amp;VAR:PERIOD=FIXED&amp;VAR:V=5.898401&amp;VAR:AUDIT_ID=71692910&amp;VAR:DATE=20100305&amp;action=UPDATE&amp;creator=factset&amp;DOC_NAME=FAT:FMA_audit_DETAIL.fat&amp;DISPLAY_STRING=Display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Authors" localSheetId="0">ImportantDisclosures!$A$7</definedName>
    <definedName name="Authors" localSheetId="23">IndexInformation!$B$18</definedName>
    <definedName name="b" hidden="1">[9]ｾｸﾞﾒﾝﾄ!$E$167:$I$167</definedName>
    <definedName name="BRO" localSheetId="24">ModPubIndex!$A$1</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opyrightStamp">ImportantDisclosures!$A$27</definedName>
    <definedName name="COU" localSheetId="24">ModPubIndex!$A$5</definedName>
    <definedName name="CQEnd" localSheetId="23">IndexInformation!$B$31</definedName>
    <definedName name="cu102.ShareScalingFactor" hidden="1">1000000</definedName>
    <definedName name="cu103.EmployeeScalingFactor" hidden="1">1000</definedName>
    <definedName name="cu107.DPSSymbol" hidden="1">"US$"</definedName>
    <definedName name="cu107.EPSSymbol" hidden="1">"US$"</definedName>
    <definedName name="cu71.ScalingFactor" hidden="1">1000000</definedName>
    <definedName name="cu71.ScalingFactor_1" hidden="1">1000</definedName>
    <definedName name="Currency" localSheetId="23">IndexInformation!$B$24</definedName>
    <definedName name="CurrentStockPrice" localSheetId="23">IndexInformation!$B$23</definedName>
    <definedName name="CurrQtrEPS" localSheetId="23">IndexInformation!$B$29</definedName>
    <definedName name="CurrYearEPS" localSheetId="23">IndexInformation!$B$11</definedName>
    <definedName name="CurrYearTotalRevenue" localSheetId="23">IndexInformation!$B$10</definedName>
    <definedName name="CurrYearTotalRevenueActual" localSheetId="23">IndexInformation!$B$32</definedName>
    <definedName name="CUSIP" localSheetId="23">IndexInformation!$B$20</definedName>
    <definedName name="CYEnd" localSheetId="23">IndexInformation!$B$30</definedName>
    <definedName name="Date" localSheetId="0">ImportantDisclosures!$A$8</definedName>
    <definedName name="Deleted" localSheetId="23">IndexInformation!$B$27</definedName>
    <definedName name="Description" localSheetId="23">IndexInformation!$B$7</definedName>
    <definedName name="Discipline" localSheetId="23">IndexInformation!$B$3</definedName>
    <definedName name="DISCIPLINE" localSheetId="24">ModPubIndex!$A$12</definedName>
    <definedName name="DisclosuresText">ImportantDisclosures!$A$22</definedName>
    <definedName name="Distribution" localSheetId="23">IndexInformation!$B$26</definedName>
    <definedName name="DistTable" localSheetId="0">ImportantDisclosures!#REF!</definedName>
    <definedName name="DistTablePreamble" localSheetId="0">ImportantDisclosures!#REF!</definedName>
    <definedName name="DOCDAT" localSheetId="24">ModPubIndex!$A$2</definedName>
    <definedName name="DOCTIME" localSheetId="24">ModPubIndex!$A$3</definedName>
    <definedName name="DocType" localSheetId="23">IndexInformation!$B$5</definedName>
    <definedName name="EMAIL_ALERT" localSheetId="24">ModPubIndex!$A$10</definedName>
    <definedName name="EmailAlert" localSheetId="23">IndexInformation!$B$28</definedName>
    <definedName name="ev.Calculation" hidden="1">-4135</definedName>
    <definedName name="ev.Initialized" hidden="1">FALSE</definedName>
    <definedName name="ｆ" hidden="1">"iQShowAnnual"</definedName>
    <definedName name="FiveYearGrowthRate" localSheetId="23">IndexInformation!$B$16</definedName>
    <definedName name="FollowingYearEPS" localSheetId="23">IndexInformation!$B$15</definedName>
    <definedName name="FollowingYearTotalRevenue" localSheetId="23">IndexInformation!$B$14</definedName>
    <definedName name="FollowingYearTotalRevenueActual" localSheetId="23">IndexInformation!$B$34</definedName>
    <definedName name="forecast" localSheetId="1" hidden="1">{"cover a","1q",FALSE,"Cover";"Op Earn Mgd Q1",#N/A,FALSE,"Op-Earn (Mng)";"Op Earn Rpt Q1",#N/A,FALSE,"Op-Earn (Rpt)";"Loans",#N/A,FALSE,"Loans";"Credit Costs",#N/A,FALSE,"CCosts";"Net Interest Margin",#N/A,FALSE,"Margin";"Nonint Income",#N/A,FALSE,"NonII";"Nonint Exp",#N/A,FALSE,"NonIE";"Valuation",#N/A,FALSE,"Valuation"}</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HL" localSheetId="24">ModPubIndex!$A$8</definedName>
    <definedName name="hn.ModelVersion" hidden="1">1</definedName>
    <definedName name="hn.NoUpload" hidden="1">0</definedName>
    <definedName name="Img_ML_7g5e5e2b" hidden="1">"IMG_12"</definedName>
    <definedName name="IND" localSheetId="24">ModPubIndex!$A$9</definedName>
    <definedName name="Industry" localSheetId="0">ImportantDisclosures!$A$12</definedName>
    <definedName name="IndustryId">IndexInformation!$B$40</definedName>
    <definedName name="IndustryRating" localSheetId="0">ImportantDisclosures!$A$13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39489.6256597222</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QShowHideColumns" hidden="1">"iQShowAll"</definedName>
    <definedName name="KeepVersions" localSheetId="23">IndexInformation!$B$8</definedName>
    <definedName name="LanguageCode">IndexInformation!$B$38</definedName>
    <definedName name="LastCell" localSheetId="0">ImportantDisclosures!$A$22</definedName>
    <definedName name="limcount" hidden="1">1</definedName>
    <definedName name="Linking_12">IS!$B$2:$CI$79</definedName>
    <definedName name="Linking_13">REVS!$B$2:$CI$53</definedName>
    <definedName name="Linking_14">BS!$B$2:$CI$46</definedName>
    <definedName name="Linking_15">CF!$B$2:$DH$40</definedName>
    <definedName name="Linking_16">CF!$B$2:$CI$40</definedName>
    <definedName name="Linking_17">DCF!$B$4:$U$11</definedName>
    <definedName name="Linking_18">IS!$B$2:$CI$42</definedName>
    <definedName name="Linking_19">IS!$B$2:$DH$79</definedName>
    <definedName name="Linking_2">'Historical Eye Sales'!$AQ$2:$AW$27,'Historical Eye Sales'!$B$2,'Historical Eye Sales'!$B$4,'Historical Eye Sales'!$B$3,'Historical Eye Sales'!$B$5,'Historical Eye Sales'!$B$6,'Historical Eye Sales'!$B$7,'Historical Eye Sales'!$B$8,'Historical Eye Sales'!$B$9,'Historical Eye Sales'!$B$12,'Historical Eye Sales'!$B$13,'Historical Eye Sales'!$B$14,'Historical Eye Sales'!$B$15,'Historical Eye Sales'!$B$16,'Historical Eye Sales'!$B$17,'Historical Eye Sales'!$B$18,'Historical Eye Sales'!$B$19,'Historical Eye Sales'!$B$20,'Historical Eye Sales'!$B$21,'Historical Eye Sales'!$B$22,'Historical Eye Sales'!$B$23,'Historical Eye Sales'!$B$24,'Historical Eye Sales'!$B$25,'Historical Eye Sales'!$B$26,'Historical Eye Sales'!$B$27</definedName>
    <definedName name="Linking_20">REVS!$B$2:$DH$53</definedName>
    <definedName name="Linking_21">BS!$B$2:$DH$46</definedName>
    <definedName name="Linking_22">IS!$B$1:$CI$79</definedName>
    <definedName name="Linking_3">'Historical Eye Sales'!$AQ$2:$AW$27,'Historical Eye Sales'!$B$2,'Historical Eye Sales'!$B$4,'Historical Eye Sales'!$B$3,'Historical Eye Sales'!$B$5,'Historical Eye Sales'!$B$6,'Historical Eye Sales'!$B$7,'Historical Eye Sales'!$B$8,'Historical Eye Sales'!$B$9,'Historical Eye Sales'!$B$12,'Historical Eye Sales'!$B$13,'Historical Eye Sales'!$B$14,'Historical Eye Sales'!$B$15,'Historical Eye Sales'!$B$16,'Historical Eye Sales'!$B$17,'Historical Eye Sales'!$B$18,'Historical Eye Sales'!$B$19,'Historical Eye Sales'!$B$20,'Historical Eye Sales'!$B$21,'Historical Eye Sales'!$B$22,'Historical Eye Sales'!$B$23,'Historical Eye Sales'!$B$24,'Historical Eye Sales'!$B$25,'Historical Eye Sales'!$B$26,'Historical Eye Sales'!$B$27</definedName>
    <definedName name="Linking_4">'Historical Eye Sales'!$B$2:$AW$27</definedName>
    <definedName name="Linking_5">IS!$B$2:$BJ$79</definedName>
    <definedName name="Linking_6">DCF!$B$5:$T$11</definedName>
    <definedName name="Linking_7">DCF!$B$3:$T$11</definedName>
    <definedName name="Linking_8">DCF!$W$19:$Z$27</definedName>
    <definedName name="Linking_9">IS!$B$2:$BJ$80</definedName>
    <definedName name="Linking_Range_2">'Wet AMD'!$B$2:$AM$64</definedName>
    <definedName name="Linking_Range_4">IS!$B$2:$BJ$96</definedName>
    <definedName name="Linking_Range_5">REVS!$B$2:$BJ$53</definedName>
    <definedName name="Linking_Range_6">BS!$B$2:$BJ$46</definedName>
    <definedName name="Linking_Range_7">CF!$B$2:$BJ$40</definedName>
    <definedName name="Linking_Range_8">DCF!$B$4:$T$11</definedName>
    <definedName name="MacroVersion" localSheetId="23">IndexInformation!$B$1</definedName>
    <definedName name="ModelPrice" localSheetId="0">ImportantDisclosures!$A$14</definedName>
    <definedName name="Multiplier" localSheetId="23">IndexInformation!$B$35</definedName>
    <definedName name="NextYearEPS" localSheetId="23">IndexInformation!$B$13</definedName>
    <definedName name="NextYearTotalRevenue" localSheetId="23">IndexInformation!$B$12</definedName>
    <definedName name="NextYearTotalRevenueActual" localSheetId="23">IndexInformation!$B$33</definedName>
    <definedName name="ObjectType">IndexInformation!$B$37</definedName>
    <definedName name="PANA" localSheetId="24">ModPubIndex!$A$11</definedName>
    <definedName name="PathName" localSheetId="23">IndexInformation!$B$25</definedName>
    <definedName name="PRODUCT" localSheetId="24">ModPubIndex!$A$6</definedName>
    <definedName name="PSYM" localSheetId="24">ModPubIndex!$A$4</definedName>
    <definedName name="PublishDate" localSheetId="23">IndexInformation!$B$2</definedName>
    <definedName name="q" hidden="1">'[10]Qtr Sales'!$EM$2:$FJ$127</definedName>
    <definedName name="Rating" localSheetId="23">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p" localSheetId="1" hidden="1">{#N/A,#N/A,FALSE,"COVER";#N/A,#N/A,FALSE,"VALUATION";#N/A,#N/A,FALSE,"FORECAST";#N/A,#N/A,FALSE,"FY ANALYSIS ";#N/A,#N/A,FALSE," HY ANALYSIS"}</definedName>
    <definedName name="rep" hidden="1">{#N/A,#N/A,FALSE,"COVER";#N/A,#N/A,FALSE,"VALUATION";#N/A,#N/A,FALSE,"FORECAST";#N/A,#N/A,FALSE,"FY ANALYSIS ";#N/A,#N/A,FALSE," HY ANALYSIS"}</definedName>
    <definedName name="RepairedName0004" hidden="1">"iQShowAnnual"</definedName>
    <definedName name="RepairedName0035" hidden="1">"iQShowAnnual"</definedName>
    <definedName name="RepairedName0074" hidden="1">"iQShowAnnual"</definedName>
    <definedName name="RepairedName2249" hidden="1">"iQShowAnnual"</definedName>
    <definedName name="ResearchTopic" localSheetId="23">IndexInformation!$B$4</definedName>
    <definedName name="RIC" localSheetId="23">IndexInformation!$B$21</definedName>
    <definedName name="SECSettlement" localSheetId="0">ImportantDisclosures!#REF!</definedName>
    <definedName name="SEDOL" localSheetId="23">IndexInformation!$B$22</definedName>
    <definedName name="sencount" hidden="1">2</definedName>
    <definedName name="SourceDefined" localSheetId="0">ImportantDisclosures!$A$19</definedName>
    <definedName name="StockRating" localSheetId="0">ImportantDisclosures!$A$11</definedName>
    <definedName name="SubjectCode" localSheetId="23">IndexInformation!$B$6</definedName>
    <definedName name="SubmitterUserId">IndexInformation!$B$39</definedName>
    <definedName name="SUPPRESSED" localSheetId="24">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23">IndexInformation!$B$19</definedName>
    <definedName name="UpdateReason" localSheetId="23">IndexInformation!$B$17</definedName>
    <definedName name="USRegDisclosures" localSheetId="0">ImportantDisclosures!#REF!</definedName>
    <definedName name="v" hidden="1">[9]ｾｸﾞﾒﾝﾄ!$E$164:$I$164</definedName>
    <definedName name="w" hidden="1">[9]単独!$AR$14:$AR$18</definedName>
    <definedName name="wrn.2._.pagers." localSheetId="1" hidden="1">{"Cover",#N/A,FALSE,"Cover";"Summary",#N/A,FALSE,"Summarpage"}</definedName>
    <definedName name="wrn.2._.pagers." hidden="1">{"Cover",#N/A,FALSE,"Cover";"Summary",#N/A,FALSE,"Summarpage"}</definedName>
    <definedName name="wrn.AGN._.MODELS." localSheetId="1" hidden="1">{"QTRINC1",#N/A,FALSE,"QTRINC";"QTRINC2",#N/A,FALSE,"QTRINC";"QTRSALES",#N/A,FALSE,"QTRSALES";"ANNSALES",#N/A,FALSE,"ANNSALES";"CASHFLOW",#N/A,FALSE,"CASHFLOW"}</definedName>
    <definedName name="wrn.AGN._.MODELS." hidden="1">{"QTRINC1",#N/A,FALSE,"QTRINC";"QTRINC2",#N/A,FALSE,"QTRINC";"QTRSALES",#N/A,FALSE,"QTRSALES";"ANNSALES",#N/A,FALSE,"ANNSALES";"CASHFLOW",#N/A,FALSE,"CASHFLOW"}</definedName>
    <definedName name="wrn.AHP._.MODELS." localSheetId="1" hidden="1">{"QTRINC",#N/A,FALSE,"QTRINC";"MARGIN",#N/A,FALSE,"MARGIN";"CASHFLOW",#N/A,FALSE,"CASHFLOW"}</definedName>
    <definedName name="wrn.AHP._.MODELS." hidden="1">{"QTRINC",#N/A,FALSE,"QTRINC";"MARGIN",#N/A,FALSE,"MARGIN";"CASHFLOW",#N/A,FALSE,"CASHFLOW"}</definedName>
    <definedName name="wrn.allpages." localSheetId="1" hidden="1">{#N/A,#N/A,TRUE,"Historicals";#N/A,#N/A,TRUE,"Charts";#N/A,#N/A,TRUE,"Forecasts"}</definedName>
    <definedName name="wrn.allpages." hidden="1">{#N/A,#N/A,TRUE,"Historicals";#N/A,#N/A,TRUE,"Charts";#N/A,#N/A,TRUE,"Forecasts"}</definedName>
    <definedName name="wrn.Annual._.Operating._.Earnings." localSheetId="1"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1." localSheetId="1"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Client._.cfbs." localSheetId="1" hidden="1">{"client cfbs",#N/A,FALSE,"Client"}</definedName>
    <definedName name="wrn.Client._.cfbs." hidden="1">{"client cfbs",#N/A,FALSE,"Client"}</definedName>
    <definedName name="wrn.Client._.is." localSheetId="1" hidden="1">{"Client is",#N/A,FALSE,"Client"}</definedName>
    <definedName name="wrn.Client._.is." hidden="1">{"Client is",#N/A,FALSE,"Client"}</definedName>
    <definedName name="wrn.Client._.stats." localSheetId="1" hidden="1">{"Client stats",#N/A,FALSE,"Client"}</definedName>
    <definedName name="wrn.Client._.stats." hidden="1">{"Client stats",#N/A,FALSE,"Client"}</definedName>
    <definedName name="wrn.Complete." localSheetId="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nsolidated._.Statements." localSheetId="1" hidden="1">{"view1",#N/A,FALSE,"EARN (US$)";"view1",#N/A,FALSE,"DASTBS (US$)";"view1",#N/A,FALSE,"DASTCF (US$)"}</definedName>
    <definedName name="wrn.Consolidated._.Statements." hidden="1">{"view1",#N/A,FALSE,"EARN (US$)";"view1",#N/A,FALSE,"DASTBS (US$)";"view1",#N/A,FALSE,"DASTCF (US$)"}</definedName>
    <definedName name="wrn.Forecast._.Q1." localSheetId="1"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1"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1"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1"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1"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1"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localSheetId="1" hidden="1">{#N/A,#N/A,FALSE,"COVER";#N/A,#N/A,FALSE,"VALUATION";#N/A,#N/A,FALSE,"FORECAST";#N/A,#N/A,FALSE,"FY ANALYSIS ";#N/A,#N/A,FALSE," HY ANALYSIS"}</definedName>
    <definedName name="wrn.Full._.Report." hidden="1">{#N/A,#N/A,FALSE,"COVER";#N/A,#N/A,FALSE,"VALUATION";#N/A,#N/A,FALSE,"FORECAST";#N/A,#N/A,FALSE,"FY ANALYSIS ";#N/A,#N/A,FALSE," HY ANALYSIS"}</definedName>
    <definedName name="wrn.Income._.Stmt." localSheetId="1" hidden="1">{"Income Stmt",#N/A,FALSE,"Model"}</definedName>
    <definedName name="wrn.Income._.Stmt." hidden="1">{"Income Stmt",#N/A,FALSE,"Model"}</definedName>
    <definedName name="wrn.Industry.xls." localSheetId="1"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Internal._.is." localSheetId="1" hidden="1">{"Internal is",#N/A,FALSE,"Model"}</definedName>
    <definedName name="wrn.Internal._.is." hidden="1">{"Internal is",#N/A,FALSE,"Model"}</definedName>
    <definedName name="wrn.Leases.xls." localSheetId="1" hidden="1">{#N/A,#N/A,FALSE,"Initial Year";#N/A,#N/A,FALSE,"Historical";#N/A,#N/A,FALSE,"balsheet";#N/A,#N/A,FALSE,"incstate";#N/A,#N/A,FALSE,"Fleet"}</definedName>
    <definedName name="wrn.Leases.xls." hidden="1">{#N/A,#N/A,FALSE,"Initial Year";#N/A,#N/A,FALSE,"Historical";#N/A,#N/A,FALSE,"balsheet";#N/A,#N/A,FALSE,"incstate";#N/A,#N/A,FALSE,"Fleet"}</definedName>
    <definedName name="wrn.MOBIL." hidden="1">{"quarter",#N/A,FALSE,"MOB"}</definedName>
    <definedName name="wrn.MODELS." localSheetId="1"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MODELS."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Portrait._.IS." localSheetId="1" hidden="1">{"Portrait letter is",#N/A,FALSE,"Model"}</definedName>
    <definedName name="wrn.Portrait._.IS." hidden="1">{"Portrait letter is",#N/A,FALSE,"Model"}</definedName>
    <definedName name="wrn.Portrait._.letter._.is." localSheetId="1" hidden="1">{"Portrait letter is",#N/A,FALSE,"Model"}</definedName>
    <definedName name="wrn.Portrait._.letter._.is." hidden="1">{"Portrait letter is",#N/A,FALSE,"Model"}</definedName>
    <definedName name="wrn.printall." localSheetId="1" hidden="1">{"printall",#N/A,FALSE,"BAIRNUMB"}</definedName>
    <definedName name="wrn.printall." hidden="1">{"printall",#N/A,FALSE,"BAIRNUMB"}</definedName>
    <definedName name="wrn.Pulp." localSheetId="1" hidden="1">{"Pulp Production",#N/A,FALSE,"Pulp";"Pulp Earnings",#N/A,FALSE,"Pulp"}</definedName>
    <definedName name="wrn.Pulp." hidden="1">{"Pulp Production",#N/A,FALSE,"Pulp";"Pulp Earnings",#N/A,FALSE,"Pulp"}</definedName>
    <definedName name="wrn.qrt95." localSheetId="1" hidden="1">{"qrt95",#N/A,FALSE,"BAIRNUMB"}</definedName>
    <definedName name="wrn.qrt95." hidden="1">{"qrt95",#N/A,FALSE,"BAIRNUMB"}</definedName>
    <definedName name="wrn.Qtr._.Op._.Q1." localSheetId="1"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2." localSheetId="1"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3." localSheetId="1"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4." localSheetId="1"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2a." localSheetId="1"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4." localSheetId="1" hidden="1">{"Qtr Op Mgd Q3",#N/A,FALSE,"Qtr-Op (Mng)";"Qtr Op Rpt Q4",#N/A,FALSE,"Qtr-Op (Rpt)";"Operating Vs Reported",#N/A,FALSE,"Rpt-Op Inc"}</definedName>
    <definedName name="wrn.Qtr_.Op._.Q4." hidden="1">{"Qtr Op Mgd Q3",#N/A,FALSE,"Qtr-Op (Mng)";"Qtr Op Rpt Q4",#N/A,FALSE,"Qtr-Op (Rpt)";"Operating Vs Reported",#N/A,FALSE,"Rpt-Op Inc"}</definedName>
    <definedName name="wrn.quarterly." localSheetId="1" hidden="1">{"quarterly",#N/A,FALSE,"BAIRNUMB"}</definedName>
    <definedName name="wrn.quarterly." hidden="1">{"quarterly",#N/A,FALSE,"BAIRNUMB"}</definedName>
    <definedName name="wrn.Report." localSheetId="1" hidden="1">{#N/A,#N/A,FALSE,"COVER";#N/A,#N/A,FALSE,"FORECAST";#N/A,#N/A,FALSE,"VALUATION";#N/A,#N/A,FALSE,"FY ANALYSIS ";#N/A,#N/A,FALSE," HY ANALYSIS"}</definedName>
    <definedName name="wrn.Report." hidden="1">{#N/A,#N/A,FALSE,"COVER";#N/A,#N/A,FALSE,"FORECAST";#N/A,#N/A,FALSE,"VALUATION";#N/A,#N/A,FALSE,"FY ANALYSIS ";#N/A,#N/A,FALSE," HY ANALYSIS"}</definedName>
    <definedName name="wrn.SGPMODELS." localSheetId="1" hidden="1">{"QTRINC1",#N/A,FALSE,"SGPNEW";"QTRINC2",#N/A,FALSE,"SGPNEW";"USSALES1",#N/A,FALSE,"SGPNEW";"USSALES2",#N/A,FALSE,"SGPNEW";"INTLSALES1",#N/A,FALSE,"SGPNEW";"INTLSALES2",#N/A,FALSE,"SGPNEW";"WWSALES1",#N/A,FALSE,"SGPNEW";"WWSALES2",#N/A,FALSE,"SGPNEW";"NEWPRODS",#N/A,FALSE,"SGPNEW";"CASHFLOW",#N/A,FALSE,"SGPNEW"}</definedName>
    <definedName name="wrn.SGPMODELS." hidden="1">{"QTRINC1",#N/A,FALSE,"SGPNEW";"QTRINC2",#N/A,FALSE,"SGPNEW";"USSALES1",#N/A,FALSE,"SGPNEW";"USSALES2",#N/A,FALSE,"SGPNEW";"INTLSALES1",#N/A,FALSE,"SGPNEW";"INTLSALES2",#N/A,FALSE,"SGPNEW";"WWSALES1",#N/A,FALSE,"SGPNEW";"WWSALES2",#N/A,FALSE,"SGPNEW";"NEWPRODS",#N/A,FALSE,"SGPNEW";"CASHFLOW",#N/A,FALSE,"SGPNEW"}</definedName>
    <definedName name="wrn.Tables." localSheetId="1" hidden="1">{"view1",#N/A,FALSE,"Tables";"view2",#N/A,FALSE,"Tables";"view3",#N/A,FALSE,"Tables"}</definedName>
    <definedName name="wrn.Tables." hidden="1">{"view1",#N/A,FALSE,"Tables";"view2",#N/A,FALSE,"Tables";"view3",#N/A,FALSE,"Tables"}</definedName>
    <definedName name="wrn.Variance._.3." localSheetId="1" hidden="1">{"Variance Q3",#N/A,FALSE,"Var"}</definedName>
    <definedName name="wrn.Variance._.3." hidden="1">{"Variance Q3",#N/A,FALSE,"Var"}</definedName>
    <definedName name="wrn.Variance._.Q1." localSheetId="1" hidden="1">{"Variance Q1",#N/A,FALSE,"Var"}</definedName>
    <definedName name="wrn.Variance._.Q1." hidden="1">{"Variance Q1",#N/A,FALSE,"Var"}</definedName>
    <definedName name="wrn.Variance._.Q2." localSheetId="1" hidden="1">{"Variance Q2",#N/A,FALSE,"Var"}</definedName>
    <definedName name="wrn.Variance._.Q2." hidden="1">{"Variance Q2",#N/A,FALSE,"Var"}</definedName>
    <definedName name="wrn.Variance._.Q3." localSheetId="1" hidden="1">{"Variance Q3",#N/A,FALSE,"Var"}</definedName>
    <definedName name="wrn.Variance._.Q3." hidden="1">{"Variance Q3",#N/A,FALSE,"Var"}</definedName>
    <definedName name="wrn.Variance._.Q4" localSheetId="1" hidden="1">{"Variance Q4",#N/A,FALSE,"Var"}</definedName>
    <definedName name="wrn.Variance._.Q4" hidden="1">{"Variance Q4",#N/A,FALSE,"Var"}</definedName>
    <definedName name="wrn.Variance._.Q4." localSheetId="1" hidden="1">{"Variance Q4",#N/A,FALSE,"Var"}</definedName>
    <definedName name="wrn.Variance._.Q4." hidden="1">{"Variance Q4",#N/A,FALSE,"Var"}</definedName>
    <definedName name="wrn.WLAVARIANCEANALYSIS." localSheetId="1" hidden="1">{"INCOME STATEMENT",#N/A,FALSE,"IS";"WWSALES",#N/A,FALSE,"WWSALES";"USSALES",#N/A,FALSE,"USSALES";"INTLSALES",#N/A,FALSE,"INTLSALES"}</definedName>
    <definedName name="wrn.WLAVARIANCEANALYSIS." hidden="1">{"INCOME STATEMENT",#N/A,FALSE,"IS";"WWSALES",#N/A,FALSE,"WWSALES";"USSALES",#N/A,FALSE,"USSALES";"INTLSALES",#N/A,FALSE,"INTLSALES"}</definedName>
  </definedNames>
  <calcPr calcId="145621" iterate="1"/>
</workbook>
</file>

<file path=xl/calcChain.xml><?xml version="1.0" encoding="utf-8"?>
<calcChain xmlns="http://schemas.openxmlformats.org/spreadsheetml/2006/main">
  <c r="CQ12" i="17" l="1"/>
  <c r="CQ11" i="17"/>
  <c r="CQ10" i="17"/>
  <c r="CP12" i="17"/>
  <c r="CP11" i="17"/>
  <c r="CP10" i="17"/>
  <c r="AY4" i="13" l="1"/>
  <c r="BS85" i="35" l="1"/>
  <c r="BT85" i="35" s="1"/>
  <c r="BU85" i="35" s="1"/>
  <c r="BV85" i="35" s="1"/>
  <c r="BJ81" i="35"/>
  <c r="BJ82" i="35"/>
  <c r="BJ85" i="35"/>
  <c r="BJ87" i="35"/>
  <c r="BJ80" i="35"/>
  <c r="BG80" i="35"/>
  <c r="BH80" i="35"/>
  <c r="BI80" i="35"/>
  <c r="BG81" i="35"/>
  <c r="BH81" i="35"/>
  <c r="BI81" i="35"/>
  <c r="AT25" i="1" l="1"/>
  <c r="AU51" i="2"/>
  <c r="AP51" i="2"/>
  <c r="AK51" i="2"/>
  <c r="BR24" i="3" l="1"/>
  <c r="BW24" i="3" s="1"/>
  <c r="CB24" i="3" s="1"/>
  <c r="CG24" i="3" s="1"/>
  <c r="CL24" i="3" s="1"/>
  <c r="CQ24" i="3" s="1"/>
  <c r="CV24" i="3" s="1"/>
  <c r="DA24" i="3" s="1"/>
  <c r="DF24" i="3" s="1"/>
  <c r="BN24" i="3"/>
  <c r="BS24" i="3" s="1"/>
  <c r="BX24" i="3" s="1"/>
  <c r="CC24" i="3" s="1"/>
  <c r="CH24" i="3" s="1"/>
  <c r="CM24" i="3" s="1"/>
  <c r="CR24" i="3" s="1"/>
  <c r="CW24" i="3" s="1"/>
  <c r="DB24" i="3" s="1"/>
  <c r="DG24" i="3" s="1"/>
  <c r="BM24" i="3"/>
  <c r="BL24" i="3"/>
  <c r="BQ24" i="3" s="1"/>
  <c r="BV24" i="3" s="1"/>
  <c r="CA24" i="3" s="1"/>
  <c r="CF24" i="3" s="1"/>
  <c r="CK24" i="3" s="1"/>
  <c r="CP24" i="3" s="1"/>
  <c r="CU24" i="3" s="1"/>
  <c r="CZ24" i="3" s="1"/>
  <c r="DE24" i="3" s="1"/>
  <c r="BK24" i="3"/>
  <c r="BP24" i="3" s="1"/>
  <c r="BU24" i="3" s="1"/>
  <c r="BZ24" i="3" s="1"/>
  <c r="CE24" i="3" s="1"/>
  <c r="CJ24" i="3" s="1"/>
  <c r="CO24" i="3" s="1"/>
  <c r="CT24" i="3" s="1"/>
  <c r="CY24" i="3" s="1"/>
  <c r="DD24" i="3" s="1"/>
  <c r="BJ24" i="3"/>
  <c r="BO24" i="3" s="1"/>
  <c r="BT24" i="3" s="1"/>
  <c r="BY24" i="3" s="1"/>
  <c r="CD24" i="3" s="1"/>
  <c r="CI24" i="3" s="1"/>
  <c r="CN24" i="3" s="1"/>
  <c r="CS24" i="3" s="1"/>
  <c r="CX24" i="3" s="1"/>
  <c r="DC24" i="3" s="1"/>
  <c r="DH24" i="3" s="1"/>
  <c r="BE24" i="3"/>
  <c r="AZ24" i="3"/>
  <c r="AZ32" i="2" l="1"/>
  <c r="AT50" i="13"/>
  <c r="AU50" i="13"/>
  <c r="AU51" i="13"/>
  <c r="AT45" i="13"/>
  <c r="AT44" i="13"/>
  <c r="AT43" i="13"/>
  <c r="AT39" i="13"/>
  <c r="AU39" i="13"/>
  <c r="AT36" i="13"/>
  <c r="AU36" i="13"/>
  <c r="AT38" i="13"/>
  <c r="AT31" i="13"/>
  <c r="AT30" i="13"/>
  <c r="AU30" i="13"/>
  <c r="AT24" i="13"/>
  <c r="AU24" i="13"/>
  <c r="AT20" i="13"/>
  <c r="AT19" i="13"/>
  <c r="AT25" i="13"/>
  <c r="AU30" i="1" l="1"/>
  <c r="W22" i="67" l="1"/>
  <c r="X22" i="67"/>
  <c r="Y22" i="67"/>
  <c r="Y34" i="67" s="1"/>
  <c r="BH29" i="13" s="1"/>
  <c r="Z22" i="67"/>
  <c r="AA22" i="67"/>
  <c r="AB22" i="67"/>
  <c r="AC22" i="67"/>
  <c r="AC34" i="67" s="1"/>
  <c r="BL29" i="13" s="1"/>
  <c r="AD22" i="67"/>
  <c r="AE22" i="67"/>
  <c r="AF22" i="67"/>
  <c r="AG22" i="67"/>
  <c r="AG34" i="67" s="1"/>
  <c r="BP29" i="13" s="1"/>
  <c r="AH22" i="67"/>
  <c r="AI22" i="67"/>
  <c r="AJ22" i="67"/>
  <c r="AK22" i="67"/>
  <c r="AL22" i="67"/>
  <c r="AM22" i="67"/>
  <c r="AN22" i="67"/>
  <c r="AO22" i="67"/>
  <c r="AP22" i="67"/>
  <c r="AQ22" i="67"/>
  <c r="AR22" i="67"/>
  <c r="AS22" i="67"/>
  <c r="AS34" i="67" s="1"/>
  <c r="CB29" i="13" s="1"/>
  <c r="AT22" i="67"/>
  <c r="AU22" i="67"/>
  <c r="AV22" i="67"/>
  <c r="AW22" i="67"/>
  <c r="AW34" i="67" s="1"/>
  <c r="CF29" i="13" s="1"/>
  <c r="AX22" i="67"/>
  <c r="AY22" i="67"/>
  <c r="AZ22" i="67"/>
  <c r="BA22" i="67"/>
  <c r="BA34" i="67" s="1"/>
  <c r="CJ29" i="13" s="1"/>
  <c r="BB22" i="67"/>
  <c r="BC22" i="67"/>
  <c r="BD22" i="67"/>
  <c r="BE22" i="67"/>
  <c r="BE34" i="67" s="1"/>
  <c r="CN29" i="13" s="1"/>
  <c r="BF22" i="67"/>
  <c r="BG22" i="67"/>
  <c r="BH22" i="67"/>
  <c r="BI22" i="67"/>
  <c r="BI34" i="67" s="1"/>
  <c r="CR29" i="13" s="1"/>
  <c r="BJ22" i="67"/>
  <c r="BK22" i="67"/>
  <c r="BL22" i="67"/>
  <c r="BM22" i="67"/>
  <c r="BM34" i="67" s="1"/>
  <c r="CV29" i="13" s="1"/>
  <c r="BN22" i="67"/>
  <c r="BO22" i="67"/>
  <c r="BP22" i="67"/>
  <c r="BQ22" i="67"/>
  <c r="BQ34" i="67" s="1"/>
  <c r="CZ29" i="13" s="1"/>
  <c r="BR22" i="67"/>
  <c r="BS22" i="67"/>
  <c r="BT22" i="67"/>
  <c r="BT34" i="67" s="1"/>
  <c r="DC29" i="13" s="1"/>
  <c r="BU22" i="67"/>
  <c r="BU34" i="67" s="1"/>
  <c r="DD29" i="13" s="1"/>
  <c r="BV22" i="67"/>
  <c r="BW22" i="67"/>
  <c r="BX22" i="67"/>
  <c r="BY22" i="67"/>
  <c r="BY34" i="67" s="1"/>
  <c r="V22" i="67"/>
  <c r="AK21" i="67"/>
  <c r="AP21" i="67" s="1"/>
  <c r="AU21" i="67" s="1"/>
  <c r="AZ21" i="67" s="1"/>
  <c r="BE21" i="67" s="1"/>
  <c r="BJ21" i="67" s="1"/>
  <c r="BO21" i="67" s="1"/>
  <c r="BT21" i="67" s="1"/>
  <c r="BY21" i="67" s="1"/>
  <c r="AF21" i="67"/>
  <c r="AA21" i="67"/>
  <c r="V21" i="67"/>
  <c r="P21" i="67"/>
  <c r="O21" i="67"/>
  <c r="N21" i="67"/>
  <c r="M21" i="67"/>
  <c r="M32" i="67"/>
  <c r="N32" i="67"/>
  <c r="O32" i="67"/>
  <c r="P32" i="67"/>
  <c r="R32" i="67"/>
  <c r="S32" i="67"/>
  <c r="T32" i="67"/>
  <c r="U32" i="67"/>
  <c r="V32" i="67"/>
  <c r="W32" i="67"/>
  <c r="X32" i="67"/>
  <c r="Y32" i="67"/>
  <c r="Z32" i="67"/>
  <c r="AA32" i="67"/>
  <c r="AB32" i="67"/>
  <c r="AC32" i="67"/>
  <c r="AD32" i="67"/>
  <c r="AE32" i="67"/>
  <c r="AF32" i="67"/>
  <c r="AG32" i="67"/>
  <c r="AH32" i="67"/>
  <c r="AI32" i="67"/>
  <c r="AJ32" i="67"/>
  <c r="AK32" i="67"/>
  <c r="AL32" i="67"/>
  <c r="AM32" i="67"/>
  <c r="AN32" i="67"/>
  <c r="AO32" i="67"/>
  <c r="AP32" i="67"/>
  <c r="AQ32" i="67"/>
  <c r="AR32" i="67"/>
  <c r="AS32" i="67"/>
  <c r="AT32" i="67"/>
  <c r="AU32" i="67"/>
  <c r="AV32" i="67"/>
  <c r="AW32" i="67"/>
  <c r="AX32" i="67"/>
  <c r="AY32" i="67"/>
  <c r="AZ32" i="67"/>
  <c r="BA32" i="67"/>
  <c r="BB32" i="67"/>
  <c r="BC32" i="67"/>
  <c r="BD32" i="67"/>
  <c r="BE32" i="67"/>
  <c r="BF32" i="67"/>
  <c r="BG32" i="67"/>
  <c r="BH32" i="67"/>
  <c r="BI32" i="67"/>
  <c r="BJ32" i="67"/>
  <c r="BK32" i="67"/>
  <c r="BL32" i="67"/>
  <c r="BM32" i="67"/>
  <c r="BN32" i="67"/>
  <c r="BO32" i="67"/>
  <c r="BP32" i="67"/>
  <c r="BQ32" i="67"/>
  <c r="BR32" i="67"/>
  <c r="BS32" i="67"/>
  <c r="BT32" i="67"/>
  <c r="BU32" i="67"/>
  <c r="BV32" i="67"/>
  <c r="BW32" i="67"/>
  <c r="BX32" i="67"/>
  <c r="BY32" i="67"/>
  <c r="Q32" i="67"/>
  <c r="AW5" i="13"/>
  <c r="AX5" i="13"/>
  <c r="AY5" i="13"/>
  <c r="AZ5" i="13"/>
  <c r="BA5" i="13"/>
  <c r="BA7" i="13" s="1"/>
  <c r="BB5" i="13"/>
  <c r="BB7" i="13" s="1"/>
  <c r="BC5" i="13"/>
  <c r="BC7" i="13" s="1"/>
  <c r="BD5" i="13"/>
  <c r="BD7" i="13" s="1"/>
  <c r="BE5" i="13"/>
  <c r="BF5" i="13"/>
  <c r="BF7" i="13" s="1"/>
  <c r="BG5" i="13"/>
  <c r="BG7" i="13" s="1"/>
  <c r="BH5" i="13"/>
  <c r="BH7" i="13" s="1"/>
  <c r="BI5" i="13"/>
  <c r="BI7" i="13" s="1"/>
  <c r="BJ5" i="13"/>
  <c r="BK5" i="13"/>
  <c r="BK7" i="13" s="1"/>
  <c r="BL5" i="13"/>
  <c r="BL7" i="13" s="1"/>
  <c r="BM5" i="13"/>
  <c r="BM7" i="13" s="1"/>
  <c r="BN5" i="13"/>
  <c r="BN7" i="13" s="1"/>
  <c r="BO5" i="13"/>
  <c r="BP5" i="13"/>
  <c r="BP7" i="13" s="1"/>
  <c r="BQ5" i="13"/>
  <c r="BQ7" i="13" s="1"/>
  <c r="BR5" i="13"/>
  <c r="BR7" i="13" s="1"/>
  <c r="BS5" i="13"/>
  <c r="BS7" i="13" s="1"/>
  <c r="BT5" i="13"/>
  <c r="BU5" i="13"/>
  <c r="BU7" i="13" s="1"/>
  <c r="BV5" i="13"/>
  <c r="BV7" i="13" s="1"/>
  <c r="BW5" i="13"/>
  <c r="BW7" i="13" s="1"/>
  <c r="BX5" i="13"/>
  <c r="BX7" i="13" s="1"/>
  <c r="BY5" i="13"/>
  <c r="BZ5" i="13"/>
  <c r="BZ7" i="13" s="1"/>
  <c r="CA5" i="13"/>
  <c r="CA7" i="13" s="1"/>
  <c r="CB5" i="13"/>
  <c r="CB7" i="13" s="1"/>
  <c r="CC5" i="13"/>
  <c r="CC7" i="13" s="1"/>
  <c r="CD5" i="13"/>
  <c r="CE5" i="13"/>
  <c r="CE7" i="13" s="1"/>
  <c r="CF5" i="13"/>
  <c r="CF7" i="13" s="1"/>
  <c r="CG5" i="13"/>
  <c r="CG7" i="13" s="1"/>
  <c r="CH5" i="13"/>
  <c r="CH7" i="13" s="1"/>
  <c r="CI5" i="13"/>
  <c r="CJ5" i="13"/>
  <c r="CJ7" i="13" s="1"/>
  <c r="CK5" i="13"/>
  <c r="CK7" i="13" s="1"/>
  <c r="CL5" i="13"/>
  <c r="CL7" i="13" s="1"/>
  <c r="CM5" i="13"/>
  <c r="CM7" i="13" s="1"/>
  <c r="CN5" i="13"/>
  <c r="CO5" i="13"/>
  <c r="CO7" i="13" s="1"/>
  <c r="CP5" i="13"/>
  <c r="CP7" i="13" s="1"/>
  <c r="CQ5" i="13"/>
  <c r="CQ7" i="13" s="1"/>
  <c r="CR5" i="13"/>
  <c r="CR7" i="13" s="1"/>
  <c r="CS5" i="13"/>
  <c r="CT5" i="13"/>
  <c r="CT7" i="13" s="1"/>
  <c r="CU5" i="13"/>
  <c r="CU7" i="13" s="1"/>
  <c r="CV5" i="13"/>
  <c r="CV7" i="13" s="1"/>
  <c r="CW5" i="13"/>
  <c r="CW7" i="13" s="1"/>
  <c r="CX5" i="13"/>
  <c r="CY5" i="13"/>
  <c r="CY7" i="13" s="1"/>
  <c r="CZ5" i="13"/>
  <c r="CZ7" i="13" s="1"/>
  <c r="DA5" i="13"/>
  <c r="DA7" i="13" s="1"/>
  <c r="DB5" i="13"/>
  <c r="DB7" i="13" s="1"/>
  <c r="DC5" i="13"/>
  <c r="DD5" i="13"/>
  <c r="DD7" i="13" s="1"/>
  <c r="DE5" i="13"/>
  <c r="DE7" i="13" s="1"/>
  <c r="DF5" i="13"/>
  <c r="DF7" i="13" s="1"/>
  <c r="DG5" i="13"/>
  <c r="DG7" i="13" s="1"/>
  <c r="DH5" i="13"/>
  <c r="AV5" i="13"/>
  <c r="AZ20"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U18" i="1"/>
  <c r="CV18" i="1"/>
  <c r="CW18" i="1"/>
  <c r="CX18" i="1"/>
  <c r="CY18" i="1"/>
  <c r="CZ18" i="1"/>
  <c r="DA18" i="1"/>
  <c r="DB18" i="1"/>
  <c r="DC18" i="1"/>
  <c r="DD18" i="1"/>
  <c r="DE18" i="1"/>
  <c r="DF18" i="1"/>
  <c r="DG18" i="1"/>
  <c r="DH18" i="1"/>
  <c r="AV18" i="1"/>
  <c r="AW29" i="13"/>
  <c r="AX29" i="13"/>
  <c r="AY29" i="13"/>
  <c r="AZ29" i="13"/>
  <c r="BA29" i="13"/>
  <c r="BB29" i="13"/>
  <c r="BC29" i="13"/>
  <c r="BD29" i="13"/>
  <c r="BM29" i="13"/>
  <c r="BQ29" i="13"/>
  <c r="BU29" i="13"/>
  <c r="BY29" i="13"/>
  <c r="DE29" i="13"/>
  <c r="AV29" i="13"/>
  <c r="AP34" i="67"/>
  <c r="AK34" i="67"/>
  <c r="BT29" i="13" s="1"/>
  <c r="AF34" i="67"/>
  <c r="BO29" i="13" s="1"/>
  <c r="AA34" i="67"/>
  <c r="BJ29" i="13" s="1"/>
  <c r="N33" i="67"/>
  <c r="O33" i="67"/>
  <c r="P33" i="67"/>
  <c r="Q33" i="67"/>
  <c r="R33" i="67"/>
  <c r="S33" i="67"/>
  <c r="T33" i="67"/>
  <c r="U33" i="67"/>
  <c r="V33" i="67"/>
  <c r="W33" i="67"/>
  <c r="X33" i="67"/>
  <c r="Y33" i="67"/>
  <c r="Z33" i="67"/>
  <c r="AA33" i="67"/>
  <c r="AB33" i="67"/>
  <c r="AC33" i="67"/>
  <c r="AD33" i="67"/>
  <c r="AE33" i="67"/>
  <c r="AF33" i="67"/>
  <c r="AG33" i="67"/>
  <c r="AH33" i="67"/>
  <c r="AI33" i="67"/>
  <c r="AJ33" i="67"/>
  <c r="AK33" i="67"/>
  <c r="AL33" i="67"/>
  <c r="AM33" i="67"/>
  <c r="AN33" i="67"/>
  <c r="AO33" i="67"/>
  <c r="AP33" i="67"/>
  <c r="AQ33" i="67"/>
  <c r="AR33" i="67"/>
  <c r="AS33" i="67"/>
  <c r="AT33" i="67"/>
  <c r="AU33" i="67"/>
  <c r="AV33" i="67"/>
  <c r="AW33" i="67"/>
  <c r="AX33" i="67"/>
  <c r="AY33" i="67"/>
  <c r="AZ33" i="67"/>
  <c r="BA33" i="67"/>
  <c r="BB33" i="67"/>
  <c r="BC33" i="67"/>
  <c r="BD33" i="67"/>
  <c r="BE33" i="67"/>
  <c r="BF33" i="67"/>
  <c r="BG33" i="67"/>
  <c r="BH33" i="67"/>
  <c r="BI33" i="67"/>
  <c r="BJ33" i="67"/>
  <c r="BK33" i="67"/>
  <c r="BL33" i="67"/>
  <c r="BM33" i="67"/>
  <c r="BN33" i="67"/>
  <c r="BO33" i="67"/>
  <c r="BP33" i="67"/>
  <c r="BQ33" i="67"/>
  <c r="BR33" i="67"/>
  <c r="BS33" i="67"/>
  <c r="BT33" i="67"/>
  <c r="BU33" i="67"/>
  <c r="BV33" i="67"/>
  <c r="BW33" i="67"/>
  <c r="BX33" i="67"/>
  <c r="BY33" i="67"/>
  <c r="M33" i="67"/>
  <c r="N34" i="67"/>
  <c r="O34" i="67"/>
  <c r="P34" i="67"/>
  <c r="Q34" i="67"/>
  <c r="R34" i="67"/>
  <c r="S34" i="67"/>
  <c r="T34" i="67"/>
  <c r="U34" i="67"/>
  <c r="V34" i="67"/>
  <c r="BE29" i="13" s="1"/>
  <c r="W34" i="67"/>
  <c r="BF29" i="13" s="1"/>
  <c r="X34" i="67"/>
  <c r="BG29" i="13" s="1"/>
  <c r="Z34" i="67"/>
  <c r="BI29" i="13" s="1"/>
  <c r="AB34" i="67"/>
  <c r="BK29" i="13" s="1"/>
  <c r="AD34" i="67"/>
  <c r="AE34" i="67"/>
  <c r="BN29" i="13" s="1"/>
  <c r="AH34" i="67"/>
  <c r="AI34" i="67"/>
  <c r="BR29" i="13" s="1"/>
  <c r="AJ34" i="67"/>
  <c r="BS29" i="13" s="1"/>
  <c r="AL34" i="67"/>
  <c r="AM34" i="67"/>
  <c r="BV29" i="13" s="1"/>
  <c r="AN34" i="67"/>
  <c r="BW29" i="13" s="1"/>
  <c r="AO34" i="67"/>
  <c r="BX29" i="13" s="1"/>
  <c r="AQ34" i="67"/>
  <c r="BZ29" i="13" s="1"/>
  <c r="AR34" i="67"/>
  <c r="CA29" i="13" s="1"/>
  <c r="AT34" i="67"/>
  <c r="CC29" i="13" s="1"/>
  <c r="AU34" i="67"/>
  <c r="CD29" i="13" s="1"/>
  <c r="AV34" i="67"/>
  <c r="CE29" i="13" s="1"/>
  <c r="AX34" i="67"/>
  <c r="CG29" i="13" s="1"/>
  <c r="AY34" i="67"/>
  <c r="CH29" i="13" s="1"/>
  <c r="AZ34" i="67"/>
  <c r="CI29" i="13" s="1"/>
  <c r="BB34" i="67"/>
  <c r="CK29" i="13" s="1"/>
  <c r="BC34" i="67"/>
  <c r="CL29" i="13" s="1"/>
  <c r="BD34" i="67"/>
  <c r="CM29" i="13" s="1"/>
  <c r="BF34" i="67"/>
  <c r="CO29" i="13" s="1"/>
  <c r="BG34" i="67"/>
  <c r="CP29" i="13" s="1"/>
  <c r="BH34" i="67"/>
  <c r="CQ29" i="13" s="1"/>
  <c r="BJ34" i="67"/>
  <c r="CS29" i="13" s="1"/>
  <c r="BK34" i="67"/>
  <c r="CT29" i="13" s="1"/>
  <c r="BL34" i="67"/>
  <c r="CU29" i="13" s="1"/>
  <c r="BN34" i="67"/>
  <c r="CW29" i="13" s="1"/>
  <c r="BO34" i="67"/>
  <c r="CX29" i="13" s="1"/>
  <c r="BP34" i="67"/>
  <c r="CY29" i="13" s="1"/>
  <c r="BR34" i="67"/>
  <c r="DA29" i="13" s="1"/>
  <c r="BS34" i="67"/>
  <c r="DB29" i="13" s="1"/>
  <c r="BV34" i="67"/>
  <c r="BW34" i="67"/>
  <c r="DF29" i="13" s="1"/>
  <c r="BX34" i="67"/>
  <c r="DG29" i="13" s="1"/>
  <c r="M34" i="67"/>
  <c r="N31" i="67"/>
  <c r="O31" i="67"/>
  <c r="P31" i="67"/>
  <c r="Q31" i="67"/>
  <c r="R31" i="67"/>
  <c r="S31" i="67"/>
  <c r="T31" i="67"/>
  <c r="U31" i="67"/>
  <c r="V31" i="67"/>
  <c r="W31" i="67"/>
  <c r="X31" i="67"/>
  <c r="Y31" i="67"/>
  <c r="Z31" i="67"/>
  <c r="AA31" i="67"/>
  <c r="AB31" i="67"/>
  <c r="AC31" i="67"/>
  <c r="AD31" i="67"/>
  <c r="AE31" i="67"/>
  <c r="AF31" i="67"/>
  <c r="AG31" i="67"/>
  <c r="AH31" i="67"/>
  <c r="AI31" i="67"/>
  <c r="AJ31" i="67"/>
  <c r="AK31" i="67"/>
  <c r="AL31" i="67"/>
  <c r="AM31" i="67"/>
  <c r="AN31" i="67"/>
  <c r="AO31" i="67"/>
  <c r="AP31" i="67"/>
  <c r="AQ31" i="67"/>
  <c r="AR31" i="67"/>
  <c r="AS31" i="67"/>
  <c r="AT31" i="67"/>
  <c r="AU31" i="67"/>
  <c r="AV31" i="67"/>
  <c r="AW31" i="67"/>
  <c r="AX31" i="67"/>
  <c r="AY31" i="67"/>
  <c r="AZ31" i="67"/>
  <c r="BA31" i="67"/>
  <c r="BB31" i="67"/>
  <c r="BC31" i="67"/>
  <c r="BD31" i="67"/>
  <c r="BE31" i="67"/>
  <c r="BF31" i="67"/>
  <c r="BG31" i="67"/>
  <c r="BH31" i="67"/>
  <c r="BI31" i="67"/>
  <c r="BJ31" i="67"/>
  <c r="BK31" i="67"/>
  <c r="BL31" i="67"/>
  <c r="BM31" i="67"/>
  <c r="BN31" i="67"/>
  <c r="BO31" i="67"/>
  <c r="BP31" i="67"/>
  <c r="BQ31" i="67"/>
  <c r="BR31" i="67"/>
  <c r="BS31" i="67"/>
  <c r="BT31" i="67"/>
  <c r="BU31" i="67"/>
  <c r="BV31" i="67"/>
  <c r="BW31" i="67"/>
  <c r="BX31" i="67"/>
  <c r="BY31" i="67"/>
  <c r="M31" i="67"/>
  <c r="BA18" i="67"/>
  <c r="BB18" i="67"/>
  <c r="BC18" i="67"/>
  <c r="BD18" i="67"/>
  <c r="BE18" i="67"/>
  <c r="BF18" i="67"/>
  <c r="BG18" i="67"/>
  <c r="BH18" i="67"/>
  <c r="BI18" i="67"/>
  <c r="BJ18" i="67"/>
  <c r="BK18" i="67"/>
  <c r="BL18" i="67"/>
  <c r="BM18" i="67"/>
  <c r="BN18" i="67"/>
  <c r="BO18" i="67"/>
  <c r="BP18" i="67"/>
  <c r="BQ18" i="67"/>
  <c r="BR18" i="67"/>
  <c r="BS18" i="67"/>
  <c r="BT18" i="67"/>
  <c r="BU18" i="67"/>
  <c r="BV18" i="67"/>
  <c r="BW18" i="67"/>
  <c r="BX18" i="67"/>
  <c r="BY18" i="67"/>
  <c r="AZ18" i="67"/>
  <c r="AZ19" i="67" s="1"/>
  <c r="AU18" i="67"/>
  <c r="AU19" i="67" s="1"/>
  <c r="AP18" i="67"/>
  <c r="AL20" i="67"/>
  <c r="AM20" i="67"/>
  <c r="AN20" i="67"/>
  <c r="AO20" i="67"/>
  <c r="AP20" i="67"/>
  <c r="AQ20" i="67"/>
  <c r="AR20" i="67"/>
  <c r="AS20" i="67"/>
  <c r="AT20" i="67"/>
  <c r="AU20" i="67"/>
  <c r="AV20" i="67"/>
  <c r="AW20" i="67"/>
  <c r="AX20" i="67"/>
  <c r="AY20" i="67"/>
  <c r="AZ20" i="67"/>
  <c r="BA20" i="67"/>
  <c r="BB20" i="67"/>
  <c r="BC20" i="67"/>
  <c r="BD20" i="67"/>
  <c r="BE20" i="67"/>
  <c r="BF20" i="67"/>
  <c r="BG20" i="67"/>
  <c r="BH20" i="67"/>
  <c r="BI20" i="67"/>
  <c r="BJ20" i="67"/>
  <c r="BK20" i="67"/>
  <c r="BL20" i="67"/>
  <c r="BM20" i="67"/>
  <c r="BN20" i="67"/>
  <c r="BO20" i="67"/>
  <c r="BP20" i="67"/>
  <c r="BQ20" i="67"/>
  <c r="BR20" i="67"/>
  <c r="BS20" i="67"/>
  <c r="BT20" i="67"/>
  <c r="BU20" i="67"/>
  <c r="BV20" i="67"/>
  <c r="BW20" i="67"/>
  <c r="BX20" i="67"/>
  <c r="BY20" i="67"/>
  <c r="AK20" i="67"/>
  <c r="AF20" i="67"/>
  <c r="AA20" i="67"/>
  <c r="V20" i="67"/>
  <c r="W19" i="67"/>
  <c r="X19" i="67"/>
  <c r="Y19" i="67"/>
  <c r="Z19" i="67"/>
  <c r="AA19" i="67"/>
  <c r="AB19" i="67"/>
  <c r="AC19" i="67"/>
  <c r="AD19" i="67"/>
  <c r="AE19" i="67"/>
  <c r="AF19" i="67"/>
  <c r="AG19" i="67"/>
  <c r="AH19" i="67"/>
  <c r="AI19" i="67"/>
  <c r="AJ19" i="67"/>
  <c r="AK19" i="67"/>
  <c r="AL19" i="67"/>
  <c r="AM19" i="67"/>
  <c r="AN19" i="67"/>
  <c r="AO19" i="67"/>
  <c r="AP19" i="67"/>
  <c r="AQ19" i="67"/>
  <c r="AR19" i="67"/>
  <c r="AS19" i="67"/>
  <c r="AT19" i="67"/>
  <c r="AV19" i="67"/>
  <c r="AW19" i="67"/>
  <c r="AX19" i="67"/>
  <c r="AY19" i="67"/>
  <c r="BA19" i="67"/>
  <c r="BB19" i="67"/>
  <c r="BC19" i="67"/>
  <c r="BD19" i="67"/>
  <c r="BE19" i="67"/>
  <c r="BF19" i="67"/>
  <c r="BG19" i="67"/>
  <c r="BH19" i="67"/>
  <c r="BI19" i="67"/>
  <c r="BJ19" i="67"/>
  <c r="BK19" i="67"/>
  <c r="BL19" i="67"/>
  <c r="BM19" i="67"/>
  <c r="BN19" i="67"/>
  <c r="BO19" i="67"/>
  <c r="BP19" i="67"/>
  <c r="BQ19" i="67"/>
  <c r="BR19" i="67"/>
  <c r="BS19" i="67"/>
  <c r="BT19" i="67"/>
  <c r="BU19" i="67"/>
  <c r="BV19" i="67"/>
  <c r="BW19" i="67"/>
  <c r="BX19" i="67"/>
  <c r="BY19" i="67"/>
  <c r="V19" i="67"/>
  <c r="DR2" i="1"/>
  <c r="DH29" i="13" l="1"/>
  <c r="W81" i="17"/>
  <c r="V76" i="17"/>
  <c r="W70" i="17"/>
  <c r="V70" i="17"/>
  <c r="W69" i="17"/>
  <c r="V69" i="17"/>
  <c r="W67" i="17"/>
  <c r="V67" i="17"/>
  <c r="W66" i="17"/>
  <c r="W65" i="17"/>
  <c r="V65" i="17"/>
  <c r="V64" i="17"/>
  <c r="W62" i="17"/>
  <c r="W51" i="17"/>
  <c r="V31" i="17"/>
  <c r="V11" i="17"/>
  <c r="W7" i="17"/>
  <c r="AJ42" i="6"/>
  <c r="AJ38" i="6" s="1"/>
  <c r="AK8" i="6"/>
  <c r="BJ18" i="35"/>
  <c r="BJ16" i="35"/>
  <c r="BI18" i="35"/>
  <c r="BI16" i="35"/>
  <c r="BJ10" i="35"/>
  <c r="BI10" i="35"/>
  <c r="BI12" i="35"/>
  <c r="BI11" i="35"/>
  <c r="BJ6" i="35"/>
  <c r="BJ5" i="35"/>
  <c r="AT70" i="1"/>
  <c r="AU63" i="1"/>
  <c r="AU62" i="1"/>
  <c r="AU58" i="1"/>
  <c r="AU55" i="1"/>
  <c r="AT36" i="1"/>
  <c r="AT26" i="1"/>
  <c r="AT23" i="1" s="1"/>
  <c r="AT21" i="1"/>
  <c r="AT13" i="1"/>
  <c r="AJ11" i="6" s="1"/>
  <c r="AU6" i="13"/>
  <c r="AU4" i="13"/>
  <c r="AU15" i="13"/>
  <c r="AU14" i="13"/>
  <c r="AU13" i="13"/>
  <c r="AU12" i="13"/>
  <c r="AV12" i="1"/>
  <c r="AW58" i="1" l="1"/>
  <c r="AW55" i="1"/>
  <c r="AX55" i="1" s="1"/>
  <c r="AW30" i="1"/>
  <c r="AX23" i="1"/>
  <c r="AW23" i="1"/>
  <c r="AV23" i="1"/>
  <c r="AW20" i="1"/>
  <c r="AW14" i="1"/>
  <c r="AX14" i="1" s="1"/>
  <c r="AX9" i="1"/>
  <c r="AW9" i="1"/>
  <c r="AV9" i="1"/>
  <c r="AX8" i="1"/>
  <c r="AX36" i="13"/>
  <c r="AW36" i="13"/>
  <c r="AX37" i="13"/>
  <c r="AY37" i="13" s="1"/>
  <c r="AW37" i="13"/>
  <c r="AW50" i="13"/>
  <c r="AX50" i="13" s="1"/>
  <c r="AX45" i="13"/>
  <c r="AW45" i="13"/>
  <c r="AY43" i="13"/>
  <c r="AX43" i="13"/>
  <c r="AW43" i="13"/>
  <c r="AW46" i="13" s="1"/>
  <c r="AW8" i="1" s="1"/>
  <c r="AV43" i="13"/>
  <c r="AW31" i="13"/>
  <c r="AX31" i="13" s="1"/>
  <c r="AY30" i="13"/>
  <c r="AX30" i="13"/>
  <c r="AW30" i="13"/>
  <c r="AV30" i="13"/>
  <c r="DH30" i="13"/>
  <c r="DC30" i="13"/>
  <c r="CX30" i="13"/>
  <c r="CS30" i="13"/>
  <c r="CN30" i="13"/>
  <c r="CI30" i="13"/>
  <c r="CD30" i="13"/>
  <c r="BY30" i="13"/>
  <c r="BT30" i="13"/>
  <c r="BO30" i="13"/>
  <c r="BJ30" i="13"/>
  <c r="BE30" i="13"/>
  <c r="AZ30" i="13"/>
  <c r="AY25" i="13"/>
  <c r="AX25" i="13"/>
  <c r="AW25" i="13"/>
  <c r="AY24" i="13"/>
  <c r="AX24" i="13"/>
  <c r="AX25" i="1" s="1"/>
  <c r="AW24" i="13"/>
  <c r="AV24" i="13"/>
  <c r="AV25" i="1" s="1"/>
  <c r="AW20" i="13"/>
  <c r="AX17" i="1"/>
  <c r="AX20" i="13" s="1"/>
  <c r="AW17" i="1"/>
  <c r="AV17" i="1"/>
  <c r="AV20" i="13" s="1"/>
  <c r="M16" i="61"/>
  <c r="L16" i="61"/>
  <c r="K16" i="61"/>
  <c r="J16" i="61"/>
  <c r="M15" i="61"/>
  <c r="L15" i="61"/>
  <c r="K15" i="61"/>
  <c r="J15" i="61"/>
  <c r="M14" i="61"/>
  <c r="L14" i="61"/>
  <c r="K14" i="61"/>
  <c r="J14" i="61"/>
  <c r="AY23" i="13"/>
  <c r="AX23" i="13"/>
  <c r="AW23" i="13"/>
  <c r="AW6" i="13"/>
  <c r="AX46" i="13"/>
  <c r="AV46" i="13"/>
  <c r="AV8" i="1" s="1"/>
  <c r="AX15" i="13"/>
  <c r="AY15" i="13" s="1"/>
  <c r="AY14" i="13"/>
  <c r="AX14" i="13"/>
  <c r="AX13" i="13"/>
  <c r="AY13" i="13" s="1"/>
  <c r="AY12" i="13"/>
  <c r="AX12" i="13"/>
  <c r="AW15" i="13"/>
  <c r="AW14" i="13"/>
  <c r="AW13" i="13"/>
  <c r="AW12" i="13"/>
  <c r="AX16" i="13"/>
  <c r="AV16" i="13"/>
  <c r="AA105" i="17"/>
  <c r="Z105" i="17"/>
  <c r="Y105" i="17"/>
  <c r="X105" i="17"/>
  <c r="Z100" i="17"/>
  <c r="Y100" i="17"/>
  <c r="X100" i="17"/>
  <c r="Z99" i="17"/>
  <c r="Y99" i="17"/>
  <c r="X99" i="17"/>
  <c r="Z96" i="17"/>
  <c r="Y96" i="17"/>
  <c r="Z97" i="17" s="1"/>
  <c r="X97" i="17"/>
  <c r="Z95" i="17"/>
  <c r="Y95" i="17"/>
  <c r="X95" i="17"/>
  <c r="Z94" i="17"/>
  <c r="AA94" i="17" s="1"/>
  <c r="Y94" i="17"/>
  <c r="X94" i="17"/>
  <c r="Z92" i="17"/>
  <c r="Y92" i="17"/>
  <c r="Y85" i="17"/>
  <c r="Z85" i="17" s="1"/>
  <c r="AA85" i="17" s="1"/>
  <c r="Y84" i="17"/>
  <c r="Y86" i="17" s="1"/>
  <c r="Y88" i="17" s="1"/>
  <c r="Y89" i="17" s="1"/>
  <c r="Y102" i="17" s="1"/>
  <c r="X84" i="17"/>
  <c r="X86" i="17" s="1"/>
  <c r="X88" i="17" s="1"/>
  <c r="X89" i="17" s="1"/>
  <c r="X102" i="17" s="1"/>
  <c r="Z83" i="17"/>
  <c r="AA83" i="17" s="1"/>
  <c r="Y83" i="17"/>
  <c r="X83" i="17"/>
  <c r="Y81" i="17"/>
  <c r="Z81" i="17" s="1"/>
  <c r="Z76" i="17"/>
  <c r="Y76" i="17"/>
  <c r="X76" i="17"/>
  <c r="Z75" i="17"/>
  <c r="AA75" i="17" s="1"/>
  <c r="Y75" i="17"/>
  <c r="X75" i="17"/>
  <c r="Y74" i="17"/>
  <c r="X74" i="17"/>
  <c r="Z72" i="17"/>
  <c r="Y72" i="17"/>
  <c r="X72" i="17"/>
  <c r="Z70" i="17"/>
  <c r="Y70" i="17"/>
  <c r="X70" i="17"/>
  <c r="Z69" i="17"/>
  <c r="Y69" i="17"/>
  <c r="X69" i="17"/>
  <c r="Z67" i="17"/>
  <c r="Y67" i="17"/>
  <c r="X67" i="17"/>
  <c r="Y66" i="17"/>
  <c r="Z65" i="17"/>
  <c r="Y65" i="17"/>
  <c r="X65" i="17"/>
  <c r="Z64" i="17"/>
  <c r="AA64" i="17" s="1"/>
  <c r="Y64" i="17"/>
  <c r="X64" i="17"/>
  <c r="Z62" i="17"/>
  <c r="Y62" i="17"/>
  <c r="AA56" i="17"/>
  <c r="Z56" i="17"/>
  <c r="Y56" i="17"/>
  <c r="X56" i="17"/>
  <c r="Z86" i="17" l="1"/>
  <c r="Z88" i="17" s="1"/>
  <c r="Z89" i="17" s="1"/>
  <c r="Z102" i="17" s="1"/>
  <c r="Z84" i="17"/>
  <c r="X104" i="17"/>
  <c r="X106" i="17" s="1"/>
  <c r="Y104" i="17"/>
  <c r="Y106" i="17" s="1"/>
  <c r="AX26" i="1"/>
  <c r="AY23" i="1"/>
  <c r="AW25" i="1"/>
  <c r="AW26" i="1" s="1"/>
  <c r="AV26" i="1"/>
  <c r="AX58" i="1"/>
  <c r="AX30" i="1"/>
  <c r="AX20" i="1"/>
  <c r="AX6" i="13"/>
  <c r="AY16" i="13"/>
  <c r="AW16" i="13"/>
  <c r="Y97" i="17"/>
  <c r="AA96" i="17"/>
  <c r="Z74" i="17"/>
  <c r="Z66" i="17"/>
  <c r="AA66" i="17" s="1"/>
  <c r="Z59" i="17"/>
  <c r="AA58" i="17"/>
  <c r="AA59" i="17" s="1"/>
  <c r="Z58" i="17"/>
  <c r="Y58" i="17"/>
  <c r="Y59" i="17" s="1"/>
  <c r="X58" i="17"/>
  <c r="X59" i="17" s="1"/>
  <c r="Y55" i="17"/>
  <c r="AA54" i="17"/>
  <c r="Z54" i="17"/>
  <c r="Y54" i="17"/>
  <c r="X54" i="17"/>
  <c r="Z53" i="17"/>
  <c r="AA53" i="17" s="1"/>
  <c r="Y53" i="17"/>
  <c r="X53" i="17"/>
  <c r="Y51" i="17"/>
  <c r="Z37" i="17"/>
  <c r="AA37" i="17" s="1"/>
  <c r="Y37" i="17"/>
  <c r="X37" i="17"/>
  <c r="X26" i="17"/>
  <c r="Y26" i="17" s="1"/>
  <c r="X9" i="17"/>
  <c r="Y28" i="17"/>
  <c r="X27" i="17"/>
  <c r="X29" i="17" s="1"/>
  <c r="Y24" i="17"/>
  <c r="Z24" i="17" s="1"/>
  <c r="AA16" i="17"/>
  <c r="Z16" i="17"/>
  <c r="Y16" i="17"/>
  <c r="X16" i="17"/>
  <c r="CU13" i="17"/>
  <c r="AA7" i="17" s="1"/>
  <c r="CT13" i="17"/>
  <c r="Z7" i="17" s="1"/>
  <c r="CS13" i="17"/>
  <c r="Y7" i="17" s="1"/>
  <c r="CR13" i="17"/>
  <c r="X7" i="17" s="1"/>
  <c r="Z104" i="17" l="1"/>
  <c r="Z106" i="17" s="1"/>
  <c r="AY20" i="1"/>
  <c r="Z55" i="17"/>
  <c r="AA55" i="17" s="1"/>
  <c r="Z51" i="17"/>
  <c r="AA51" i="17" s="1"/>
  <c r="Y27" i="17"/>
  <c r="Y29" i="17" s="1"/>
  <c r="Z26" i="17"/>
  <c r="Z28" i="17"/>
  <c r="AA28" i="17" s="1"/>
  <c r="Y11" i="17"/>
  <c r="N14" i="67"/>
  <c r="O14" i="67" s="1"/>
  <c r="M14" i="67"/>
  <c r="M15" i="67" s="1"/>
  <c r="M24" i="67" s="1"/>
  <c r="AV32" i="13" s="1"/>
  <c r="N12" i="67"/>
  <c r="P11" i="67"/>
  <c r="O10" i="67"/>
  <c r="O12" i="67" s="1"/>
  <c r="N10" i="67"/>
  <c r="M10" i="67"/>
  <c r="M12" i="67" s="1"/>
  <c r="M8" i="61"/>
  <c r="L8" i="61"/>
  <c r="K8" i="61"/>
  <c r="M6" i="61"/>
  <c r="L6" i="61"/>
  <c r="K6" i="61"/>
  <c r="K5" i="61"/>
  <c r="K4" i="61"/>
  <c r="L4" i="61" s="1"/>
  <c r="M4" i="61" s="1"/>
  <c r="K3" i="61"/>
  <c r="J12" i="61"/>
  <c r="P14" i="67" l="1"/>
  <c r="O15" i="67"/>
  <c r="O24" i="67" s="1"/>
  <c r="AX32" i="13" s="1"/>
  <c r="N15" i="67"/>
  <c r="N24" i="67" s="1"/>
  <c r="AW32" i="13" s="1"/>
  <c r="AA26" i="17"/>
  <c r="Z27" i="17"/>
  <c r="Z29" i="17" s="1"/>
  <c r="Z11" i="17"/>
  <c r="K12" i="61"/>
  <c r="L5" i="61"/>
  <c r="M5" i="61" s="1"/>
  <c r="L3" i="61"/>
  <c r="L12" i="61" l="1"/>
  <c r="M3" i="61"/>
  <c r="M12" i="61" s="1"/>
  <c r="BQ86" i="35" l="1"/>
  <c r="BR86" i="35" s="1"/>
  <c r="BM87" i="35"/>
  <c r="BK87" i="35"/>
  <c r="BM84" i="35"/>
  <c r="BN84" i="35"/>
  <c r="BO84" i="35"/>
  <c r="BP84" i="35"/>
  <c r="BQ84" i="35"/>
  <c r="BR84" i="35"/>
  <c r="BS84" i="35"/>
  <c r="BT84" i="35"/>
  <c r="BU84" i="35"/>
  <c r="BV84" i="35"/>
  <c r="BW84" i="35"/>
  <c r="BL84" i="35"/>
  <c r="BM86" i="35"/>
  <c r="BN87" i="35"/>
  <c r="BO87" i="35"/>
  <c r="BP87" i="35"/>
  <c r="BQ87" i="35"/>
  <c r="BT87" i="35"/>
  <c r="BL86" i="35"/>
  <c r="BL87" i="35" s="1"/>
  <c r="BR87" i="35" l="1"/>
  <c r="BS86" i="35"/>
  <c r="BU87" i="35"/>
  <c r="BS87" i="35" l="1"/>
  <c r="BT86" i="35"/>
  <c r="BU86" i="35" s="1"/>
  <c r="BV86" i="35" s="1"/>
  <c r="BW86" i="35" s="1"/>
  <c r="BW87" i="35" s="1"/>
  <c r="BV87" i="35"/>
  <c r="BE3" i="35" l="1"/>
  <c r="AZ3" i="35"/>
  <c r="R24" i="67" l="1"/>
  <c r="S24" i="67"/>
  <c r="T24" i="67"/>
  <c r="U24" i="67"/>
  <c r="W24" i="67"/>
  <c r="X24" i="67"/>
  <c r="Y24" i="67"/>
  <c r="Z24" i="67"/>
  <c r="AB24" i="67"/>
  <c r="AC24" i="67"/>
  <c r="AD24" i="67"/>
  <c r="AE24" i="67"/>
  <c r="AG24" i="67"/>
  <c r="AH24" i="67"/>
  <c r="AI24" i="67"/>
  <c r="AJ24" i="67"/>
  <c r="AL24" i="67"/>
  <c r="AM24" i="67"/>
  <c r="AN24" i="67"/>
  <c r="AO24" i="67"/>
  <c r="AQ24" i="67"/>
  <c r="AR24" i="67"/>
  <c r="AS24" i="67"/>
  <c r="AT24" i="67"/>
  <c r="AV24" i="67"/>
  <c r="AW24" i="67"/>
  <c r="AX24" i="67"/>
  <c r="AY24" i="67"/>
  <c r="BA24" i="67"/>
  <c r="BB24" i="67"/>
  <c r="BC24" i="67"/>
  <c r="BD24" i="67"/>
  <c r="BF24" i="67"/>
  <c r="BG24" i="67"/>
  <c r="BH24" i="67"/>
  <c r="BI24" i="67"/>
  <c r="BK24" i="67"/>
  <c r="BL24" i="67"/>
  <c r="BM24" i="67"/>
  <c r="BN24" i="67"/>
  <c r="BP24" i="67"/>
  <c r="BQ24" i="67"/>
  <c r="BR24" i="67"/>
  <c r="BS24" i="67"/>
  <c r="BU24" i="67"/>
  <c r="BV24" i="67"/>
  <c r="BW24" i="67"/>
  <c r="BX24" i="67"/>
  <c r="AF11" i="67"/>
  <c r="AK11" i="67" s="1"/>
  <c r="AP11" i="67" s="1"/>
  <c r="AU11" i="67" s="1"/>
  <c r="AZ11" i="67" s="1"/>
  <c r="BE11" i="67" s="1"/>
  <c r="BJ11" i="67" s="1"/>
  <c r="BO11" i="67" s="1"/>
  <c r="BT11" i="67" s="1"/>
  <c r="BY11" i="67" s="1"/>
  <c r="AA14" i="67"/>
  <c r="V14" i="67"/>
  <c r="Q8" i="67"/>
  <c r="V7" i="67"/>
  <c r="V8" i="67" s="1"/>
  <c r="AK6" i="67"/>
  <c r="AP6" i="67" s="1"/>
  <c r="AU6" i="67" s="1"/>
  <c r="AZ6" i="67" s="1"/>
  <c r="BE6" i="67" s="1"/>
  <c r="BJ6" i="67" s="1"/>
  <c r="BO6" i="67" s="1"/>
  <c r="BT6" i="67" s="1"/>
  <c r="BY6" i="67" s="1"/>
  <c r="AK5" i="67"/>
  <c r="AP5" i="67" s="1"/>
  <c r="AF5" i="67"/>
  <c r="AU5" i="67" l="1"/>
  <c r="AA18" i="67"/>
  <c r="V10" i="67"/>
  <c r="V12" i="67" s="1"/>
  <c r="V15" i="67" s="1"/>
  <c r="AF14" i="67"/>
  <c r="V18" i="67"/>
  <c r="P8" i="67"/>
  <c r="AA7" i="67"/>
  <c r="Q10" i="67"/>
  <c r="Q12" i="67" s="1"/>
  <c r="Q15" i="67" s="1"/>
  <c r="CO11" i="17"/>
  <c r="CO13" i="17" s="1"/>
  <c r="CO10" i="17"/>
  <c r="U24" i="17"/>
  <c r="Q24" i="67" l="1"/>
  <c r="V24" i="67"/>
  <c r="P10" i="67"/>
  <c r="P12" i="67" s="1"/>
  <c r="P15" i="67" s="1"/>
  <c r="P24" i="67" s="1"/>
  <c r="AA8" i="67"/>
  <c r="AF7" i="67"/>
  <c r="AZ5" i="67"/>
  <c r="AK14" i="67"/>
  <c r="CO12" i="17"/>
  <c r="AY42" i="1"/>
  <c r="BJ12" i="1"/>
  <c r="BE42" i="1"/>
  <c r="AV42" i="1"/>
  <c r="BE12" i="1"/>
  <c r="AZ12" i="1"/>
  <c r="AW42" i="1"/>
  <c r="AZ42" i="1"/>
  <c r="AY12" i="1"/>
  <c r="AX12" i="1"/>
  <c r="BJ42" i="1"/>
  <c r="AX42" i="1"/>
  <c r="AW12" i="1"/>
  <c r="BE5" i="67" l="1"/>
  <c r="AP14" i="67"/>
  <c r="AF8" i="67"/>
  <c r="AK7" i="67"/>
  <c r="AF18" i="67"/>
  <c r="AA10" i="67"/>
  <c r="AA12" i="67"/>
  <c r="AA15" i="67" s="1"/>
  <c r="AI42" i="6"/>
  <c r="AI38" i="6" s="1"/>
  <c r="AG28" i="17"/>
  <c r="AL28" i="17" s="1"/>
  <c r="AQ28" i="17" s="1"/>
  <c r="AV28" i="17" s="1"/>
  <c r="BA28" i="17" s="1"/>
  <c r="BF28" i="17" s="1"/>
  <c r="BK28" i="17" s="1"/>
  <c r="BP28" i="17" s="1"/>
  <c r="BU28" i="17" s="1"/>
  <c r="BZ28" i="17" s="1"/>
  <c r="CE28" i="17" s="1"/>
  <c r="CJ28" i="17" s="1"/>
  <c r="U11" i="17"/>
  <c r="W92" i="17"/>
  <c r="W96" i="17"/>
  <c r="AP7" i="67" l="1"/>
  <c r="AK8" i="67"/>
  <c r="AK18" i="67"/>
  <c r="AF12" i="67"/>
  <c r="AF15" i="67" s="1"/>
  <c r="AF10" i="67"/>
  <c r="AU14" i="67"/>
  <c r="AF24" i="67"/>
  <c r="AA24" i="67"/>
  <c r="BJ5" i="67"/>
  <c r="W95" i="17"/>
  <c r="W97" i="17" s="1"/>
  <c r="AK24" i="67" l="1"/>
  <c r="BO5" i="67"/>
  <c r="AZ14" i="67"/>
  <c r="AK10" i="67"/>
  <c r="AK12" i="67"/>
  <c r="AK15" i="67" s="1"/>
  <c r="AU7" i="67"/>
  <c r="AP8" i="67"/>
  <c r="AS50" i="13"/>
  <c r="BH18" i="35"/>
  <c r="BH10" i="35"/>
  <c r="AP12" i="67" l="1"/>
  <c r="AP15" i="67" s="1"/>
  <c r="AP10" i="67"/>
  <c r="BE14" i="67"/>
  <c r="AZ7" i="67"/>
  <c r="AU8" i="67"/>
  <c r="BT5" i="67"/>
  <c r="AS17" i="1"/>
  <c r="AS36" i="1"/>
  <c r="AS26" i="1"/>
  <c r="AX94" i="1" s="1"/>
  <c r="AS21" i="1"/>
  <c r="AS14" i="1"/>
  <c r="AS6" i="13"/>
  <c r="BJ14" i="67" l="1"/>
  <c r="BY5" i="67"/>
  <c r="AU10" i="67"/>
  <c r="AU12" i="67" s="1"/>
  <c r="AU15" i="67" s="1"/>
  <c r="AP24" i="67"/>
  <c r="BE7" i="67"/>
  <c r="AZ8" i="67"/>
  <c r="AS19" i="1"/>
  <c r="AU24" i="67" l="1"/>
  <c r="BJ7" i="67"/>
  <c r="BE8" i="67"/>
  <c r="BO14" i="67"/>
  <c r="AZ10" i="67"/>
  <c r="AZ12" i="67"/>
  <c r="AZ15" i="67" s="1"/>
  <c r="AB19" i="17"/>
  <c r="AB18" i="17"/>
  <c r="AB17" i="17"/>
  <c r="BO7" i="67" l="1"/>
  <c r="BJ8" i="67"/>
  <c r="BE10" i="67"/>
  <c r="BE12" i="67"/>
  <c r="BE15" i="67" s="1"/>
  <c r="AZ24" i="67"/>
  <c r="BT14" i="67"/>
  <c r="CC44" i="13"/>
  <c r="CH44" i="13" s="1"/>
  <c r="CM44" i="13" s="1"/>
  <c r="CR44" i="13" s="1"/>
  <c r="CW44" i="13" s="1"/>
  <c r="DB44" i="13" s="1"/>
  <c r="DG44" i="13" s="1"/>
  <c r="CB44" i="13"/>
  <c r="CG44" i="13" s="1"/>
  <c r="CL44" i="13" s="1"/>
  <c r="CQ44" i="13" s="1"/>
  <c r="CV44" i="13" s="1"/>
  <c r="DA44" i="13" s="1"/>
  <c r="DF44" i="13" s="1"/>
  <c r="CA44" i="13"/>
  <c r="CF44" i="13" s="1"/>
  <c r="CK44" i="13" s="1"/>
  <c r="CP44" i="13" s="1"/>
  <c r="CU44" i="13" s="1"/>
  <c r="CZ44" i="13" s="1"/>
  <c r="DE44" i="13" s="1"/>
  <c r="BZ44" i="13"/>
  <c r="CE44" i="13" s="1"/>
  <c r="CJ44" i="13" s="1"/>
  <c r="CO44" i="13" s="1"/>
  <c r="CT44" i="13" s="1"/>
  <c r="CY44" i="13" s="1"/>
  <c r="DD44" i="13" s="1"/>
  <c r="BT44" i="13"/>
  <c r="BY44" i="13" s="1"/>
  <c r="CD44" i="13" s="1"/>
  <c r="CI44" i="13" s="1"/>
  <c r="CN44" i="13" s="1"/>
  <c r="CS44" i="13" s="1"/>
  <c r="CX44" i="13" s="1"/>
  <c r="DC44" i="13" s="1"/>
  <c r="DH44" i="13" s="1"/>
  <c r="BE24" i="67" l="1"/>
  <c r="BJ10" i="67"/>
  <c r="BJ12" i="67" s="1"/>
  <c r="BJ15" i="67" s="1"/>
  <c r="BY14" i="67"/>
  <c r="BT7" i="67"/>
  <c r="BO8" i="67"/>
  <c r="N6" i="61"/>
  <c r="N16" i="61" s="1"/>
  <c r="AZ43" i="13" s="1"/>
  <c r="N5" i="61"/>
  <c r="O5" i="61" s="1"/>
  <c r="P5" i="61" s="1"/>
  <c r="Q5" i="61" s="1"/>
  <c r="R5" i="61" s="1"/>
  <c r="S5" i="61" s="1"/>
  <c r="T5" i="61" s="1"/>
  <c r="U5" i="61" s="1"/>
  <c r="V5" i="61" s="1"/>
  <c r="W5" i="61" s="1"/>
  <c r="X5" i="61" s="1"/>
  <c r="Y5" i="61" s="1"/>
  <c r="Z5" i="61" s="1"/>
  <c r="N4" i="61"/>
  <c r="O4" i="61" s="1"/>
  <c r="P4" i="61" s="1"/>
  <c r="Q4" i="61" s="1"/>
  <c r="R4" i="61" s="1"/>
  <c r="S4" i="61" s="1"/>
  <c r="T4" i="61" s="1"/>
  <c r="U4" i="61" s="1"/>
  <c r="V4" i="61" s="1"/>
  <c r="W4" i="61" s="1"/>
  <c r="X4" i="61" s="1"/>
  <c r="Y4" i="61" s="1"/>
  <c r="Z4" i="61" s="1"/>
  <c r="I3" i="61"/>
  <c r="I4" i="61"/>
  <c r="I5" i="61"/>
  <c r="I6" i="61"/>
  <c r="I16" i="61" s="1"/>
  <c r="I8" i="61"/>
  <c r="I15" i="61" s="1"/>
  <c r="BJ24" i="67" l="1"/>
  <c r="BO10" i="67"/>
  <c r="BO12" i="67" s="1"/>
  <c r="BO15" i="67" s="1"/>
  <c r="BY7" i="67"/>
  <c r="BY8" i="67" s="1"/>
  <c r="BT8" i="67"/>
  <c r="N8" i="61"/>
  <c r="O6" i="61"/>
  <c r="I14" i="61"/>
  <c r="N3" i="61"/>
  <c r="D9" i="61"/>
  <c r="D12" i="61" s="1"/>
  <c r="C9" i="61"/>
  <c r="C12" i="61" s="1"/>
  <c r="I12" i="61"/>
  <c r="H12" i="61"/>
  <c r="G12" i="61"/>
  <c r="F12" i="61"/>
  <c r="E12" i="61"/>
  <c r="O2" i="61"/>
  <c r="P2" i="61" s="1"/>
  <c r="Q2" i="61" s="1"/>
  <c r="R2" i="61" s="1"/>
  <c r="S2" i="61" s="1"/>
  <c r="T2" i="61" s="1"/>
  <c r="U2" i="61" s="1"/>
  <c r="V2" i="61" s="1"/>
  <c r="W2" i="61" s="1"/>
  <c r="X2" i="61" s="1"/>
  <c r="Y2" i="61" s="1"/>
  <c r="Z2" i="61" s="1"/>
  <c r="N2" i="61"/>
  <c r="BY10" i="67" l="1"/>
  <c r="BY12" i="67"/>
  <c r="BY15" i="67" s="1"/>
  <c r="BT10" i="67"/>
  <c r="BT12" i="67"/>
  <c r="BT15" i="67" s="1"/>
  <c r="BO24" i="67"/>
  <c r="N15" i="61"/>
  <c r="O8" i="61"/>
  <c r="O16" i="61"/>
  <c r="BE43" i="13" s="1"/>
  <c r="P6" i="61"/>
  <c r="O3" i="61"/>
  <c r="N14" i="61"/>
  <c r="AZ24" i="13" s="1"/>
  <c r="N12" i="61"/>
  <c r="AZ44" i="13"/>
  <c r="CH43" i="13"/>
  <c r="CM43" i="13" s="1"/>
  <c r="CG43" i="13"/>
  <c r="CL43" i="13" s="1"/>
  <c r="CF43" i="13"/>
  <c r="CK43" i="13" s="1"/>
  <c r="CE43" i="13"/>
  <c r="CJ43" i="13" s="1"/>
  <c r="AZ45" i="13"/>
  <c r="AS46" i="13"/>
  <c r="AS8" i="1" s="1"/>
  <c r="AR50" i="13"/>
  <c r="AQ50" i="13"/>
  <c r="CH46" i="13"/>
  <c r="CG46" i="13"/>
  <c r="CF46" i="13"/>
  <c r="CE46" i="13"/>
  <c r="CC46" i="13"/>
  <c r="CB46" i="13"/>
  <c r="CA46" i="13"/>
  <c r="BZ46" i="13"/>
  <c r="BX46" i="13"/>
  <c r="BW46" i="13"/>
  <c r="BV46" i="13"/>
  <c r="BU46" i="13"/>
  <c r="BS46" i="13"/>
  <c r="BR46" i="13"/>
  <c r="BQ46" i="13"/>
  <c r="BP46" i="13"/>
  <c r="BN46" i="13"/>
  <c r="BM46" i="13"/>
  <c r="BL46" i="13"/>
  <c r="BK46" i="13"/>
  <c r="BI46" i="13"/>
  <c r="BH46" i="13"/>
  <c r="BG46" i="13"/>
  <c r="BF46" i="13"/>
  <c r="BD46" i="13"/>
  <c r="BC46" i="13"/>
  <c r="BB46" i="13"/>
  <c r="BA46" i="13"/>
  <c r="AR46" i="13"/>
  <c r="AQ46" i="13"/>
  <c r="BY24" i="67" l="1"/>
  <c r="BT24" i="67"/>
  <c r="BE45" i="13"/>
  <c r="BJ45" i="13" s="1"/>
  <c r="BO45" i="13" s="1"/>
  <c r="BT45" i="13" s="1"/>
  <c r="BY45" i="13" s="1"/>
  <c r="CD45" i="13" s="1"/>
  <c r="CI45" i="13" s="1"/>
  <c r="CN45" i="13" s="1"/>
  <c r="CS45" i="13" s="1"/>
  <c r="CX45" i="13" s="1"/>
  <c r="DC45" i="13" s="1"/>
  <c r="DH45" i="13" s="1"/>
  <c r="AY45" i="13"/>
  <c r="BE44" i="13"/>
  <c r="BJ44" i="13" s="1"/>
  <c r="AY44" i="13"/>
  <c r="CO43" i="13"/>
  <c r="CJ46" i="13"/>
  <c r="CQ43" i="13"/>
  <c r="CV43" i="13" s="1"/>
  <c r="CL46" i="13"/>
  <c r="AQ8" i="1"/>
  <c r="O15" i="61"/>
  <c r="P8" i="61"/>
  <c r="Q6" i="61"/>
  <c r="P16" i="61"/>
  <c r="BJ43" i="13" s="1"/>
  <c r="O14" i="61"/>
  <c r="BE24" i="13" s="1"/>
  <c r="P3" i="61"/>
  <c r="O12" i="61"/>
  <c r="AS25" i="1"/>
  <c r="AR8" i="1"/>
  <c r="AT46" i="13"/>
  <c r="AT8" i="1" s="1"/>
  <c r="CR43" i="13"/>
  <c r="CM46" i="13"/>
  <c r="CT43" i="13"/>
  <c r="CO46" i="13"/>
  <c r="CP43" i="13"/>
  <c r="CK46" i="13"/>
  <c r="CQ46" i="13"/>
  <c r="T11" i="17"/>
  <c r="AY46" i="13" l="1"/>
  <c r="AY8" i="1" s="1"/>
  <c r="P15" i="61"/>
  <c r="Q8" i="61"/>
  <c r="Q16" i="61"/>
  <c r="BO43" i="13" s="1"/>
  <c r="R6" i="61"/>
  <c r="P14" i="61"/>
  <c r="BJ24" i="13" s="1"/>
  <c r="Q3" i="61"/>
  <c r="P12" i="61"/>
  <c r="AU46" i="13"/>
  <c r="AU8" i="1" s="1"/>
  <c r="CU43" i="13"/>
  <c r="CP46" i="13"/>
  <c r="CW43" i="13"/>
  <c r="CR46" i="13"/>
  <c r="CV46" i="13"/>
  <c r="DA43" i="13"/>
  <c r="CT46" i="13"/>
  <c r="CY43" i="13"/>
  <c r="CN10" i="17"/>
  <c r="CN11" i="17" s="1"/>
  <c r="CN12" i="17" s="1"/>
  <c r="AH42" i="6"/>
  <c r="AH38" i="6" s="1"/>
  <c r="BG18" i="35"/>
  <c r="BG10" i="35"/>
  <c r="BG11" i="35"/>
  <c r="BH11" i="35" s="1"/>
  <c r="BH12" i="35" s="1"/>
  <c r="BG7" i="35"/>
  <c r="AR19" i="13"/>
  <c r="R8" i="61" l="1"/>
  <c r="Q15" i="61"/>
  <c r="R16" i="61"/>
  <c r="BT43" i="13" s="1"/>
  <c r="BT46" i="13" s="1"/>
  <c r="BT8" i="1" s="1"/>
  <c r="S6" i="61"/>
  <c r="Q14" i="61"/>
  <c r="BO24" i="13" s="1"/>
  <c r="R3" i="61"/>
  <c r="Q12" i="61"/>
  <c r="AZ46" i="13"/>
  <c r="AZ8" i="1" s="1"/>
  <c r="DB43" i="13"/>
  <c r="CW46" i="13"/>
  <c r="DF43" i="13"/>
  <c r="DF46" i="13" s="1"/>
  <c r="DA46" i="13"/>
  <c r="CZ43" i="13"/>
  <c r="CU46" i="13"/>
  <c r="DD43" i="13"/>
  <c r="DD46" i="13" s="1"/>
  <c r="CY46" i="13"/>
  <c r="BG12" i="35"/>
  <c r="AR29" i="1"/>
  <c r="AU29" i="1" s="1"/>
  <c r="AU63" i="2" s="1"/>
  <c r="AU65" i="2" s="1"/>
  <c r="AR39" i="13"/>
  <c r="AR36" i="13"/>
  <c r="AR25" i="1" s="1"/>
  <c r="AR17" i="1"/>
  <c r="AU68" i="1"/>
  <c r="AR36" i="1"/>
  <c r="AR26" i="1"/>
  <c r="AW94" i="1" s="1"/>
  <c r="AR21" i="1"/>
  <c r="AR14" i="1"/>
  <c r="AR13" i="1"/>
  <c r="AH11" i="6" l="1"/>
  <c r="AH10" i="6" s="1"/>
  <c r="AW92" i="1"/>
  <c r="S8" i="61"/>
  <c r="R15" i="61"/>
  <c r="T6" i="61"/>
  <c r="S16" i="61"/>
  <c r="BY43" i="13" s="1"/>
  <c r="BY46" i="13" s="1"/>
  <c r="BY8" i="1" s="1"/>
  <c r="S3" i="61"/>
  <c r="R14" i="61"/>
  <c r="BT24" i="13" s="1"/>
  <c r="R12" i="61"/>
  <c r="AR19" i="1"/>
  <c r="AR23" i="1"/>
  <c r="BE46" i="13"/>
  <c r="BE8" i="1" s="1"/>
  <c r="DE43" i="13"/>
  <c r="DE46" i="13" s="1"/>
  <c r="CZ46" i="13"/>
  <c r="DG43" i="13"/>
  <c r="DG46" i="13" s="1"/>
  <c r="DB46" i="13"/>
  <c r="S15" i="61" l="1"/>
  <c r="T8" i="61"/>
  <c r="U6" i="61"/>
  <c r="T16" i="61"/>
  <c r="CD43" i="13" s="1"/>
  <c r="CD46" i="13" s="1"/>
  <c r="CD8" i="1" s="1"/>
  <c r="T3" i="61"/>
  <c r="S14" i="61"/>
  <c r="BY24" i="13" s="1"/>
  <c r="S12" i="61"/>
  <c r="BJ46" i="13"/>
  <c r="BJ8" i="1" s="1"/>
  <c r="T15" i="61" l="1"/>
  <c r="U8" i="61"/>
  <c r="V6" i="61"/>
  <c r="U16" i="61"/>
  <c r="CI43" i="13" s="1"/>
  <c r="CI46" i="13" s="1"/>
  <c r="CI8" i="1" s="1"/>
  <c r="T14" i="61"/>
  <c r="CD24" i="13" s="1"/>
  <c r="U3" i="61"/>
  <c r="T12" i="61"/>
  <c r="BO46" i="13"/>
  <c r="BO8" i="1" s="1"/>
  <c r="V8" i="61" l="1"/>
  <c r="U15" i="61"/>
  <c r="W6" i="61"/>
  <c r="V16" i="61"/>
  <c r="CN43" i="13" s="1"/>
  <c r="CN46" i="13" s="1"/>
  <c r="CN8" i="1" s="1"/>
  <c r="U14" i="61"/>
  <c r="CI24" i="13" s="1"/>
  <c r="U12" i="61"/>
  <c r="V3" i="61"/>
  <c r="W8" i="61" l="1"/>
  <c r="V15" i="61"/>
  <c r="W16" i="61"/>
  <c r="CS43" i="13" s="1"/>
  <c r="CS46" i="13" s="1"/>
  <c r="CS8" i="1" s="1"/>
  <c r="X6" i="61"/>
  <c r="V14" i="61"/>
  <c r="CN24" i="13" s="1"/>
  <c r="V12" i="61"/>
  <c r="W3" i="61"/>
  <c r="AL96" i="17"/>
  <c r="AG85" i="17"/>
  <c r="AB85" i="17"/>
  <c r="W15" i="61" l="1"/>
  <c r="X8" i="61"/>
  <c r="Y6" i="61"/>
  <c r="X16" i="61"/>
  <c r="CX43" i="13" s="1"/>
  <c r="CX46" i="13" s="1"/>
  <c r="CX8" i="1" s="1"/>
  <c r="W14" i="61"/>
  <c r="CS24" i="13" s="1"/>
  <c r="X3" i="61"/>
  <c r="W12" i="61"/>
  <c r="X15" i="61" l="1"/>
  <c r="Y8" i="61"/>
  <c r="Y16" i="61"/>
  <c r="DC43" i="13" s="1"/>
  <c r="DC46" i="13" s="1"/>
  <c r="DC8" i="1" s="1"/>
  <c r="Z6" i="61"/>
  <c r="Z16" i="61" s="1"/>
  <c r="DH43" i="13" s="1"/>
  <c r="DH46" i="13" s="1"/>
  <c r="DH8" i="1" s="1"/>
  <c r="X14" i="61"/>
  <c r="CX24" i="13" s="1"/>
  <c r="Y3" i="61"/>
  <c r="X12" i="61"/>
  <c r="BL94" i="35"/>
  <c r="BK94" i="35"/>
  <c r="BN94" i="35"/>
  <c r="BO94" i="35"/>
  <c r="BP94" i="35"/>
  <c r="BQ94" i="35"/>
  <c r="BR94" i="35"/>
  <c r="BS94" i="35"/>
  <c r="BT94" i="35"/>
  <c r="BU94" i="35"/>
  <c r="BV94" i="35"/>
  <c r="BW94" i="35"/>
  <c r="BM94" i="35"/>
  <c r="Z8" i="61" l="1"/>
  <c r="Z15" i="61" s="1"/>
  <c r="Y15" i="61"/>
  <c r="Y14" i="61"/>
  <c r="DC24" i="13" s="1"/>
  <c r="Z3" i="61"/>
  <c r="Y12" i="61"/>
  <c r="BM25" i="35"/>
  <c r="BN25" i="35" s="1"/>
  <c r="BO25" i="35" s="1"/>
  <c r="BP25" i="35" s="1"/>
  <c r="BQ25" i="35" s="1"/>
  <c r="BR25" i="35" s="1"/>
  <c r="BS25" i="35" s="1"/>
  <c r="BT25" i="35" s="1"/>
  <c r="BU25" i="35" s="1"/>
  <c r="BV25" i="35" s="1"/>
  <c r="BW25" i="35" s="1"/>
  <c r="BK2" i="35"/>
  <c r="BL2" i="35" s="1"/>
  <c r="BM2" i="35" s="1"/>
  <c r="BN2" i="35" s="1"/>
  <c r="BO2" i="35" s="1"/>
  <c r="BP2" i="35" s="1"/>
  <c r="BQ2" i="35" s="1"/>
  <c r="BR2" i="35" s="1"/>
  <c r="BS2" i="35" s="1"/>
  <c r="BT2" i="35" s="1"/>
  <c r="BU2" i="35" s="1"/>
  <c r="BV2" i="35" s="1"/>
  <c r="BW2" i="35" s="1"/>
  <c r="Z14" i="61" l="1"/>
  <c r="DH24" i="13" s="1"/>
  <c r="Z12" i="61"/>
  <c r="I72" i="35"/>
  <c r="AP10" i="35" s="1"/>
  <c r="H72" i="35"/>
  <c r="AK10" i="35" s="1"/>
  <c r="G72" i="35"/>
  <c r="AF10" i="35" s="1"/>
  <c r="F72" i="35"/>
  <c r="AA10" i="35" s="1"/>
  <c r="E72" i="35"/>
  <c r="I71" i="35"/>
  <c r="AO10" i="35" s="1"/>
  <c r="AO12" i="35" s="1"/>
  <c r="H71" i="35"/>
  <c r="AJ10" i="35" s="1"/>
  <c r="AJ12" i="35" s="1"/>
  <c r="G71" i="35"/>
  <c r="AE10" i="35" s="1"/>
  <c r="AE12" i="35" s="1"/>
  <c r="F71" i="35"/>
  <c r="Z10" i="35" s="1"/>
  <c r="Z12" i="35" s="1"/>
  <c r="E71" i="35"/>
  <c r="U10" i="35" s="1"/>
  <c r="U12" i="35" s="1"/>
  <c r="I70" i="35"/>
  <c r="AN10" i="35" s="1"/>
  <c r="AN12" i="35" s="1"/>
  <c r="H70" i="35"/>
  <c r="AI10" i="35" s="1"/>
  <c r="AI12" i="35" s="1"/>
  <c r="G70" i="35"/>
  <c r="F70" i="35"/>
  <c r="Y10" i="35" s="1"/>
  <c r="Y12" i="35" s="1"/>
  <c r="E70" i="35"/>
  <c r="T10" i="35" s="1"/>
  <c r="T12" i="35" s="1"/>
  <c r="I69" i="35"/>
  <c r="AM10" i="35" s="1"/>
  <c r="AM12" i="35" s="1"/>
  <c r="H69" i="35"/>
  <c r="AH10" i="35" s="1"/>
  <c r="AH12" i="35" s="1"/>
  <c r="G69" i="35"/>
  <c r="AC10" i="35" s="1"/>
  <c r="AC12" i="35" s="1"/>
  <c r="F69" i="35"/>
  <c r="X10" i="35" s="1"/>
  <c r="X12" i="35" s="1"/>
  <c r="E69" i="35"/>
  <c r="S10" i="35" s="1"/>
  <c r="S12" i="35" s="1"/>
  <c r="J68" i="35"/>
  <c r="AQ10" i="35" s="1"/>
  <c r="AQ12" i="35" s="1"/>
  <c r="I68" i="35"/>
  <c r="AL10" i="35" s="1"/>
  <c r="AL12" i="35" s="1"/>
  <c r="H68" i="35"/>
  <c r="AG10" i="35" s="1"/>
  <c r="AG12" i="35" s="1"/>
  <c r="G68" i="35"/>
  <c r="F68" i="35"/>
  <c r="W10" i="35" s="1"/>
  <c r="W12" i="35" s="1"/>
  <c r="E68" i="35"/>
  <c r="R10" i="35" s="1"/>
  <c r="R12" i="35" s="1"/>
  <c r="J67" i="35"/>
  <c r="J66" i="35"/>
  <c r="J65" i="35"/>
  <c r="J64" i="35"/>
  <c r="J63" i="35"/>
  <c r="J62" i="35"/>
  <c r="J61" i="35"/>
  <c r="J60" i="35"/>
  <c r="J59" i="35"/>
  <c r="AO42" i="35"/>
  <c r="BI22" i="35"/>
  <c r="BH22" i="35"/>
  <c r="BG22" i="35"/>
  <c r="BF22" i="35"/>
  <c r="BF26" i="35" s="1"/>
  <c r="BK26" i="35" s="1"/>
  <c r="BL26" i="35" s="1"/>
  <c r="BM26" i="35" s="1"/>
  <c r="BN26" i="35" s="1"/>
  <c r="BO26" i="35" s="1"/>
  <c r="BP26" i="35" s="1"/>
  <c r="BQ26" i="35" s="1"/>
  <c r="BR26" i="35" s="1"/>
  <c r="BS26" i="35" s="1"/>
  <c r="BT26" i="35" s="1"/>
  <c r="BU26" i="35" s="1"/>
  <c r="BV26" i="35" s="1"/>
  <c r="BW26" i="35" s="1"/>
  <c r="BD22" i="35"/>
  <c r="BC22" i="35"/>
  <c r="BB22" i="35"/>
  <c r="BA22" i="35"/>
  <c r="AY22" i="35"/>
  <c r="AX22" i="35"/>
  <c r="AW22" i="35"/>
  <c r="AV22" i="35"/>
  <c r="AT22" i="35"/>
  <c r="AS22" i="35"/>
  <c r="AR22" i="35"/>
  <c r="AQ22" i="35"/>
  <c r="AO22" i="35"/>
  <c r="AN22" i="35"/>
  <c r="AM22" i="35"/>
  <c r="AL22" i="35"/>
  <c r="AJ22" i="35"/>
  <c r="AI22" i="35"/>
  <c r="AH22" i="35"/>
  <c r="AG22" i="35"/>
  <c r="AF22" i="35"/>
  <c r="AF26" i="35" s="1"/>
  <c r="AE22" i="35"/>
  <c r="AD22" i="35"/>
  <c r="AC22" i="35"/>
  <c r="AB22" i="35"/>
  <c r="AB26" i="35" s="1"/>
  <c r="AA22" i="35"/>
  <c r="Z22" i="35"/>
  <c r="Y22" i="35"/>
  <c r="X22" i="35"/>
  <c r="X26" i="35" s="1"/>
  <c r="W22" i="35"/>
  <c r="V22" i="35"/>
  <c r="U22" i="35"/>
  <c r="T22" i="35"/>
  <c r="T26" i="35" s="1"/>
  <c r="S22" i="35"/>
  <c r="R22" i="35"/>
  <c r="Q22" i="35"/>
  <c r="P22" i="35"/>
  <c r="P26" i="35" s="1"/>
  <c r="O22" i="35"/>
  <c r="N22" i="35"/>
  <c r="M22" i="35"/>
  <c r="L22" i="35"/>
  <c r="L26" i="35" s="1"/>
  <c r="K22" i="35"/>
  <c r="J22" i="35"/>
  <c r="J26" i="35" s="1"/>
  <c r="I22" i="35"/>
  <c r="H22" i="35"/>
  <c r="H26" i="35" s="1"/>
  <c r="G22" i="35"/>
  <c r="F22" i="35"/>
  <c r="E22" i="35"/>
  <c r="D22" i="35"/>
  <c r="D23" i="35" s="1"/>
  <c r="C22" i="35"/>
  <c r="BI21" i="35"/>
  <c r="BH21" i="35"/>
  <c r="BG21" i="35"/>
  <c r="P21" i="35"/>
  <c r="O21" i="35"/>
  <c r="N21" i="35"/>
  <c r="M21" i="35"/>
  <c r="K21" i="35"/>
  <c r="J21" i="35"/>
  <c r="I21" i="35"/>
  <c r="H21" i="35"/>
  <c r="F21" i="35"/>
  <c r="E21" i="35"/>
  <c r="D21" i="35"/>
  <c r="C21" i="35"/>
  <c r="C23" i="35" s="1"/>
  <c r="BF18" i="35"/>
  <c r="BE18" i="35"/>
  <c r="BD18" i="35"/>
  <c r="BC18" i="35"/>
  <c r="BB18" i="35"/>
  <c r="BA18" i="35"/>
  <c r="AY18" i="35"/>
  <c r="AX18" i="35"/>
  <c r="AW18" i="35"/>
  <c r="AV18" i="35"/>
  <c r="AT18" i="35"/>
  <c r="AS18" i="35"/>
  <c r="AR18" i="35"/>
  <c r="AQ18" i="35"/>
  <c r="AO18" i="35"/>
  <c r="AN18" i="35"/>
  <c r="AM18" i="35"/>
  <c r="AL18" i="35"/>
  <c r="P16" i="35"/>
  <c r="O16" i="35"/>
  <c r="N16" i="35"/>
  <c r="M16" i="35"/>
  <c r="K16" i="35"/>
  <c r="J16" i="35"/>
  <c r="I16" i="35"/>
  <c r="BI14" i="35"/>
  <c r="BH14" i="35"/>
  <c r="BG14" i="35"/>
  <c r="P14" i="35"/>
  <c r="O14" i="35"/>
  <c r="N14" i="35"/>
  <c r="M14" i="35"/>
  <c r="K14" i="35"/>
  <c r="J14" i="35"/>
  <c r="I14" i="35"/>
  <c r="H14" i="35"/>
  <c r="F14" i="35"/>
  <c r="E14" i="35"/>
  <c r="D14" i="35"/>
  <c r="C14" i="35"/>
  <c r="BJ13" i="35"/>
  <c r="BE13" i="35"/>
  <c r="BE10" i="35"/>
  <c r="AZ13" i="35"/>
  <c r="AZ10" i="35"/>
  <c r="L7" i="44" s="1"/>
  <c r="AU13" i="35"/>
  <c r="AU22" i="35" s="1"/>
  <c r="AP13" i="35"/>
  <c r="AP11" i="35"/>
  <c r="AK13" i="35"/>
  <c r="AK22" i="35" s="1"/>
  <c r="AK26" i="35" s="1"/>
  <c r="AK11" i="35"/>
  <c r="Q12" i="35"/>
  <c r="L12" i="35"/>
  <c r="G12" i="35"/>
  <c r="AT11" i="35"/>
  <c r="AR11" i="35"/>
  <c r="AR10" i="35"/>
  <c r="AF11" i="35"/>
  <c r="AA11" i="35"/>
  <c r="V11" i="35"/>
  <c r="V10" i="35"/>
  <c r="BF10" i="35"/>
  <c r="BF12" i="35" s="1"/>
  <c r="BB11" i="35"/>
  <c r="BB12" i="35" s="1"/>
  <c r="BG16" i="35" s="1"/>
  <c r="BD10" i="35"/>
  <c r="BC10" i="35"/>
  <c r="BB10" i="35"/>
  <c r="BA10" i="35"/>
  <c r="BA12" i="35" s="1"/>
  <c r="AW11" i="35"/>
  <c r="AY10" i="35"/>
  <c r="AX10" i="35"/>
  <c r="AW10" i="35"/>
  <c r="AV10" i="35"/>
  <c r="AV12" i="35" s="1"/>
  <c r="AD10" i="35"/>
  <c r="AD12" i="35" s="1"/>
  <c r="AB10" i="35"/>
  <c r="AB12" i="35" s="1"/>
  <c r="BI7" i="35"/>
  <c r="BH7" i="35"/>
  <c r="BF7" i="35"/>
  <c r="BD7" i="35"/>
  <c r="BC7" i="35"/>
  <c r="BB7" i="35"/>
  <c r="BA7" i="35"/>
  <c r="AY7" i="35"/>
  <c r="AX7" i="35"/>
  <c r="AW7" i="35"/>
  <c r="AV7" i="35"/>
  <c r="AT7" i="35"/>
  <c r="AS7" i="35"/>
  <c r="AR7" i="35"/>
  <c r="AQ7" i="35"/>
  <c r="AO7" i="35"/>
  <c r="AN7" i="35"/>
  <c r="AM7" i="35"/>
  <c r="AL7" i="35"/>
  <c r="AJ7" i="35"/>
  <c r="AI7" i="35"/>
  <c r="AH7" i="35"/>
  <c r="AG7" i="35"/>
  <c r="AE7" i="35"/>
  <c r="BE6" i="35"/>
  <c r="BE5" i="35"/>
  <c r="BE7" i="35" s="1"/>
  <c r="AZ6" i="35"/>
  <c r="AZ5" i="35"/>
  <c r="AU6" i="35"/>
  <c r="AU5" i="35"/>
  <c r="AU7" i="35" s="1"/>
  <c r="AP6" i="35"/>
  <c r="AP5" i="35"/>
  <c r="AK6" i="35"/>
  <c r="AK5" i="35"/>
  <c r="AF5" i="35"/>
  <c r="AF7" i="35" s="1"/>
  <c r="C11" i="44"/>
  <c r="I8" i="44"/>
  <c r="H8" i="44"/>
  <c r="H9" i="44" s="1"/>
  <c r="G8" i="44"/>
  <c r="G9" i="44" s="1"/>
  <c r="F8" i="44"/>
  <c r="E8" i="44"/>
  <c r="D8" i="44"/>
  <c r="D9" i="44" s="1"/>
  <c r="C8" i="44"/>
  <c r="J7" i="44"/>
  <c r="L6" i="44"/>
  <c r="J6" i="44"/>
  <c r="M5" i="44"/>
  <c r="L5" i="44"/>
  <c r="J5" i="44"/>
  <c r="M4" i="44"/>
  <c r="L4" i="44"/>
  <c r="J4" i="44"/>
  <c r="K3" i="44"/>
  <c r="L3" i="44" s="1"/>
  <c r="M3" i="44" s="1"/>
  <c r="J13" i="26"/>
  <c r="J15" i="26" s="1"/>
  <c r="K16" i="26"/>
  <c r="L16" i="26" s="1"/>
  <c r="M16" i="26" s="1"/>
  <c r="N16" i="26" s="1"/>
  <c r="O16" i="26" s="1"/>
  <c r="P16" i="26" s="1"/>
  <c r="Q16" i="26" s="1"/>
  <c r="R16" i="26" s="1"/>
  <c r="S16" i="26" s="1"/>
  <c r="K13" i="26"/>
  <c r="K15" i="26" s="1"/>
  <c r="L11" i="26"/>
  <c r="L13" i="26" s="1"/>
  <c r="D7" i="26"/>
  <c r="E7" i="26" s="1"/>
  <c r="F7" i="26" s="1"/>
  <c r="G7" i="26" s="1"/>
  <c r="H7" i="26" s="1"/>
  <c r="I7" i="26" s="1"/>
  <c r="J7" i="26" s="1"/>
  <c r="K7" i="26" s="1"/>
  <c r="L7" i="26" s="1"/>
  <c r="M7" i="26" s="1"/>
  <c r="N7" i="26" s="1"/>
  <c r="O7" i="26" s="1"/>
  <c r="P7" i="26" s="1"/>
  <c r="Q7" i="26" s="1"/>
  <c r="R7" i="26" s="1"/>
  <c r="S7" i="26" s="1"/>
  <c r="C6" i="26"/>
  <c r="C8" i="26" s="1"/>
  <c r="C10" i="26" s="1"/>
  <c r="D4" i="26"/>
  <c r="C4" i="26"/>
  <c r="E3" i="26"/>
  <c r="F3" i="26" s="1"/>
  <c r="G3" i="26" s="1"/>
  <c r="H3" i="26" s="1"/>
  <c r="I3" i="26" s="1"/>
  <c r="J3" i="26" s="1"/>
  <c r="K3" i="26" s="1"/>
  <c r="L3" i="26" s="1"/>
  <c r="M3" i="26" s="1"/>
  <c r="N3" i="26" s="1"/>
  <c r="O3" i="26" s="1"/>
  <c r="P3" i="26" s="1"/>
  <c r="Q3" i="26" s="1"/>
  <c r="R3" i="26" s="1"/>
  <c r="S3" i="26" s="1"/>
  <c r="D3" i="26"/>
  <c r="E2" i="26" s="1"/>
  <c r="E1" i="26"/>
  <c r="F1" i="26" s="1"/>
  <c r="G1" i="26" s="1"/>
  <c r="H1" i="26" s="1"/>
  <c r="I1" i="26" s="1"/>
  <c r="J1" i="26" s="1"/>
  <c r="K1" i="26" s="1"/>
  <c r="L1" i="26" s="1"/>
  <c r="M1" i="26" s="1"/>
  <c r="N1" i="26" s="1"/>
  <c r="O1" i="26" s="1"/>
  <c r="P1" i="26" s="1"/>
  <c r="Q1" i="26" s="1"/>
  <c r="R1" i="26" s="1"/>
  <c r="S1" i="26" s="1"/>
  <c r="AG43" i="25"/>
  <c r="AG41" i="25"/>
  <c r="AK42" i="25"/>
  <c r="AG42" i="25" s="1"/>
  <c r="AK41" i="25"/>
  <c r="AK40" i="25"/>
  <c r="AG40" i="25" s="1"/>
  <c r="AK39" i="25"/>
  <c r="AK38" i="25"/>
  <c r="AK37" i="25"/>
  <c r="AG37" i="25" s="1"/>
  <c r="AK36" i="25"/>
  <c r="AG36" i="25" s="1"/>
  <c r="AK35" i="25"/>
  <c r="AK34" i="25"/>
  <c r="AK33" i="25"/>
  <c r="AG33" i="25" s="1"/>
  <c r="AK32" i="25"/>
  <c r="AG32" i="25" s="1"/>
  <c r="AK31" i="25"/>
  <c r="AK30" i="25"/>
  <c r="AK29" i="25"/>
  <c r="AK28" i="25"/>
  <c r="AG28" i="25" s="1"/>
  <c r="AK27" i="25"/>
  <c r="AG25" i="25" s="1"/>
  <c r="AK26" i="25"/>
  <c r="AK25" i="25"/>
  <c r="AK24" i="25"/>
  <c r="AG24" i="25" s="1"/>
  <c r="Q26" i="25"/>
  <c r="P26" i="25"/>
  <c r="O26" i="25"/>
  <c r="N26" i="25"/>
  <c r="M26" i="25"/>
  <c r="L26" i="25"/>
  <c r="L14" i="25"/>
  <c r="L16" i="25" s="1"/>
  <c r="C8" i="25"/>
  <c r="N12" i="25"/>
  <c r="N14" i="25" s="1"/>
  <c r="S8" i="25"/>
  <c r="R8" i="25"/>
  <c r="Q8" i="25"/>
  <c r="P8" i="25"/>
  <c r="O8" i="25"/>
  <c r="N8" i="25"/>
  <c r="M8" i="25"/>
  <c r="D10" i="25"/>
  <c r="E10" i="25" s="1"/>
  <c r="F10" i="25" s="1"/>
  <c r="G10" i="25" s="1"/>
  <c r="H10" i="25" s="1"/>
  <c r="I10" i="25" s="1"/>
  <c r="J10" i="25" s="1"/>
  <c r="K10" i="25" s="1"/>
  <c r="L10" i="25" s="1"/>
  <c r="M10" i="25" s="1"/>
  <c r="N10" i="25" s="1"/>
  <c r="O10" i="25" s="1"/>
  <c r="P10" i="25" s="1"/>
  <c r="Q10" i="25" s="1"/>
  <c r="R10" i="25" s="1"/>
  <c r="S10" i="25" s="1"/>
  <c r="L8" i="25"/>
  <c r="K8" i="25"/>
  <c r="J8" i="25"/>
  <c r="I8" i="25"/>
  <c r="H8" i="25"/>
  <c r="G8" i="25"/>
  <c r="F8" i="25"/>
  <c r="E8" i="25"/>
  <c r="D8" i="25"/>
  <c r="D4" i="25"/>
  <c r="D6" i="25" s="1"/>
  <c r="D9" i="25" s="1"/>
  <c r="D11" i="25" s="1"/>
  <c r="C4" i="25"/>
  <c r="C6" i="25" s="1"/>
  <c r="C9" i="25" s="1"/>
  <c r="C11" i="25" s="1"/>
  <c r="E3" i="25"/>
  <c r="F3" i="25" s="1"/>
  <c r="G3" i="25" s="1"/>
  <c r="H3" i="25" s="1"/>
  <c r="I3" i="25" s="1"/>
  <c r="J3" i="25" s="1"/>
  <c r="K3" i="25" s="1"/>
  <c r="L3" i="25" s="1"/>
  <c r="M3" i="25" s="1"/>
  <c r="N3" i="25" s="1"/>
  <c r="O3" i="25" s="1"/>
  <c r="P3" i="25" s="1"/>
  <c r="Q3" i="25" s="1"/>
  <c r="R3" i="25" s="1"/>
  <c r="S3" i="25" s="1"/>
  <c r="D3" i="25"/>
  <c r="E2" i="25"/>
  <c r="E4" i="25" s="1"/>
  <c r="E6" i="25" s="1"/>
  <c r="E1" i="25"/>
  <c r="F1" i="25" s="1"/>
  <c r="G1" i="25" s="1"/>
  <c r="H1" i="25" s="1"/>
  <c r="I1" i="25" s="1"/>
  <c r="J1" i="25" s="1"/>
  <c r="K1" i="25" s="1"/>
  <c r="L1" i="25" s="1"/>
  <c r="M1" i="25" s="1"/>
  <c r="N1" i="25" s="1"/>
  <c r="O1" i="25" s="1"/>
  <c r="P1" i="25" s="1"/>
  <c r="Q1" i="25" s="1"/>
  <c r="R1" i="25" s="1"/>
  <c r="S1" i="25" s="1"/>
  <c r="AO197" i="24"/>
  <c r="AN197" i="24"/>
  <c r="AM197" i="24"/>
  <c r="AM8" i="24" s="1"/>
  <c r="AM11" i="24" s="1"/>
  <c r="AM13" i="24" s="1"/>
  <c r="AK197" i="24"/>
  <c r="AJ197" i="24"/>
  <c r="AI197" i="24"/>
  <c r="AH197" i="24"/>
  <c r="AF197" i="24"/>
  <c r="AE197" i="24"/>
  <c r="AD197" i="24"/>
  <c r="AC197" i="24"/>
  <c r="AA197" i="24"/>
  <c r="Z197" i="24"/>
  <c r="Y197" i="24"/>
  <c r="X197" i="24"/>
  <c r="V197" i="24"/>
  <c r="U197" i="24"/>
  <c r="T197" i="24"/>
  <c r="S197" i="24"/>
  <c r="S8" i="24" s="1"/>
  <c r="S11" i="24" s="1"/>
  <c r="S13" i="24" s="1"/>
  <c r="Q197" i="24"/>
  <c r="P197" i="24"/>
  <c r="O197" i="24"/>
  <c r="N197" i="24"/>
  <c r="L197" i="24"/>
  <c r="K197" i="24"/>
  <c r="J197" i="24"/>
  <c r="I197" i="24"/>
  <c r="G197" i="24"/>
  <c r="F197" i="24"/>
  <c r="E197" i="24"/>
  <c r="D197" i="24"/>
  <c r="AO196" i="24"/>
  <c r="AN196" i="24"/>
  <c r="AM196" i="24"/>
  <c r="AK196" i="24"/>
  <c r="AJ196" i="24"/>
  <c r="AI196" i="24"/>
  <c r="AH196" i="24"/>
  <c r="AF196" i="24"/>
  <c r="AE196" i="24"/>
  <c r="AD196" i="24"/>
  <c r="AC196" i="24"/>
  <c r="AA196" i="24"/>
  <c r="AA8" i="24" s="1"/>
  <c r="AA11" i="24" s="1"/>
  <c r="AA13" i="24" s="1"/>
  <c r="Z196" i="24"/>
  <c r="Y196" i="24"/>
  <c r="X196" i="24"/>
  <c r="V196" i="24"/>
  <c r="U196" i="24"/>
  <c r="T196" i="24"/>
  <c r="S196" i="24"/>
  <c r="Q196" i="24"/>
  <c r="P196" i="24"/>
  <c r="O196" i="24"/>
  <c r="N196" i="24"/>
  <c r="L196" i="24"/>
  <c r="K196" i="24"/>
  <c r="J196" i="24"/>
  <c r="I196" i="24"/>
  <c r="G196" i="24"/>
  <c r="G8" i="24" s="1"/>
  <c r="G11" i="24" s="1"/>
  <c r="G13" i="24" s="1"/>
  <c r="F196" i="24"/>
  <c r="E196" i="24"/>
  <c r="D196" i="24"/>
  <c r="AL193" i="24"/>
  <c r="AL192" i="24"/>
  <c r="AL191" i="24"/>
  <c r="AL190" i="24"/>
  <c r="AL189" i="24"/>
  <c r="AG193" i="24"/>
  <c r="AG192" i="24"/>
  <c r="AG191" i="24"/>
  <c r="AG190" i="24"/>
  <c r="AB193" i="24"/>
  <c r="AB192" i="24"/>
  <c r="AB191" i="24"/>
  <c r="AB190" i="24"/>
  <c r="W193" i="24"/>
  <c r="W192" i="24"/>
  <c r="W191" i="24"/>
  <c r="W190" i="24"/>
  <c r="R193" i="24"/>
  <c r="R192" i="24"/>
  <c r="R191" i="24"/>
  <c r="R190" i="24"/>
  <c r="M193" i="24"/>
  <c r="M192" i="24"/>
  <c r="M191" i="24"/>
  <c r="M190" i="24"/>
  <c r="H193" i="24"/>
  <c r="H192" i="24"/>
  <c r="H191" i="24"/>
  <c r="H190" i="24"/>
  <c r="AL187" i="24"/>
  <c r="AL186" i="24"/>
  <c r="AL185" i="24"/>
  <c r="AL184" i="24"/>
  <c r="AL183" i="24"/>
  <c r="AL182" i="24"/>
  <c r="AL180" i="24"/>
  <c r="AL179" i="24"/>
  <c r="AL178" i="24"/>
  <c r="AL177" i="24"/>
  <c r="AL176" i="24"/>
  <c r="AL175" i="24"/>
  <c r="AL174" i="24"/>
  <c r="AL173" i="24"/>
  <c r="AL172" i="24"/>
  <c r="AL170" i="24"/>
  <c r="AL169" i="24"/>
  <c r="AL197" i="24" s="1"/>
  <c r="AL168" i="24"/>
  <c r="AL167" i="24"/>
  <c r="AL196" i="24" s="1"/>
  <c r="AL166" i="24"/>
  <c r="AL165" i="24"/>
  <c r="AL164" i="24"/>
  <c r="AL163" i="24"/>
  <c r="AG187" i="24"/>
  <c r="AG186" i="24"/>
  <c r="AG185" i="24"/>
  <c r="AG184" i="24"/>
  <c r="AG183" i="24"/>
  <c r="AG182" i="24"/>
  <c r="AG180" i="24"/>
  <c r="AG179" i="24"/>
  <c r="AG178" i="24"/>
  <c r="AG177" i="24"/>
  <c r="AG176" i="24"/>
  <c r="AG175" i="24"/>
  <c r="AG174" i="24"/>
  <c r="AG173" i="24"/>
  <c r="AG172" i="24"/>
  <c r="AG170" i="24"/>
  <c r="AG169" i="24"/>
  <c r="AG197" i="24" s="1"/>
  <c r="AG168" i="24"/>
  <c r="AG167" i="24"/>
  <c r="AG196" i="24" s="1"/>
  <c r="AG166" i="24"/>
  <c r="AG165" i="24"/>
  <c r="AG164" i="24"/>
  <c r="AG163" i="24"/>
  <c r="AB187" i="24"/>
  <c r="AB186" i="24"/>
  <c r="AB185" i="24"/>
  <c r="AB184" i="24"/>
  <c r="AB183" i="24"/>
  <c r="W187" i="24"/>
  <c r="W186" i="24"/>
  <c r="W185" i="24"/>
  <c r="W184" i="24"/>
  <c r="W183" i="24"/>
  <c r="R186" i="24"/>
  <c r="R185" i="24"/>
  <c r="R184" i="24"/>
  <c r="R183" i="24"/>
  <c r="M186" i="24"/>
  <c r="M185" i="24"/>
  <c r="M184" i="24"/>
  <c r="M183" i="24"/>
  <c r="H186" i="24"/>
  <c r="H185" i="24"/>
  <c r="H184" i="24"/>
  <c r="H183" i="24"/>
  <c r="AO181" i="24"/>
  <c r="AO199" i="24" s="1"/>
  <c r="AN181" i="24"/>
  <c r="AN199" i="24" s="1"/>
  <c r="AM181" i="24"/>
  <c r="AM199" i="24" s="1"/>
  <c r="AK181" i="24"/>
  <c r="AK199" i="24" s="1"/>
  <c r="AJ181" i="24"/>
  <c r="AJ199" i="24" s="1"/>
  <c r="AI181" i="24"/>
  <c r="AI199" i="24" s="1"/>
  <c r="AH181" i="24"/>
  <c r="AH199" i="24" s="1"/>
  <c r="AF181" i="24"/>
  <c r="AF199" i="24" s="1"/>
  <c r="AE181" i="24"/>
  <c r="AE199" i="24" s="1"/>
  <c r="AD181" i="24"/>
  <c r="AD199" i="24" s="1"/>
  <c r="AC181" i="24"/>
  <c r="AC199" i="24" s="1"/>
  <c r="AA181" i="24"/>
  <c r="AA199" i="24" s="1"/>
  <c r="Z181" i="24"/>
  <c r="Z199" i="24" s="1"/>
  <c r="Y181" i="24"/>
  <c r="Y199" i="24" s="1"/>
  <c r="X181" i="24"/>
  <c r="V181" i="24"/>
  <c r="V199" i="24" s="1"/>
  <c r="U181" i="24"/>
  <c r="U199" i="24" s="1"/>
  <c r="T181" i="24"/>
  <c r="T199" i="24" s="1"/>
  <c r="S181" i="24"/>
  <c r="S199" i="24" s="1"/>
  <c r="Q181" i="24"/>
  <c r="Q199" i="24" s="1"/>
  <c r="P181" i="24"/>
  <c r="P199" i="24" s="1"/>
  <c r="O181" i="24"/>
  <c r="O199" i="24" s="1"/>
  <c r="N181" i="24"/>
  <c r="L181" i="24"/>
  <c r="L199" i="24" s="1"/>
  <c r="K181" i="24"/>
  <c r="K199" i="24" s="1"/>
  <c r="J181" i="24"/>
  <c r="J199" i="24" s="1"/>
  <c r="I181" i="24"/>
  <c r="I199" i="24" s="1"/>
  <c r="G181" i="24"/>
  <c r="G199" i="24" s="1"/>
  <c r="F181" i="24"/>
  <c r="F199" i="24" s="1"/>
  <c r="E181" i="24"/>
  <c r="E199" i="24" s="1"/>
  <c r="D181" i="24"/>
  <c r="AB180" i="24"/>
  <c r="AB179" i="24"/>
  <c r="AB178" i="24"/>
  <c r="AB177" i="24"/>
  <c r="AB176" i="24"/>
  <c r="AB175" i="24"/>
  <c r="AB174" i="24"/>
  <c r="AB173" i="24"/>
  <c r="AB172" i="24"/>
  <c r="AB170" i="24"/>
  <c r="AB169" i="24"/>
  <c r="AB197" i="24" s="1"/>
  <c r="AB168" i="24"/>
  <c r="AB167" i="24"/>
  <c r="AB196" i="24" s="1"/>
  <c r="AB8" i="24" s="1"/>
  <c r="AB11" i="24" s="1"/>
  <c r="AB13" i="24" s="1"/>
  <c r="AB166" i="24"/>
  <c r="AB165" i="24"/>
  <c r="AB164" i="24"/>
  <c r="AB163" i="24"/>
  <c r="W180" i="24"/>
  <c r="W179" i="24"/>
  <c r="W178" i="24"/>
  <c r="W177" i="24"/>
  <c r="W176" i="24"/>
  <c r="W175" i="24"/>
  <c r="W174" i="24"/>
  <c r="W173" i="24"/>
  <c r="W172" i="24"/>
  <c r="W170" i="24"/>
  <c r="W169" i="24"/>
  <c r="W197" i="24" s="1"/>
  <c r="W168" i="24"/>
  <c r="W167" i="24"/>
  <c r="W196" i="24" s="1"/>
  <c r="W166" i="24"/>
  <c r="W165" i="24"/>
  <c r="W164" i="24"/>
  <c r="W163" i="24"/>
  <c r="R180" i="24"/>
  <c r="R179" i="24"/>
  <c r="R178" i="24"/>
  <c r="R177" i="24"/>
  <c r="R176" i="24"/>
  <c r="M180" i="24"/>
  <c r="H180" i="24"/>
  <c r="M178" i="24"/>
  <c r="M177" i="24"/>
  <c r="M176" i="24"/>
  <c r="H178" i="24"/>
  <c r="H177" i="24"/>
  <c r="R174" i="24"/>
  <c r="R173" i="24"/>
  <c r="R172" i="24"/>
  <c r="R170" i="24"/>
  <c r="R169" i="24"/>
  <c r="R197" i="24" s="1"/>
  <c r="R168" i="24"/>
  <c r="R167" i="24"/>
  <c r="R196" i="24" s="1"/>
  <c r="R8" i="24" s="1"/>
  <c r="R11" i="24" s="1"/>
  <c r="R13" i="24" s="1"/>
  <c r="R166" i="24"/>
  <c r="R165" i="24"/>
  <c r="R164" i="24"/>
  <c r="R163" i="24"/>
  <c r="M173" i="24"/>
  <c r="M172" i="24"/>
  <c r="M170" i="24"/>
  <c r="M169" i="24"/>
  <c r="M197" i="24" s="1"/>
  <c r="M168" i="24"/>
  <c r="M167" i="24"/>
  <c r="M196" i="24" s="1"/>
  <c r="H173" i="24"/>
  <c r="H172" i="24"/>
  <c r="H170" i="24"/>
  <c r="H169" i="24"/>
  <c r="H197" i="24" s="1"/>
  <c r="H168" i="24"/>
  <c r="H167" i="24"/>
  <c r="H196" i="24" s="1"/>
  <c r="H8" i="24" s="1"/>
  <c r="H11" i="24" s="1"/>
  <c r="H13" i="24" s="1"/>
  <c r="H166" i="24"/>
  <c r="H165" i="24"/>
  <c r="H164" i="24"/>
  <c r="H163" i="24"/>
  <c r="H162" i="24"/>
  <c r="H161" i="24"/>
  <c r="H160" i="24"/>
  <c r="H159" i="24"/>
  <c r="AO171" i="24"/>
  <c r="AO198" i="24" s="1"/>
  <c r="AN171" i="24"/>
  <c r="AN198" i="24" s="1"/>
  <c r="AM171" i="24"/>
  <c r="AM198" i="24" s="1"/>
  <c r="AK171" i="24"/>
  <c r="AK198" i="24" s="1"/>
  <c r="AK4" i="24" s="1"/>
  <c r="AJ171" i="24"/>
  <c r="AJ198" i="24" s="1"/>
  <c r="AI171" i="24"/>
  <c r="AI198" i="24" s="1"/>
  <c r="AH171" i="24"/>
  <c r="AH198" i="24" s="1"/>
  <c r="AF171" i="24"/>
  <c r="AF198" i="24" s="1"/>
  <c r="AE171" i="24"/>
  <c r="AE198" i="24" s="1"/>
  <c r="AD171" i="24"/>
  <c r="AD198" i="24" s="1"/>
  <c r="AC171" i="24"/>
  <c r="AC198" i="24" s="1"/>
  <c r="AA171" i="24"/>
  <c r="AA198" i="24" s="1"/>
  <c r="AA4" i="24" s="1"/>
  <c r="AA6" i="24" s="1"/>
  <c r="Z171" i="24"/>
  <c r="Z198" i="24" s="1"/>
  <c r="Y171" i="24"/>
  <c r="Y198" i="24" s="1"/>
  <c r="X171" i="24"/>
  <c r="V171" i="24"/>
  <c r="V198" i="24" s="1"/>
  <c r="V4" i="24" s="1"/>
  <c r="V6" i="24" s="1"/>
  <c r="U171" i="24"/>
  <c r="U198" i="24" s="1"/>
  <c r="T171" i="24"/>
  <c r="T198" i="24" s="1"/>
  <c r="S171" i="24"/>
  <c r="S198" i="24" s="1"/>
  <c r="Q171" i="24"/>
  <c r="Q198" i="24" s="1"/>
  <c r="Q4" i="24" s="1"/>
  <c r="Q6" i="24" s="1"/>
  <c r="P171" i="24"/>
  <c r="P198" i="24" s="1"/>
  <c r="O171" i="24"/>
  <c r="O198" i="24" s="1"/>
  <c r="N171" i="24"/>
  <c r="L171" i="24"/>
  <c r="L198" i="24" s="1"/>
  <c r="K171" i="24"/>
  <c r="K198" i="24" s="1"/>
  <c r="J171" i="24"/>
  <c r="J198" i="24" s="1"/>
  <c r="I171" i="24"/>
  <c r="I198" i="24" s="1"/>
  <c r="G171" i="24"/>
  <c r="G198" i="24" s="1"/>
  <c r="G4" i="24" s="1"/>
  <c r="G6" i="24" s="1"/>
  <c r="F171" i="24"/>
  <c r="F198" i="24" s="1"/>
  <c r="E171" i="24"/>
  <c r="E198" i="24" s="1"/>
  <c r="D171" i="24"/>
  <c r="M165" i="24"/>
  <c r="M164" i="24"/>
  <c r="M163" i="24"/>
  <c r="M162" i="24"/>
  <c r="M161" i="24"/>
  <c r="M160" i="24"/>
  <c r="M159" i="24"/>
  <c r="AL161" i="24"/>
  <c r="AL160" i="24"/>
  <c r="AL159" i="24"/>
  <c r="AL158" i="24"/>
  <c r="AG161" i="24"/>
  <c r="AG160" i="24"/>
  <c r="AG159" i="24"/>
  <c r="AG158" i="24"/>
  <c r="AB161" i="24"/>
  <c r="AB160" i="24"/>
  <c r="AB159" i="24"/>
  <c r="AB158" i="24"/>
  <c r="W161" i="24"/>
  <c r="W160" i="24"/>
  <c r="W159" i="24"/>
  <c r="R161" i="24"/>
  <c r="R160" i="24"/>
  <c r="R159" i="24"/>
  <c r="AL156" i="24"/>
  <c r="AL155" i="24"/>
  <c r="AL154" i="24"/>
  <c r="AL153" i="24"/>
  <c r="AL152" i="24"/>
  <c r="AL151" i="24"/>
  <c r="AG156" i="24"/>
  <c r="AG155" i="24"/>
  <c r="AG154" i="24"/>
  <c r="AG153" i="24"/>
  <c r="AG152" i="24"/>
  <c r="AG151" i="24"/>
  <c r="AB156" i="24"/>
  <c r="AB155" i="24"/>
  <c r="AB154" i="24"/>
  <c r="AB153" i="24"/>
  <c r="AB152" i="24"/>
  <c r="AB151" i="24"/>
  <c r="W156" i="24"/>
  <c r="W155" i="24"/>
  <c r="W154" i="24"/>
  <c r="W153" i="24"/>
  <c r="W152" i="24"/>
  <c r="W151" i="24"/>
  <c r="R156" i="24"/>
  <c r="R155" i="24"/>
  <c r="R154" i="24"/>
  <c r="R153" i="24"/>
  <c r="R152" i="24"/>
  <c r="R151" i="24"/>
  <c r="M156" i="24"/>
  <c r="M155" i="24"/>
  <c r="M154" i="24"/>
  <c r="M153" i="24"/>
  <c r="M152" i="24"/>
  <c r="M151" i="24"/>
  <c r="H156" i="24"/>
  <c r="H155" i="24"/>
  <c r="H154" i="24"/>
  <c r="H153" i="24"/>
  <c r="H152" i="24"/>
  <c r="H151" i="24"/>
  <c r="AM150" i="24"/>
  <c r="AM195" i="24" s="1"/>
  <c r="AO149" i="24"/>
  <c r="AO150" i="24" s="1"/>
  <c r="AO195" i="24" s="1"/>
  <c r="AO4" i="24" s="1"/>
  <c r="AO6" i="24" s="1"/>
  <c r="AN149" i="24"/>
  <c r="AN150" i="24" s="1"/>
  <c r="AN195" i="24" s="1"/>
  <c r="AM149" i="24"/>
  <c r="AI150" i="24"/>
  <c r="AI195" i="24" s="1"/>
  <c r="AI4" i="24" s="1"/>
  <c r="AI6" i="24" s="1"/>
  <c r="AK149" i="24"/>
  <c r="AK150" i="24" s="1"/>
  <c r="AK195" i="24" s="1"/>
  <c r="AJ149" i="24"/>
  <c r="AJ150" i="24" s="1"/>
  <c r="AJ195" i="24" s="1"/>
  <c r="AI149" i="24"/>
  <c r="AH149" i="24"/>
  <c r="AL149" i="24" s="1"/>
  <c r="AF149" i="24"/>
  <c r="AF150" i="24" s="1"/>
  <c r="AF195" i="24" s="1"/>
  <c r="AE149" i="24"/>
  <c r="AE150" i="24" s="1"/>
  <c r="AE195" i="24" s="1"/>
  <c r="AD149" i="24"/>
  <c r="AD150" i="24" s="1"/>
  <c r="AD195" i="24" s="1"/>
  <c r="AC149" i="24"/>
  <c r="AA149" i="24"/>
  <c r="AA150" i="24" s="1"/>
  <c r="AA195" i="24" s="1"/>
  <c r="Z149" i="24"/>
  <c r="Z150" i="24" s="1"/>
  <c r="Z195" i="24" s="1"/>
  <c r="Y149" i="24"/>
  <c r="Y150" i="24" s="1"/>
  <c r="Y195" i="24" s="1"/>
  <c r="X149" i="24"/>
  <c r="V149" i="24"/>
  <c r="V150" i="24" s="1"/>
  <c r="V195" i="24" s="1"/>
  <c r="U149" i="24"/>
  <c r="U150" i="24" s="1"/>
  <c r="U195" i="24" s="1"/>
  <c r="T149" i="24"/>
  <c r="T150" i="24" s="1"/>
  <c r="T195" i="24" s="1"/>
  <c r="S149" i="24"/>
  <c r="Q149" i="24"/>
  <c r="Q150" i="24" s="1"/>
  <c r="Q195" i="24" s="1"/>
  <c r="P149" i="24"/>
  <c r="P150" i="24" s="1"/>
  <c r="P195" i="24" s="1"/>
  <c r="O149" i="24"/>
  <c r="O150" i="24" s="1"/>
  <c r="O195" i="24" s="1"/>
  <c r="N149" i="24"/>
  <c r="L149" i="24"/>
  <c r="L150" i="24" s="1"/>
  <c r="L195" i="24" s="1"/>
  <c r="K149" i="24"/>
  <c r="K150" i="24" s="1"/>
  <c r="K195" i="24" s="1"/>
  <c r="J149" i="24"/>
  <c r="J150" i="24" s="1"/>
  <c r="J195" i="24" s="1"/>
  <c r="I149" i="24"/>
  <c r="G149" i="24"/>
  <c r="G150" i="24" s="1"/>
  <c r="G195" i="24" s="1"/>
  <c r="F149" i="24"/>
  <c r="F150" i="24" s="1"/>
  <c r="F195" i="24" s="1"/>
  <c r="E149" i="24"/>
  <c r="E150" i="24" s="1"/>
  <c r="E195" i="24" s="1"/>
  <c r="D149" i="24"/>
  <c r="AL145" i="24"/>
  <c r="AL144" i="24"/>
  <c r="AL143" i="24"/>
  <c r="AL142" i="24"/>
  <c r="AL141" i="24"/>
  <c r="AG145" i="24"/>
  <c r="AG144" i="24"/>
  <c r="AG143" i="24"/>
  <c r="AG142" i="24"/>
  <c r="AB145" i="24"/>
  <c r="AB144" i="24"/>
  <c r="AB143" i="24"/>
  <c r="AB142" i="24"/>
  <c r="W145" i="24"/>
  <c r="W144" i="24"/>
  <c r="W143" i="24"/>
  <c r="W142" i="24"/>
  <c r="R145" i="24"/>
  <c r="R144" i="24"/>
  <c r="R143" i="24"/>
  <c r="R142" i="24"/>
  <c r="M145" i="24"/>
  <c r="M144" i="24"/>
  <c r="M143" i="24"/>
  <c r="M142" i="24"/>
  <c r="H145" i="24"/>
  <c r="H144" i="24"/>
  <c r="H143" i="24"/>
  <c r="H142" i="24"/>
  <c r="AL139" i="24"/>
  <c r="AL138" i="24"/>
  <c r="AL137" i="24"/>
  <c r="AL136" i="24"/>
  <c r="AL135" i="24"/>
  <c r="AL134" i="24"/>
  <c r="AL132" i="24"/>
  <c r="AL131" i="24"/>
  <c r="AL130" i="24"/>
  <c r="AL129" i="24"/>
  <c r="AL128" i="24"/>
  <c r="AL127" i="24"/>
  <c r="AL126" i="24"/>
  <c r="AL125" i="24"/>
  <c r="AL124" i="24"/>
  <c r="AL122" i="24"/>
  <c r="AL121" i="24"/>
  <c r="AL120" i="24"/>
  <c r="AL119" i="24"/>
  <c r="AL118" i="24"/>
  <c r="AL117" i="24"/>
  <c r="AL116" i="24"/>
  <c r="AL115" i="24"/>
  <c r="AG139" i="24"/>
  <c r="AG138" i="24"/>
  <c r="AG137" i="24"/>
  <c r="AG136" i="24"/>
  <c r="AG135" i="24"/>
  <c r="AG134" i="24"/>
  <c r="AG132" i="24"/>
  <c r="AG131" i="24"/>
  <c r="AG130" i="24"/>
  <c r="AG129" i="24"/>
  <c r="AG128" i="24"/>
  <c r="AG127" i="24"/>
  <c r="AG126" i="24"/>
  <c r="AG125" i="24"/>
  <c r="AG124" i="24"/>
  <c r="AG122" i="24"/>
  <c r="AG121" i="24"/>
  <c r="AG120" i="24"/>
  <c r="AG119" i="24"/>
  <c r="AG118" i="24"/>
  <c r="AG117" i="24"/>
  <c r="AG116" i="24"/>
  <c r="AG115" i="24"/>
  <c r="AB139" i="24"/>
  <c r="AB138" i="24"/>
  <c r="AB137" i="24"/>
  <c r="AB136" i="24"/>
  <c r="AB135" i="24"/>
  <c r="W139" i="24"/>
  <c r="W138" i="24"/>
  <c r="W137" i="24"/>
  <c r="W136" i="24"/>
  <c r="W135" i="24"/>
  <c r="R138" i="24"/>
  <c r="R137" i="24"/>
  <c r="R136" i="24"/>
  <c r="R135" i="24"/>
  <c r="M138" i="24"/>
  <c r="M137" i="24"/>
  <c r="M136" i="24"/>
  <c r="M135" i="24"/>
  <c r="H138" i="24"/>
  <c r="H137" i="24"/>
  <c r="H136" i="24"/>
  <c r="H135" i="24"/>
  <c r="AO133" i="24"/>
  <c r="AN133" i="24"/>
  <c r="AM133" i="24"/>
  <c r="AK133" i="24"/>
  <c r="AJ133" i="24"/>
  <c r="AI133" i="24"/>
  <c r="AH133" i="24"/>
  <c r="AL133" i="24" s="1"/>
  <c r="AF133" i="24"/>
  <c r="AE133" i="24"/>
  <c r="AD133" i="24"/>
  <c r="AC133" i="24"/>
  <c r="AG133" i="24" s="1"/>
  <c r="AA133" i="24"/>
  <c r="Z133" i="24"/>
  <c r="Y133" i="24"/>
  <c r="X133" i="24"/>
  <c r="AB133" i="24" s="1"/>
  <c r="V133" i="24"/>
  <c r="U133" i="24"/>
  <c r="T133" i="24"/>
  <c r="S133" i="24"/>
  <c r="W133" i="24" s="1"/>
  <c r="Q133" i="24"/>
  <c r="P133" i="24"/>
  <c r="O133" i="24"/>
  <c r="N133" i="24"/>
  <c r="R133" i="24" s="1"/>
  <c r="L133" i="24"/>
  <c r="K133" i="24"/>
  <c r="J133" i="24"/>
  <c r="I133" i="24"/>
  <c r="M133" i="24" s="1"/>
  <c r="G133" i="24"/>
  <c r="F133" i="24"/>
  <c r="E133" i="24"/>
  <c r="D133" i="24"/>
  <c r="H133" i="24" s="1"/>
  <c r="AB132" i="24"/>
  <c r="AB131" i="24"/>
  <c r="AB130" i="24"/>
  <c r="AB129" i="24"/>
  <c r="AB128" i="24"/>
  <c r="AB127" i="24"/>
  <c r="AB126" i="24"/>
  <c r="AB125" i="24"/>
  <c r="AB124" i="24"/>
  <c r="AB122" i="24"/>
  <c r="AB121" i="24"/>
  <c r="AB120" i="24"/>
  <c r="AB119" i="24"/>
  <c r="AB118" i="24"/>
  <c r="AB117" i="24"/>
  <c r="AB116" i="24"/>
  <c r="AB115" i="24"/>
  <c r="AB114" i="24"/>
  <c r="AB113" i="24"/>
  <c r="AB112" i="24"/>
  <c r="AB111" i="24"/>
  <c r="AB110" i="24"/>
  <c r="W132" i="24"/>
  <c r="W131" i="24"/>
  <c r="W130" i="24"/>
  <c r="W129" i="24"/>
  <c r="W128" i="24"/>
  <c r="W127" i="24"/>
  <c r="W126" i="24"/>
  <c r="W125" i="24"/>
  <c r="W124" i="24"/>
  <c r="W122" i="24"/>
  <c r="W121" i="24"/>
  <c r="W120" i="24"/>
  <c r="W119" i="24"/>
  <c r="W118" i="24"/>
  <c r="W117" i="24"/>
  <c r="W116" i="24"/>
  <c r="W115" i="24"/>
  <c r="W114" i="24"/>
  <c r="W113" i="24"/>
  <c r="W112" i="24"/>
  <c r="W111" i="24"/>
  <c r="R132" i="24"/>
  <c r="R131" i="24"/>
  <c r="R130" i="24"/>
  <c r="R129" i="24"/>
  <c r="R128" i="24"/>
  <c r="M132" i="24"/>
  <c r="H132" i="24"/>
  <c r="M130" i="24"/>
  <c r="M129" i="24"/>
  <c r="M128" i="24"/>
  <c r="H130" i="24"/>
  <c r="H129" i="24"/>
  <c r="R126" i="24"/>
  <c r="R125" i="24"/>
  <c r="R124" i="24"/>
  <c r="R122" i="24"/>
  <c r="R121" i="24"/>
  <c r="R120" i="24"/>
  <c r="R119" i="24"/>
  <c r="R118" i="24"/>
  <c r="R117" i="24"/>
  <c r="R116" i="24"/>
  <c r="R115" i="24"/>
  <c r="R114" i="24"/>
  <c r="R113" i="24"/>
  <c r="R112" i="24"/>
  <c r="R111" i="24"/>
  <c r="M125" i="24"/>
  <c r="M124" i="24"/>
  <c r="M122" i="24"/>
  <c r="M121" i="24"/>
  <c r="M120" i="24"/>
  <c r="M119" i="24"/>
  <c r="H125" i="24"/>
  <c r="H124" i="24"/>
  <c r="H122" i="24"/>
  <c r="H121" i="24"/>
  <c r="H120" i="24"/>
  <c r="H119" i="24"/>
  <c r="AO123" i="24"/>
  <c r="AN123" i="24"/>
  <c r="AM123" i="24"/>
  <c r="AK123" i="24"/>
  <c r="AJ123" i="24"/>
  <c r="AI123" i="24"/>
  <c r="AH123" i="24"/>
  <c r="AF123" i="24"/>
  <c r="AE123" i="24"/>
  <c r="AD123" i="24"/>
  <c r="AC123" i="24"/>
  <c r="AA123" i="24"/>
  <c r="Z123" i="24"/>
  <c r="Y123" i="24"/>
  <c r="X123" i="24"/>
  <c r="V123" i="24"/>
  <c r="U123" i="24"/>
  <c r="T123" i="24"/>
  <c r="S123" i="24"/>
  <c r="Q123" i="24"/>
  <c r="P123" i="24"/>
  <c r="O123" i="24"/>
  <c r="N123" i="24"/>
  <c r="L123" i="24"/>
  <c r="K123" i="24"/>
  <c r="J123" i="24"/>
  <c r="I123" i="24"/>
  <c r="G123" i="24"/>
  <c r="F123" i="24"/>
  <c r="E123" i="24"/>
  <c r="D123" i="24"/>
  <c r="M117" i="24"/>
  <c r="M116" i="24"/>
  <c r="M115" i="24"/>
  <c r="M114" i="24"/>
  <c r="M113" i="24"/>
  <c r="M112" i="24"/>
  <c r="M111" i="24"/>
  <c r="H117" i="24"/>
  <c r="H116" i="24"/>
  <c r="H115" i="24"/>
  <c r="H114" i="24"/>
  <c r="H113" i="24"/>
  <c r="H112" i="24"/>
  <c r="H111" i="24"/>
  <c r="AL113" i="24"/>
  <c r="AL112" i="24"/>
  <c r="AL111" i="24"/>
  <c r="AL110" i="24"/>
  <c r="AG113" i="24"/>
  <c r="AG112" i="24"/>
  <c r="AG111" i="24"/>
  <c r="AG110" i="24"/>
  <c r="AL108" i="24"/>
  <c r="AL107" i="24"/>
  <c r="AL106" i="24"/>
  <c r="AL105" i="24"/>
  <c r="AL104" i="24"/>
  <c r="AL103" i="24"/>
  <c r="AL100" i="24"/>
  <c r="AL148" i="24" s="1"/>
  <c r="AG108" i="24"/>
  <c r="AG107" i="24"/>
  <c r="AG106" i="24"/>
  <c r="AG105" i="24"/>
  <c r="AG104" i="24"/>
  <c r="AG103" i="24"/>
  <c r="AG100" i="24"/>
  <c r="AG148" i="24" s="1"/>
  <c r="AB108" i="24"/>
  <c r="AB107" i="24"/>
  <c r="AB106" i="24"/>
  <c r="AB105" i="24"/>
  <c r="AB104" i="24"/>
  <c r="AB103" i="24"/>
  <c r="AB100" i="24"/>
  <c r="AB148" i="24" s="1"/>
  <c r="W108" i="24"/>
  <c r="W107" i="24"/>
  <c r="W106" i="24"/>
  <c r="W105" i="24"/>
  <c r="W104" i="24"/>
  <c r="W103" i="24"/>
  <c r="W100" i="24"/>
  <c r="W148" i="24" s="1"/>
  <c r="R108" i="24"/>
  <c r="R107" i="24"/>
  <c r="R106" i="24"/>
  <c r="R105" i="24"/>
  <c r="R104" i="24"/>
  <c r="R103" i="24"/>
  <c r="R100" i="24"/>
  <c r="R148" i="24" s="1"/>
  <c r="M108" i="24"/>
  <c r="M107" i="24"/>
  <c r="M106" i="24"/>
  <c r="M105" i="24"/>
  <c r="M104" i="24"/>
  <c r="M103" i="24"/>
  <c r="M100" i="24"/>
  <c r="M148" i="24" s="1"/>
  <c r="H108" i="24"/>
  <c r="H107" i="24"/>
  <c r="H106" i="24"/>
  <c r="H105" i="24"/>
  <c r="H104" i="24"/>
  <c r="H103" i="24"/>
  <c r="H100" i="24"/>
  <c r="H148" i="24" s="1"/>
  <c r="AO101" i="24"/>
  <c r="AO146" i="24" s="1"/>
  <c r="AN101" i="24"/>
  <c r="AN146" i="24" s="1"/>
  <c r="AM101" i="24"/>
  <c r="AM102" i="24" s="1"/>
  <c r="AK101" i="24"/>
  <c r="AK146" i="24" s="1"/>
  <c r="AJ101" i="24"/>
  <c r="AJ146" i="24" s="1"/>
  <c r="AI101" i="24"/>
  <c r="AI146" i="24" s="1"/>
  <c r="AH101" i="24"/>
  <c r="AF101" i="24"/>
  <c r="AF102" i="24" s="1"/>
  <c r="AE101" i="24"/>
  <c r="AE146" i="24" s="1"/>
  <c r="AD101" i="24"/>
  <c r="AD102" i="24" s="1"/>
  <c r="AC101" i="24"/>
  <c r="AA101" i="24"/>
  <c r="AA146" i="24" s="1"/>
  <c r="Z101" i="24"/>
  <c r="Z146" i="24" s="1"/>
  <c r="Y101" i="24"/>
  <c r="Y146" i="24" s="1"/>
  <c r="X101" i="24"/>
  <c r="V101" i="24"/>
  <c r="V102" i="24" s="1"/>
  <c r="U101" i="24"/>
  <c r="U146" i="24" s="1"/>
  <c r="T101" i="24"/>
  <c r="T102" i="24" s="1"/>
  <c r="S101" i="24"/>
  <c r="Q101" i="24"/>
  <c r="Q146" i="24" s="1"/>
  <c r="P101" i="24"/>
  <c r="P146" i="24" s="1"/>
  <c r="O101" i="24"/>
  <c r="O146" i="24" s="1"/>
  <c r="N101" i="24"/>
  <c r="L101" i="24"/>
  <c r="L102" i="24" s="1"/>
  <c r="K101" i="24"/>
  <c r="K146" i="24" s="1"/>
  <c r="J101" i="24"/>
  <c r="J102" i="24" s="1"/>
  <c r="I101" i="24"/>
  <c r="G101" i="24"/>
  <c r="G146" i="24" s="1"/>
  <c r="F101" i="24"/>
  <c r="F146" i="24" s="1"/>
  <c r="E101" i="24"/>
  <c r="E146" i="24" s="1"/>
  <c r="D101" i="24"/>
  <c r="AL98" i="24"/>
  <c r="AL97" i="24"/>
  <c r="AL96" i="24"/>
  <c r="AL95" i="24"/>
  <c r="AL94" i="24"/>
  <c r="AG98" i="24"/>
  <c r="AG97" i="24"/>
  <c r="AG96" i="24"/>
  <c r="AG95" i="24"/>
  <c r="AB98" i="24"/>
  <c r="AB97" i="24"/>
  <c r="AB96" i="24"/>
  <c r="AB95" i="24"/>
  <c r="W98" i="24"/>
  <c r="W97" i="24"/>
  <c r="W96" i="24"/>
  <c r="W95" i="24"/>
  <c r="R98" i="24"/>
  <c r="R97" i="24"/>
  <c r="R96" i="24"/>
  <c r="R95" i="24"/>
  <c r="M98" i="24"/>
  <c r="M97" i="24"/>
  <c r="M96" i="24"/>
  <c r="M95" i="24"/>
  <c r="H98" i="24"/>
  <c r="H97" i="24"/>
  <c r="H96" i="24"/>
  <c r="H95" i="24"/>
  <c r="AL92" i="24"/>
  <c r="AL91" i="24"/>
  <c r="AL90" i="24"/>
  <c r="AL89" i="24"/>
  <c r="AL88" i="24"/>
  <c r="AL87" i="24"/>
  <c r="AL85" i="24"/>
  <c r="AL84" i="24"/>
  <c r="AL83" i="24"/>
  <c r="AL82" i="24"/>
  <c r="AL81" i="24"/>
  <c r="AL80" i="24"/>
  <c r="AL79" i="24"/>
  <c r="AL78" i="24"/>
  <c r="AL77" i="24"/>
  <c r="AL75" i="24"/>
  <c r="AL74" i="24"/>
  <c r="AL73" i="24"/>
  <c r="AL72" i="24"/>
  <c r="AL71" i="24"/>
  <c r="AL70" i="24"/>
  <c r="AL69" i="24"/>
  <c r="AL68" i="24"/>
  <c r="AG92" i="24"/>
  <c r="AG91" i="24"/>
  <c r="AG90" i="24"/>
  <c r="AG89" i="24"/>
  <c r="AG88" i="24"/>
  <c r="AG87" i="24"/>
  <c r="AG85" i="24"/>
  <c r="AG84" i="24"/>
  <c r="AG83" i="24"/>
  <c r="AG82" i="24"/>
  <c r="AG81" i="24"/>
  <c r="AG80" i="24"/>
  <c r="AG79" i="24"/>
  <c r="AG78" i="24"/>
  <c r="AG77" i="24"/>
  <c r="AG75" i="24"/>
  <c r="AG74" i="24"/>
  <c r="AG73" i="24"/>
  <c r="AG72" i="24"/>
  <c r="AG71" i="24"/>
  <c r="AG70" i="24"/>
  <c r="AG69" i="24"/>
  <c r="AG68" i="24"/>
  <c r="AB92" i="24"/>
  <c r="AB91" i="24"/>
  <c r="AB90" i="24"/>
  <c r="AB89" i="24"/>
  <c r="AB88" i="24"/>
  <c r="W92" i="24"/>
  <c r="W91" i="24"/>
  <c r="W90" i="24"/>
  <c r="W89" i="24"/>
  <c r="W88" i="24"/>
  <c r="R91" i="24"/>
  <c r="R90" i="24"/>
  <c r="R89" i="24"/>
  <c r="R88" i="24"/>
  <c r="M91" i="24"/>
  <c r="M90" i="24"/>
  <c r="M89" i="24"/>
  <c r="M88" i="24"/>
  <c r="H91" i="24"/>
  <c r="H90" i="24"/>
  <c r="H89" i="24"/>
  <c r="H88" i="24"/>
  <c r="AO86" i="24"/>
  <c r="AN86" i="24"/>
  <c r="AM86" i="24"/>
  <c r="AK86" i="24"/>
  <c r="AJ86" i="24"/>
  <c r="AI86" i="24"/>
  <c r="AH86" i="24"/>
  <c r="AF86" i="24"/>
  <c r="AE86" i="24"/>
  <c r="AD86" i="24"/>
  <c r="AC86" i="24"/>
  <c r="AA86" i="24"/>
  <c r="Z86" i="24"/>
  <c r="Y86" i="24"/>
  <c r="X86" i="24"/>
  <c r="V86" i="24"/>
  <c r="U86" i="24"/>
  <c r="T86" i="24"/>
  <c r="S86" i="24"/>
  <c r="Q86" i="24"/>
  <c r="P86" i="24"/>
  <c r="O86" i="24"/>
  <c r="N86" i="24"/>
  <c r="L86" i="24"/>
  <c r="K86" i="24"/>
  <c r="J86" i="24"/>
  <c r="I86" i="24"/>
  <c r="G86" i="24"/>
  <c r="F86" i="24"/>
  <c r="E86" i="24"/>
  <c r="D86" i="24"/>
  <c r="AB85" i="24"/>
  <c r="AB84" i="24"/>
  <c r="AB83" i="24"/>
  <c r="AB82" i="24"/>
  <c r="AB81" i="24"/>
  <c r="AB80" i="24"/>
  <c r="AB79" i="24"/>
  <c r="AB78" i="24"/>
  <c r="AB77" i="24"/>
  <c r="AB75" i="24"/>
  <c r="AB74" i="24"/>
  <c r="AB73" i="24"/>
  <c r="AB72" i="24"/>
  <c r="AB71" i="24"/>
  <c r="AB70" i="24"/>
  <c r="AB69" i="24"/>
  <c r="AB68" i="24"/>
  <c r="W85" i="24"/>
  <c r="W84" i="24"/>
  <c r="W83" i="24"/>
  <c r="W82" i="24"/>
  <c r="W81" i="24"/>
  <c r="R85" i="24"/>
  <c r="R84" i="24"/>
  <c r="R83" i="24"/>
  <c r="R82" i="24"/>
  <c r="R81" i="24"/>
  <c r="M85" i="24"/>
  <c r="H85" i="24"/>
  <c r="M83" i="24"/>
  <c r="M82" i="24"/>
  <c r="M81" i="24"/>
  <c r="H83" i="24"/>
  <c r="H82" i="24"/>
  <c r="W79" i="24"/>
  <c r="W78" i="24"/>
  <c r="W77" i="24"/>
  <c r="W75" i="24"/>
  <c r="W74" i="24"/>
  <c r="W73" i="24"/>
  <c r="W72" i="24"/>
  <c r="W71" i="24"/>
  <c r="W70" i="24"/>
  <c r="W69" i="24"/>
  <c r="W68" i="24"/>
  <c r="R79" i="24"/>
  <c r="R78" i="24"/>
  <c r="R77" i="24"/>
  <c r="R75" i="24"/>
  <c r="R74" i="24"/>
  <c r="R73" i="24"/>
  <c r="R72" i="24"/>
  <c r="R71" i="24"/>
  <c r="R70" i="24"/>
  <c r="R69" i="24"/>
  <c r="R68" i="24"/>
  <c r="M78" i="24"/>
  <c r="M77" i="24"/>
  <c r="M75" i="24"/>
  <c r="M74" i="24"/>
  <c r="M73" i="24"/>
  <c r="M72" i="24"/>
  <c r="H78" i="24"/>
  <c r="H77" i="24"/>
  <c r="H75" i="24"/>
  <c r="H74" i="24"/>
  <c r="H73" i="24"/>
  <c r="H72" i="24"/>
  <c r="AO76" i="24"/>
  <c r="AN76" i="24"/>
  <c r="AM76" i="24"/>
  <c r="AK76" i="24"/>
  <c r="AJ76" i="24"/>
  <c r="AI76" i="24"/>
  <c r="AH76" i="24"/>
  <c r="AL76" i="24" s="1"/>
  <c r="AF76" i="24"/>
  <c r="AE76" i="24"/>
  <c r="AD76" i="24"/>
  <c r="AC76" i="24"/>
  <c r="AG76" i="24" s="1"/>
  <c r="AA76" i="24"/>
  <c r="Z76" i="24"/>
  <c r="Y76" i="24"/>
  <c r="X76" i="24"/>
  <c r="AB76" i="24" s="1"/>
  <c r="V76" i="24"/>
  <c r="U76" i="24"/>
  <c r="T76" i="24"/>
  <c r="S76" i="24"/>
  <c r="W76" i="24" s="1"/>
  <c r="Q76" i="24"/>
  <c r="P76" i="24"/>
  <c r="O76" i="24"/>
  <c r="N76" i="24"/>
  <c r="R76" i="24" s="1"/>
  <c r="L76" i="24"/>
  <c r="K76" i="24"/>
  <c r="J76" i="24"/>
  <c r="I76" i="24"/>
  <c r="M76" i="24" s="1"/>
  <c r="G76" i="24"/>
  <c r="F76" i="24"/>
  <c r="E76" i="24"/>
  <c r="D76" i="24"/>
  <c r="H76" i="24" s="1"/>
  <c r="M70" i="24"/>
  <c r="M69" i="24"/>
  <c r="M68" i="24"/>
  <c r="M67" i="24"/>
  <c r="M66" i="24"/>
  <c r="M65" i="24"/>
  <c r="M64" i="24"/>
  <c r="H70" i="24"/>
  <c r="H69" i="24"/>
  <c r="H68" i="24"/>
  <c r="H67" i="24"/>
  <c r="H66" i="24"/>
  <c r="H65" i="24"/>
  <c r="H64" i="24"/>
  <c r="AL66" i="24"/>
  <c r="AL65" i="24"/>
  <c r="AL64" i="24"/>
  <c r="AL63" i="24"/>
  <c r="AG66" i="24"/>
  <c r="AG65" i="24"/>
  <c r="AG64" i="24"/>
  <c r="AG63" i="24"/>
  <c r="AB66" i="24"/>
  <c r="AB65" i="24"/>
  <c r="AB64" i="24"/>
  <c r="AB63" i="24"/>
  <c r="W66" i="24"/>
  <c r="W65" i="24"/>
  <c r="W64" i="24"/>
  <c r="R66" i="24"/>
  <c r="R65" i="24"/>
  <c r="R64" i="24"/>
  <c r="AL61" i="24"/>
  <c r="AL60" i="24"/>
  <c r="AL59" i="24"/>
  <c r="AL58" i="24"/>
  <c r="AL57" i="24"/>
  <c r="AL56" i="24"/>
  <c r="AG61" i="24"/>
  <c r="AG60" i="24"/>
  <c r="AG59" i="24"/>
  <c r="AG58" i="24"/>
  <c r="AG57" i="24"/>
  <c r="AG56" i="24"/>
  <c r="AB61" i="24"/>
  <c r="AB60" i="24"/>
  <c r="AB59" i="24"/>
  <c r="AB58" i="24"/>
  <c r="AB57" i="24"/>
  <c r="AB56" i="24"/>
  <c r="W61" i="24"/>
  <c r="W60" i="24"/>
  <c r="W59" i="24"/>
  <c r="W58" i="24"/>
  <c r="W57" i="24"/>
  <c r="W56" i="24"/>
  <c r="R61" i="24"/>
  <c r="R60" i="24"/>
  <c r="R59" i="24"/>
  <c r="R58" i="24"/>
  <c r="R57" i="24"/>
  <c r="R56" i="24"/>
  <c r="M61" i="24"/>
  <c r="M60" i="24"/>
  <c r="M59" i="24"/>
  <c r="M58" i="24"/>
  <c r="M57" i="24"/>
  <c r="M56" i="24"/>
  <c r="H61" i="24"/>
  <c r="H60" i="24"/>
  <c r="H59" i="24"/>
  <c r="H58" i="24"/>
  <c r="H57" i="24"/>
  <c r="H56" i="24"/>
  <c r="AN55" i="24"/>
  <c r="AO54" i="24"/>
  <c r="AO55" i="24" s="1"/>
  <c r="AN54" i="24"/>
  <c r="AM54" i="24"/>
  <c r="AM55" i="24" s="1"/>
  <c r="AK54" i="24"/>
  <c r="AK55" i="24" s="1"/>
  <c r="AJ54" i="24"/>
  <c r="AJ55" i="24" s="1"/>
  <c r="AI54" i="24"/>
  <c r="AI55" i="24" s="1"/>
  <c r="AH54" i="24"/>
  <c r="AF54" i="24"/>
  <c r="AF55" i="24" s="1"/>
  <c r="AE54" i="24"/>
  <c r="AE55" i="24" s="1"/>
  <c r="AD54" i="24"/>
  <c r="AD55" i="24" s="1"/>
  <c r="AC54" i="24"/>
  <c r="AA54" i="24"/>
  <c r="AA55" i="24" s="1"/>
  <c r="Z54" i="24"/>
  <c r="Z55" i="24" s="1"/>
  <c r="Y54" i="24"/>
  <c r="Y55" i="24" s="1"/>
  <c r="X54" i="24"/>
  <c r="V54" i="24"/>
  <c r="V55" i="24" s="1"/>
  <c r="U54" i="24"/>
  <c r="U55" i="24" s="1"/>
  <c r="T54" i="24"/>
  <c r="T55" i="24" s="1"/>
  <c r="S54" i="24"/>
  <c r="Q54" i="24"/>
  <c r="Q55" i="24" s="1"/>
  <c r="P54" i="24"/>
  <c r="P55" i="24" s="1"/>
  <c r="O54" i="24"/>
  <c r="O55" i="24" s="1"/>
  <c r="N54" i="24"/>
  <c r="L54" i="24"/>
  <c r="L55" i="24" s="1"/>
  <c r="K54" i="24"/>
  <c r="K55" i="24" s="1"/>
  <c r="J54" i="24"/>
  <c r="J55" i="24" s="1"/>
  <c r="I54" i="24"/>
  <c r="G54" i="24"/>
  <c r="G55" i="24" s="1"/>
  <c r="F54" i="24"/>
  <c r="F55" i="24" s="1"/>
  <c r="E54" i="24"/>
  <c r="E55" i="24" s="1"/>
  <c r="D54" i="24"/>
  <c r="BL37" i="24"/>
  <c r="BQ37" i="24" s="1"/>
  <c r="BV37" i="24" s="1"/>
  <c r="CA37" i="24" s="1"/>
  <c r="BL36" i="24"/>
  <c r="BQ36" i="24" s="1"/>
  <c r="BV36" i="24" s="1"/>
  <c r="CA36" i="24" s="1"/>
  <c r="BG36" i="24"/>
  <c r="BQ18" i="24"/>
  <c r="BQ17" i="24"/>
  <c r="BL24" i="24"/>
  <c r="BL19" i="24"/>
  <c r="BL22" i="24" s="1"/>
  <c r="BG24" i="24"/>
  <c r="BG19" i="24"/>
  <c r="BG22" i="24" s="1"/>
  <c r="BB24" i="24"/>
  <c r="BB19" i="24"/>
  <c r="BB22" i="24" s="1"/>
  <c r="AW24" i="24"/>
  <c r="AW23" i="24"/>
  <c r="AW22" i="24"/>
  <c r="AW21" i="24"/>
  <c r="AW20" i="24"/>
  <c r="BZ19" i="24"/>
  <c r="BY19" i="24"/>
  <c r="BX19" i="24"/>
  <c r="BW19" i="24"/>
  <c r="BU19" i="24"/>
  <c r="BT19" i="24"/>
  <c r="BS19" i="24"/>
  <c r="BR19" i="24"/>
  <c r="BP19" i="24"/>
  <c r="BO19" i="24"/>
  <c r="BN19" i="24"/>
  <c r="BM19" i="24"/>
  <c r="BK19" i="24"/>
  <c r="BJ19" i="24"/>
  <c r="BI19" i="24"/>
  <c r="BH19" i="24"/>
  <c r="BF19" i="24"/>
  <c r="BE19" i="24"/>
  <c r="BD19" i="24"/>
  <c r="BC19" i="24"/>
  <c r="CA12" i="24"/>
  <c r="BV12" i="24"/>
  <c r="BQ12" i="24"/>
  <c r="BL12" i="24"/>
  <c r="BG12" i="24"/>
  <c r="BB12" i="24"/>
  <c r="AW12" i="24"/>
  <c r="BZ12" i="24"/>
  <c r="BY12" i="24"/>
  <c r="BX12" i="24"/>
  <c r="BW12" i="24"/>
  <c r="BU12" i="24"/>
  <c r="BT12" i="24"/>
  <c r="BS12" i="24"/>
  <c r="BR12" i="24"/>
  <c r="BP12" i="24"/>
  <c r="BO12" i="24"/>
  <c r="BN12" i="24"/>
  <c r="BM12" i="24"/>
  <c r="BK12" i="24"/>
  <c r="BJ12" i="24"/>
  <c r="BI12" i="24"/>
  <c r="BH12" i="24"/>
  <c r="BF12" i="24"/>
  <c r="BE12" i="24"/>
  <c r="BD12" i="24"/>
  <c r="BC12" i="24"/>
  <c r="BA12" i="24"/>
  <c r="AZ12" i="24"/>
  <c r="AY12" i="24"/>
  <c r="AX12" i="24"/>
  <c r="AV12" i="24"/>
  <c r="AU12" i="24"/>
  <c r="AT12" i="24"/>
  <c r="AS12" i="24"/>
  <c r="AQ12" i="24"/>
  <c r="AP12" i="24"/>
  <c r="AO12" i="24"/>
  <c r="AN12" i="24"/>
  <c r="AM12" i="24"/>
  <c r="AL12" i="24"/>
  <c r="AK12" i="24"/>
  <c r="AJ12" i="24"/>
  <c r="AI12" i="24"/>
  <c r="AH12" i="24"/>
  <c r="AG12" i="24"/>
  <c r="AF12" i="24"/>
  <c r="AE12" i="24"/>
  <c r="AD12" i="24"/>
  <c r="AC12" i="24"/>
  <c r="AB12" i="24"/>
  <c r="AA12" i="24"/>
  <c r="Z12" i="24"/>
  <c r="Y12" i="24"/>
  <c r="X12" i="24"/>
  <c r="W12" i="24"/>
  <c r="V12" i="24"/>
  <c r="U12" i="24"/>
  <c r="T12" i="24"/>
  <c r="S12" i="24"/>
  <c r="R12" i="24"/>
  <c r="Q12" i="24"/>
  <c r="P12" i="24"/>
  <c r="O12" i="24"/>
  <c r="N12" i="24"/>
  <c r="M12" i="24"/>
  <c r="L12" i="24"/>
  <c r="K12" i="24"/>
  <c r="J12" i="24"/>
  <c r="I12" i="24"/>
  <c r="H12" i="24"/>
  <c r="G12" i="24"/>
  <c r="F12" i="24"/>
  <c r="E12" i="24"/>
  <c r="D12" i="24"/>
  <c r="AS10" i="24"/>
  <c r="AT10" i="24" s="1"/>
  <c r="AU10" i="24" s="1"/>
  <c r="AV10" i="24" s="1"/>
  <c r="AX10" i="24" s="1"/>
  <c r="AY10" i="24" s="1"/>
  <c r="AZ10" i="24" s="1"/>
  <c r="BA10" i="24" s="1"/>
  <c r="BC10" i="24" s="1"/>
  <c r="BD10" i="24" s="1"/>
  <c r="BE10" i="24" s="1"/>
  <c r="BF10" i="24" s="1"/>
  <c r="BH10" i="24" s="1"/>
  <c r="BI10" i="24" s="1"/>
  <c r="BJ10" i="24" s="1"/>
  <c r="BK10" i="24" s="1"/>
  <c r="BM10" i="24" s="1"/>
  <c r="BN10" i="24" s="1"/>
  <c r="BO10" i="24" s="1"/>
  <c r="BP10" i="24" s="1"/>
  <c r="BR10" i="24" s="1"/>
  <c r="BS10" i="24" s="1"/>
  <c r="BT10" i="24" s="1"/>
  <c r="BU10" i="24" s="1"/>
  <c r="BW10" i="24" s="1"/>
  <c r="BX10" i="24" s="1"/>
  <c r="BY10" i="24" s="1"/>
  <c r="BZ10" i="24" s="1"/>
  <c r="CA7" i="24"/>
  <c r="BV7" i="24"/>
  <c r="BQ7" i="24"/>
  <c r="BL7" i="24"/>
  <c r="BG7" i="24"/>
  <c r="BB7" i="24"/>
  <c r="AW7" i="24"/>
  <c r="BZ7" i="24"/>
  <c r="BY7" i="24"/>
  <c r="BX7" i="24"/>
  <c r="BW7" i="24"/>
  <c r="BU7" i="24"/>
  <c r="BT7" i="24"/>
  <c r="BS7" i="24"/>
  <c r="BR7" i="24"/>
  <c r="BP7" i="24"/>
  <c r="BO7" i="24"/>
  <c r="BN7" i="24"/>
  <c r="BM7" i="24"/>
  <c r="BK7" i="24"/>
  <c r="BJ7" i="24"/>
  <c r="BI7" i="24"/>
  <c r="BH7" i="24"/>
  <c r="BF7" i="24"/>
  <c r="BE7" i="24"/>
  <c r="BD7" i="24"/>
  <c r="BC7" i="24"/>
  <c r="BA7" i="24"/>
  <c r="AZ7" i="24"/>
  <c r="AY7" i="24"/>
  <c r="AX7" i="24"/>
  <c r="AV7" i="24"/>
  <c r="AU7" i="24"/>
  <c r="AT7" i="24"/>
  <c r="AS7" i="24"/>
  <c r="AO8" i="24"/>
  <c r="AO11" i="24" s="1"/>
  <c r="AO13" i="24" s="1"/>
  <c r="AN8" i="24"/>
  <c r="AL8" i="24"/>
  <c r="AK8" i="24"/>
  <c r="AK11" i="24" s="1"/>
  <c r="AK13" i="24" s="1"/>
  <c r="AJ8" i="24"/>
  <c r="AI8" i="24"/>
  <c r="AH8" i="24"/>
  <c r="AH11" i="24" s="1"/>
  <c r="AH13" i="24" s="1"/>
  <c r="AG8" i="24"/>
  <c r="AG11" i="24" s="1"/>
  <c r="AG13" i="24" s="1"/>
  <c r="AF8" i="24"/>
  <c r="AE8" i="24"/>
  <c r="AD8" i="24"/>
  <c r="AD11" i="24" s="1"/>
  <c r="AD13" i="24" s="1"/>
  <c r="AC8" i="24"/>
  <c r="AC11" i="24" s="1"/>
  <c r="AC13" i="24" s="1"/>
  <c r="Z8" i="24"/>
  <c r="Z11" i="24" s="1"/>
  <c r="Z13" i="24" s="1"/>
  <c r="Y8" i="24"/>
  <c r="Y11" i="24" s="1"/>
  <c r="Y13" i="24" s="1"/>
  <c r="X8" i="24"/>
  <c r="W8" i="24"/>
  <c r="V8" i="24"/>
  <c r="V11" i="24" s="1"/>
  <c r="V13" i="24" s="1"/>
  <c r="U8" i="24"/>
  <c r="U11" i="24" s="1"/>
  <c r="U13" i="24" s="1"/>
  <c r="T8" i="24"/>
  <c r="Q8" i="24"/>
  <c r="Q11" i="24" s="1"/>
  <c r="Q13" i="24" s="1"/>
  <c r="P8" i="24"/>
  <c r="O8" i="24"/>
  <c r="N8" i="24"/>
  <c r="N11" i="24" s="1"/>
  <c r="N13" i="24" s="1"/>
  <c r="M8" i="24"/>
  <c r="M11" i="24" s="1"/>
  <c r="M13" i="24" s="1"/>
  <c r="L8" i="24"/>
  <c r="K8" i="24"/>
  <c r="J8" i="24"/>
  <c r="J11" i="24" s="1"/>
  <c r="J13" i="24" s="1"/>
  <c r="I8" i="24"/>
  <c r="I11" i="24" s="1"/>
  <c r="I13" i="24" s="1"/>
  <c r="F8" i="24"/>
  <c r="F11" i="24" s="1"/>
  <c r="F13" i="24" s="1"/>
  <c r="E8" i="24"/>
  <c r="E11" i="24" s="1"/>
  <c r="E13" i="24" s="1"/>
  <c r="D8" i="24"/>
  <c r="AQ7" i="24"/>
  <c r="AP7" i="24"/>
  <c r="AO7" i="24"/>
  <c r="AN7" i="24"/>
  <c r="AM7" i="24"/>
  <c r="AL7" i="24"/>
  <c r="AK7" i="24"/>
  <c r="AJ7" i="24"/>
  <c r="AI7" i="24"/>
  <c r="AH7" i="24"/>
  <c r="AG7" i="24"/>
  <c r="AF7" i="24"/>
  <c r="AE7" i="24"/>
  <c r="AD7" i="24"/>
  <c r="AC7" i="24"/>
  <c r="AB7" i="24"/>
  <c r="AA7" i="24"/>
  <c r="Z7" i="24"/>
  <c r="Y7" i="24"/>
  <c r="X7" i="24"/>
  <c r="W7" i="24"/>
  <c r="V7" i="24"/>
  <c r="U7" i="24"/>
  <c r="T7" i="24"/>
  <c r="S7" i="24"/>
  <c r="R7" i="24"/>
  <c r="Q7" i="24"/>
  <c r="P7" i="24"/>
  <c r="O7" i="24"/>
  <c r="N7" i="24"/>
  <c r="M7" i="24"/>
  <c r="L7" i="24"/>
  <c r="K7" i="24"/>
  <c r="J7" i="24"/>
  <c r="I7" i="24"/>
  <c r="H7" i="24"/>
  <c r="G7" i="24"/>
  <c r="F7" i="24"/>
  <c r="E7" i="24"/>
  <c r="D7" i="24"/>
  <c r="AN4" i="24"/>
  <c r="AN6" i="24" s="1"/>
  <c r="AM4" i="24"/>
  <c r="AM6" i="24" s="1"/>
  <c r="AJ4" i="24"/>
  <c r="AF4" i="24"/>
  <c r="AF6" i="24" s="1"/>
  <c r="AF9" i="24" s="1"/>
  <c r="AE4" i="24"/>
  <c r="AE6" i="24" s="1"/>
  <c r="AD4" i="24"/>
  <c r="Z4" i="24"/>
  <c r="Z6" i="24" s="1"/>
  <c r="Y4" i="24"/>
  <c r="U4" i="24"/>
  <c r="T4" i="24"/>
  <c r="T6" i="24" s="1"/>
  <c r="T9" i="24" s="1"/>
  <c r="P4" i="24"/>
  <c r="O4" i="24"/>
  <c r="O6" i="24" s="1"/>
  <c r="L4" i="24"/>
  <c r="L6" i="24" s="1"/>
  <c r="L9" i="24" s="1"/>
  <c r="K4" i="24"/>
  <c r="K6" i="24" s="1"/>
  <c r="J4" i="24"/>
  <c r="F4" i="24"/>
  <c r="F6" i="24" s="1"/>
  <c r="E4" i="24"/>
  <c r="C3" i="24"/>
  <c r="N32" i="31"/>
  <c r="M32" i="31"/>
  <c r="L32" i="31"/>
  <c r="K32" i="31"/>
  <c r="J32" i="31"/>
  <c r="I32" i="31"/>
  <c r="H32" i="31"/>
  <c r="G32" i="31"/>
  <c r="F32" i="31"/>
  <c r="E32" i="31"/>
  <c r="D32" i="31"/>
  <c r="C32" i="31"/>
  <c r="N16" i="31"/>
  <c r="M16" i="31"/>
  <c r="L16" i="31"/>
  <c r="K16" i="31"/>
  <c r="J16" i="31"/>
  <c r="I16" i="31"/>
  <c r="H16" i="31"/>
  <c r="G16" i="31"/>
  <c r="F16" i="31"/>
  <c r="E16" i="31"/>
  <c r="D16" i="31"/>
  <c r="C16" i="31"/>
  <c r="E6" i="31"/>
  <c r="D6" i="31"/>
  <c r="C6" i="31"/>
  <c r="K55" i="30"/>
  <c r="L55" i="30" s="1"/>
  <c r="M55" i="30" s="1"/>
  <c r="N55" i="30" s="1"/>
  <c r="O55" i="30" s="1"/>
  <c r="P55" i="30" s="1"/>
  <c r="Q55" i="30" s="1"/>
  <c r="R55" i="30" s="1"/>
  <c r="S55" i="30" s="1"/>
  <c r="M48" i="30"/>
  <c r="M47" i="30"/>
  <c r="O52" i="30"/>
  <c r="S48" i="30"/>
  <c r="R48" i="30"/>
  <c r="Q48" i="30"/>
  <c r="P48" i="30"/>
  <c r="O48" i="30"/>
  <c r="S47" i="30"/>
  <c r="R47" i="30"/>
  <c r="Q47" i="30"/>
  <c r="P47" i="30"/>
  <c r="O47" i="30"/>
  <c r="S45" i="30"/>
  <c r="R45" i="30"/>
  <c r="Q45" i="30"/>
  <c r="P45" i="30"/>
  <c r="O45" i="30"/>
  <c r="M45" i="30"/>
  <c r="J42" i="30"/>
  <c r="L32" i="30"/>
  <c r="M32" i="30" s="1"/>
  <c r="N32" i="30" s="1"/>
  <c r="O32" i="30" s="1"/>
  <c r="P32" i="30" s="1"/>
  <c r="Q32" i="30" s="1"/>
  <c r="R32" i="30" s="1"/>
  <c r="S32" i="30" s="1"/>
  <c r="K29" i="30"/>
  <c r="L29" i="30" s="1"/>
  <c r="M29" i="30" s="1"/>
  <c r="N29" i="30" s="1"/>
  <c r="O29" i="30" s="1"/>
  <c r="P29" i="30" s="1"/>
  <c r="Q29" i="30" s="1"/>
  <c r="R29" i="30" s="1"/>
  <c r="S29" i="30" s="1"/>
  <c r="M28" i="30"/>
  <c r="O26" i="30"/>
  <c r="S24" i="30"/>
  <c r="S23" i="30" s="1"/>
  <c r="R24" i="30"/>
  <c r="Q24" i="30"/>
  <c r="P24" i="30"/>
  <c r="O24" i="30"/>
  <c r="R23" i="30"/>
  <c r="Q23" i="30"/>
  <c r="P23" i="30"/>
  <c r="O23" i="30"/>
  <c r="N24" i="30"/>
  <c r="M24" i="30"/>
  <c r="M23" i="30" s="1"/>
  <c r="N23" i="30"/>
  <c r="L21" i="30"/>
  <c r="S20" i="30"/>
  <c r="R20" i="30"/>
  <c r="Q20" i="30"/>
  <c r="P20" i="30"/>
  <c r="O20" i="30"/>
  <c r="N20" i="30"/>
  <c r="M20" i="30"/>
  <c r="M15" i="30" s="1"/>
  <c r="S19" i="30"/>
  <c r="R19" i="30"/>
  <c r="Q19" i="30"/>
  <c r="P19" i="30"/>
  <c r="O19" i="30"/>
  <c r="N19" i="30"/>
  <c r="M19" i="30"/>
  <c r="Q17" i="30"/>
  <c r="R17" i="30" s="1"/>
  <c r="S17" i="30" s="1"/>
  <c r="P17" i="30"/>
  <c r="N17" i="30"/>
  <c r="O17" i="30" s="1"/>
  <c r="M17" i="30"/>
  <c r="M16" i="30"/>
  <c r="J11" i="30"/>
  <c r="J13" i="30" s="1"/>
  <c r="K12" i="30"/>
  <c r="K42" i="30" s="1"/>
  <c r="K10" i="30"/>
  <c r="L10" i="30" s="1"/>
  <c r="M10" i="30" s="1"/>
  <c r="N10" i="30" s="1"/>
  <c r="O10" i="30" s="1"/>
  <c r="P10" i="30" s="1"/>
  <c r="Q10" i="30" s="1"/>
  <c r="R10" i="30" s="1"/>
  <c r="S10" i="30" s="1"/>
  <c r="J8" i="30"/>
  <c r="J4" i="30"/>
  <c r="J7" i="30" s="1"/>
  <c r="I4" i="30"/>
  <c r="L2" i="30"/>
  <c r="M2" i="30" s="1"/>
  <c r="N2" i="30" s="1"/>
  <c r="O2" i="30" s="1"/>
  <c r="P2" i="30" s="1"/>
  <c r="Q2" i="30" s="1"/>
  <c r="R2" i="30" s="1"/>
  <c r="S2" i="30" s="1"/>
  <c r="AH71" i="29"/>
  <c r="AG71" i="29"/>
  <c r="AF71" i="29"/>
  <c r="AE71" i="29"/>
  <c r="AI69" i="29"/>
  <c r="AG69" i="29" s="1"/>
  <c r="AD69" i="29"/>
  <c r="AA69" i="29" s="1"/>
  <c r="AB69" i="29"/>
  <c r="X69" i="29"/>
  <c r="AD63" i="29"/>
  <c r="AD59" i="29"/>
  <c r="O65" i="29"/>
  <c r="AH63" i="29"/>
  <c r="AG63" i="29"/>
  <c r="O62" i="29"/>
  <c r="P62" i="29" s="1"/>
  <c r="Q62" i="29" s="1"/>
  <c r="R62" i="29" s="1"/>
  <c r="S62" i="29" s="1"/>
  <c r="T62" i="29" s="1"/>
  <c r="Y62" i="29" s="1"/>
  <c r="X61" i="29"/>
  <c r="V61" i="29"/>
  <c r="R61" i="29"/>
  <c r="Y59" i="29"/>
  <c r="T59" i="29"/>
  <c r="O60" i="29"/>
  <c r="O59" i="29"/>
  <c r="N59" i="29"/>
  <c r="N61" i="29" s="1"/>
  <c r="O61" i="29" s="1"/>
  <c r="AM59" i="29"/>
  <c r="AL59" i="29"/>
  <c r="AK59" i="29"/>
  <c r="AJ59" i="29"/>
  <c r="AI59" i="29"/>
  <c r="AH59" i="29"/>
  <c r="AG59" i="29"/>
  <c r="AF59" i="29"/>
  <c r="AE59" i="29"/>
  <c r="AC59" i="29"/>
  <c r="AC61" i="29" s="1"/>
  <c r="AB59" i="29"/>
  <c r="AB61" i="29" s="1"/>
  <c r="AA59" i="29"/>
  <c r="AA61" i="29" s="1"/>
  <c r="Z59" i="29"/>
  <c r="Z61" i="29" s="1"/>
  <c r="X59" i="29"/>
  <c r="W59" i="29"/>
  <c r="W61" i="29" s="1"/>
  <c r="V59" i="29"/>
  <c r="U59" i="29"/>
  <c r="U61" i="29" s="1"/>
  <c r="S59" i="29"/>
  <c r="S61" i="29" s="1"/>
  <c r="R59" i="29"/>
  <c r="Q59" i="29"/>
  <c r="Q61" i="29" s="1"/>
  <c r="P59" i="29"/>
  <c r="P61" i="29" s="1"/>
  <c r="Q55" i="29"/>
  <c r="N55" i="29"/>
  <c r="O55" i="29" s="1"/>
  <c r="M55" i="29"/>
  <c r="O54" i="29"/>
  <c r="P54" i="29" s="1"/>
  <c r="AM56" i="29"/>
  <c r="AL56" i="29"/>
  <c r="AK56" i="29"/>
  <c r="AJ56" i="29"/>
  <c r="P53" i="29"/>
  <c r="O53" i="29"/>
  <c r="L54" i="29"/>
  <c r="K54" i="29"/>
  <c r="J55" i="29"/>
  <c r="L53" i="29"/>
  <c r="L55" i="29" s="1"/>
  <c r="K53" i="29"/>
  <c r="I50" i="29"/>
  <c r="H50" i="29"/>
  <c r="G50" i="29"/>
  <c r="F50" i="29"/>
  <c r="P49" i="29"/>
  <c r="Q49" i="29" s="1"/>
  <c r="R49" i="29" s="1"/>
  <c r="S49" i="29" s="1"/>
  <c r="U49" i="29" s="1"/>
  <c r="V49" i="29" s="1"/>
  <c r="W49" i="29" s="1"/>
  <c r="X49" i="29" s="1"/>
  <c r="AD46" i="29"/>
  <c r="Y46" i="29"/>
  <c r="O46" i="29"/>
  <c r="AM46" i="29"/>
  <c r="AL46" i="29"/>
  <c r="AK46" i="29"/>
  <c r="AJ46" i="29"/>
  <c r="AI46" i="29"/>
  <c r="T45" i="29"/>
  <c r="J46" i="29"/>
  <c r="I46" i="29"/>
  <c r="H46" i="29"/>
  <c r="G46" i="29"/>
  <c r="F46" i="29"/>
  <c r="T42" i="29"/>
  <c r="Y42" i="29" s="1"/>
  <c r="AD42" i="29" s="1"/>
  <c r="AI42" i="29" s="1"/>
  <c r="AJ42" i="29" s="1"/>
  <c r="AK42" i="29" s="1"/>
  <c r="AL42" i="29" s="1"/>
  <c r="AM42" i="29" s="1"/>
  <c r="P39" i="29"/>
  <c r="N39" i="29"/>
  <c r="M39" i="29"/>
  <c r="L39" i="29"/>
  <c r="K39" i="29"/>
  <c r="I39" i="29"/>
  <c r="AD38" i="29"/>
  <c r="AI38" i="29" s="1"/>
  <c r="AB35" i="29"/>
  <c r="AA35" i="29"/>
  <c r="Z35" i="29"/>
  <c r="X35" i="29"/>
  <c r="W35" i="29"/>
  <c r="V35" i="29"/>
  <c r="U35" i="29"/>
  <c r="O34" i="29"/>
  <c r="T34" i="29" s="1"/>
  <c r="N34" i="29"/>
  <c r="L34" i="29"/>
  <c r="K34" i="29"/>
  <c r="M32" i="29"/>
  <c r="L32" i="29"/>
  <c r="K32" i="29"/>
  <c r="S32" i="29"/>
  <c r="R32" i="29"/>
  <c r="Q32" i="29"/>
  <c r="S31" i="29"/>
  <c r="R31" i="29"/>
  <c r="Q31" i="29"/>
  <c r="P31" i="29"/>
  <c r="N31" i="29"/>
  <c r="M31" i="29"/>
  <c r="L31" i="29"/>
  <c r="K31" i="29"/>
  <c r="V30" i="29"/>
  <c r="W30" i="29" s="1"/>
  <c r="X30" i="29" s="1"/>
  <c r="Z30" i="29" s="1"/>
  <c r="AA30" i="29" s="1"/>
  <c r="U30" i="29"/>
  <c r="U32" i="29" s="1"/>
  <c r="L29" i="29"/>
  <c r="M29" i="29" s="1"/>
  <c r="N29" i="29" s="1"/>
  <c r="J27" i="29"/>
  <c r="J33" i="29" s="1"/>
  <c r="L28" i="29"/>
  <c r="AM27" i="29"/>
  <c r="AL27" i="29"/>
  <c r="AK27" i="29"/>
  <c r="AJ27" i="29"/>
  <c r="AI27" i="29"/>
  <c r="AD27" i="29"/>
  <c r="AE27" i="29" s="1"/>
  <c r="AC27" i="29"/>
  <c r="AB27" i="29"/>
  <c r="AA27" i="29"/>
  <c r="Z27" i="29"/>
  <c r="Y27" i="29"/>
  <c r="X27" i="29"/>
  <c r="W27" i="29"/>
  <c r="V27" i="29"/>
  <c r="U27" i="29"/>
  <c r="T27" i="29"/>
  <c r="S27" i="29"/>
  <c r="R27" i="29"/>
  <c r="Q27" i="29"/>
  <c r="P27" i="29"/>
  <c r="O27" i="29"/>
  <c r="N27" i="29"/>
  <c r="M27" i="29"/>
  <c r="L27" i="29"/>
  <c r="K27" i="29"/>
  <c r="R23" i="29"/>
  <c r="S23" i="29" s="1"/>
  <c r="U23" i="29" s="1"/>
  <c r="V23" i="29" s="1"/>
  <c r="W23" i="29" s="1"/>
  <c r="X23" i="29" s="1"/>
  <c r="Z23" i="29" s="1"/>
  <c r="Q23" i="29"/>
  <c r="P23" i="29"/>
  <c r="K23" i="29"/>
  <c r="K28" i="29" s="1"/>
  <c r="S22" i="29"/>
  <c r="U22" i="29" s="1"/>
  <c r="V22" i="29" s="1"/>
  <c r="W22" i="29" s="1"/>
  <c r="X22" i="29" s="1"/>
  <c r="Z22" i="29" s="1"/>
  <c r="S21" i="29"/>
  <c r="U21" i="29" s="1"/>
  <c r="M23" i="29"/>
  <c r="N23" i="29" s="1"/>
  <c r="M22" i="29"/>
  <c r="M21" i="29"/>
  <c r="X20" i="29"/>
  <c r="T20" i="29"/>
  <c r="O20" i="29"/>
  <c r="O19" i="29"/>
  <c r="S19" i="29"/>
  <c r="T19" i="29" s="1"/>
  <c r="A19" i="29"/>
  <c r="Z19" i="29" s="1"/>
  <c r="AA19" i="29" s="1"/>
  <c r="Y19" i="29"/>
  <c r="R18" i="29"/>
  <c r="Q18" i="29"/>
  <c r="T18" i="29" s="1"/>
  <c r="P18" i="29"/>
  <c r="N18" i="29"/>
  <c r="M18" i="29"/>
  <c r="L18" i="29"/>
  <c r="K18" i="29"/>
  <c r="J18" i="29"/>
  <c r="I14" i="29"/>
  <c r="I15" i="29" s="1"/>
  <c r="K12" i="29"/>
  <c r="I11" i="29"/>
  <c r="I12" i="29" s="1"/>
  <c r="P12" i="29"/>
  <c r="Q12" i="29" s="1"/>
  <c r="R12" i="29" s="1"/>
  <c r="S12" i="29" s="1"/>
  <c r="J11" i="29"/>
  <c r="J13" i="29" s="1"/>
  <c r="AH10" i="29"/>
  <c r="AG10" i="29"/>
  <c r="AF10" i="29"/>
  <c r="AE10" i="29"/>
  <c r="P10" i="29"/>
  <c r="Q10" i="29" s="1"/>
  <c r="N10" i="29"/>
  <c r="L10" i="29"/>
  <c r="M10" i="29" s="1"/>
  <c r="K10" i="29"/>
  <c r="AI6" i="29"/>
  <c r="AD6" i="29"/>
  <c r="Y9" i="29"/>
  <c r="AD9" i="29" s="1"/>
  <c r="AI9" i="29" s="1"/>
  <c r="AJ9" i="29" s="1"/>
  <c r="AK9" i="29" s="1"/>
  <c r="AL9" i="29" s="1"/>
  <c r="AM9" i="29" s="1"/>
  <c r="Y6" i="29"/>
  <c r="O8" i="29"/>
  <c r="K8" i="29" s="1"/>
  <c r="L8" i="29" s="1"/>
  <c r="M8" i="29" s="1"/>
  <c r="N8" i="29" s="1"/>
  <c r="J8" i="29"/>
  <c r="H8" i="29"/>
  <c r="T6" i="29"/>
  <c r="O6" i="29"/>
  <c r="J6" i="29"/>
  <c r="J5" i="29"/>
  <c r="O5" i="29" s="1"/>
  <c r="AJ10" i="29"/>
  <c r="AK10" i="29" s="1"/>
  <c r="AL10" i="29" s="1"/>
  <c r="AM10" i="29" s="1"/>
  <c r="AM6" i="29"/>
  <c r="AL6" i="29"/>
  <c r="AK6" i="29"/>
  <c r="AJ6" i="29"/>
  <c r="I5" i="29"/>
  <c r="H5" i="29" s="1"/>
  <c r="G5" i="29" s="1"/>
  <c r="F5" i="29" s="1"/>
  <c r="T2" i="29"/>
  <c r="Y2" i="29" s="1"/>
  <c r="AD2" i="29" s="1"/>
  <c r="AI2" i="29" s="1"/>
  <c r="AJ2" i="29" s="1"/>
  <c r="AK2" i="29" s="1"/>
  <c r="AL2" i="29" s="1"/>
  <c r="AM2" i="29" s="1"/>
  <c r="CI168" i="17"/>
  <c r="CH168" i="17"/>
  <c r="CG168" i="17"/>
  <c r="CF168" i="17"/>
  <c r="CD168" i="17"/>
  <c r="CC168" i="17"/>
  <c r="CB168" i="17"/>
  <c r="CA168" i="17"/>
  <c r="BY168" i="17"/>
  <c r="BX168" i="17"/>
  <c r="BW168" i="17"/>
  <c r="BV168" i="17"/>
  <c r="BT168" i="17"/>
  <c r="BS168" i="17"/>
  <c r="BR168" i="17"/>
  <c r="BQ168" i="17"/>
  <c r="BO168" i="17"/>
  <c r="BN168" i="17"/>
  <c r="BM168" i="17"/>
  <c r="BL168" i="17"/>
  <c r="BJ168" i="17"/>
  <c r="BI168" i="17"/>
  <c r="BH168" i="17"/>
  <c r="BG168" i="17"/>
  <c r="BE168" i="17"/>
  <c r="BD168" i="17"/>
  <c r="BC168" i="17"/>
  <c r="BB168" i="17"/>
  <c r="AZ168" i="17"/>
  <c r="AY168" i="17"/>
  <c r="AX168" i="17"/>
  <c r="AW168" i="17"/>
  <c r="AU168" i="17"/>
  <c r="AT168" i="17"/>
  <c r="AS168" i="17"/>
  <c r="AR168" i="17"/>
  <c r="C163" i="17"/>
  <c r="M159" i="17"/>
  <c r="R159" i="17" s="1"/>
  <c r="W159" i="17" s="1"/>
  <c r="AL156" i="17"/>
  <c r="AG157" i="17"/>
  <c r="AB156" i="17"/>
  <c r="AB157" i="17" s="1"/>
  <c r="AB135" i="17" s="1"/>
  <c r="W157" i="17"/>
  <c r="W135" i="17" s="1"/>
  <c r="W156" i="17"/>
  <c r="R156" i="17"/>
  <c r="R157" i="17" s="1"/>
  <c r="R135" i="17" s="1"/>
  <c r="M157" i="17"/>
  <c r="M135" i="17" s="1"/>
  <c r="M156" i="17"/>
  <c r="BF151" i="17"/>
  <c r="BF134" i="17" s="1"/>
  <c r="AV151" i="17"/>
  <c r="AV134" i="17" s="1"/>
  <c r="AL151" i="17"/>
  <c r="AL134" i="17" s="1"/>
  <c r="AL150" i="17"/>
  <c r="AQ150" i="17" s="1"/>
  <c r="AV150" i="17" s="1"/>
  <c r="BA150" i="17" s="1"/>
  <c r="BF150" i="17" s="1"/>
  <c r="BK150" i="17" s="1"/>
  <c r="BP150" i="17" s="1"/>
  <c r="BP151" i="17" s="1"/>
  <c r="BP134" i="17" s="1"/>
  <c r="AG151" i="17"/>
  <c r="AG134" i="17" s="1"/>
  <c r="AB150" i="17"/>
  <c r="AB151" i="17" s="1"/>
  <c r="AB134" i="17" s="1"/>
  <c r="R150" i="17"/>
  <c r="R151" i="17" s="1"/>
  <c r="H150" i="17"/>
  <c r="H151" i="17" s="1"/>
  <c r="H134" i="17" s="1"/>
  <c r="W148" i="17"/>
  <c r="W150" i="17" s="1"/>
  <c r="W151" i="17" s="1"/>
  <c r="W134" i="17" s="1"/>
  <c r="M148" i="17"/>
  <c r="M150" i="17" s="1"/>
  <c r="M151" i="17" s="1"/>
  <c r="M134" i="17" s="1"/>
  <c r="BO145" i="17"/>
  <c r="BN145" i="17"/>
  <c r="BM145" i="17"/>
  <c r="BL145" i="17"/>
  <c r="BJ145" i="17"/>
  <c r="BI145" i="17"/>
  <c r="BH145" i="17"/>
  <c r="BG145" i="17"/>
  <c r="BE145" i="17"/>
  <c r="BD145" i="17"/>
  <c r="BC145" i="17"/>
  <c r="BB145" i="17"/>
  <c r="AZ145" i="17"/>
  <c r="AY145" i="17"/>
  <c r="AX145" i="17"/>
  <c r="AW145" i="17"/>
  <c r="AU145" i="17"/>
  <c r="AT145" i="17"/>
  <c r="AS145" i="17"/>
  <c r="AR145" i="17"/>
  <c r="AP145" i="17"/>
  <c r="AO145" i="17"/>
  <c r="AN145" i="17"/>
  <c r="AM145" i="17"/>
  <c r="AK145" i="17"/>
  <c r="AJ145" i="17"/>
  <c r="AI145" i="17"/>
  <c r="AH145" i="17"/>
  <c r="AF145" i="17"/>
  <c r="AE145" i="17"/>
  <c r="AD145" i="17"/>
  <c r="AC145" i="17"/>
  <c r="AB145" i="17"/>
  <c r="AB133" i="17" s="1"/>
  <c r="AA145" i="17"/>
  <c r="Z145" i="17"/>
  <c r="Y145" i="17"/>
  <c r="X145" i="17"/>
  <c r="W145" i="17"/>
  <c r="V145" i="17"/>
  <c r="U145" i="17"/>
  <c r="T145" i="17"/>
  <c r="S145" i="17"/>
  <c r="M144" i="17"/>
  <c r="M145" i="17" s="1"/>
  <c r="H144" i="17"/>
  <c r="H145" i="17" s="1"/>
  <c r="H133" i="17" s="1"/>
  <c r="AG144" i="17"/>
  <c r="R144" i="17"/>
  <c r="R145" i="17" s="1"/>
  <c r="R133" i="17" s="1"/>
  <c r="AG135" i="17"/>
  <c r="W133" i="17"/>
  <c r="R136" i="17"/>
  <c r="R134" i="17"/>
  <c r="M133" i="17"/>
  <c r="H136" i="17"/>
  <c r="H135" i="17"/>
  <c r="C122" i="17"/>
  <c r="C121" i="17"/>
  <c r="C119" i="17"/>
  <c r="DA113" i="17"/>
  <c r="DA114" i="17" s="1"/>
  <c r="CZ113" i="17"/>
  <c r="CZ114" i="17" s="1"/>
  <c r="CY113" i="17"/>
  <c r="CY114" i="17" s="1"/>
  <c r="CX113" i="17"/>
  <c r="CX114" i="17" s="1"/>
  <c r="CW113" i="17"/>
  <c r="CW114" i="17" s="1"/>
  <c r="CV113" i="17"/>
  <c r="CV114" i="17" s="1"/>
  <c r="R105" i="17"/>
  <c r="Q105" i="17" s="1"/>
  <c r="P105" i="17" s="1"/>
  <c r="O105" i="17" s="1"/>
  <c r="N105" i="17" s="1"/>
  <c r="T105" i="17"/>
  <c r="U105" i="17" s="1"/>
  <c r="V105" i="17" s="1"/>
  <c r="M104" i="17"/>
  <c r="H104" i="17"/>
  <c r="N102" i="17"/>
  <c r="AQ96" i="17"/>
  <c r="AV96" i="17" s="1"/>
  <c r="BA96" i="17" s="1"/>
  <c r="BF96" i="17" s="1"/>
  <c r="BK96" i="17" s="1"/>
  <c r="BP96" i="17" s="1"/>
  <c r="BU96" i="17" s="1"/>
  <c r="BZ96" i="17" s="1"/>
  <c r="CE96" i="17" s="1"/>
  <c r="CJ96" i="17" s="1"/>
  <c r="AG94" i="17"/>
  <c r="AL94" i="17" s="1"/>
  <c r="AQ94" i="17" s="1"/>
  <c r="P88" i="17"/>
  <c r="P89" i="17" s="1"/>
  <c r="P102" i="17" s="1"/>
  <c r="O88" i="17"/>
  <c r="O89" i="17" s="1"/>
  <c r="O102" i="17" s="1"/>
  <c r="AL85" i="17"/>
  <c r="AQ85" i="17" s="1"/>
  <c r="AV85" i="17" s="1"/>
  <c r="BA85" i="17" s="1"/>
  <c r="BF85" i="17" s="1"/>
  <c r="BK85" i="17" s="1"/>
  <c r="BP85" i="17" s="1"/>
  <c r="BU85" i="17" s="1"/>
  <c r="BZ85" i="17" s="1"/>
  <c r="CE85" i="17" s="1"/>
  <c r="CJ85" i="17" s="1"/>
  <c r="W85" i="17"/>
  <c r="AB83" i="17"/>
  <c r="AG83" i="17" s="1"/>
  <c r="S83" i="17"/>
  <c r="S84" i="17" s="1"/>
  <c r="S86" i="17" s="1"/>
  <c r="S88" i="17" s="1"/>
  <c r="S89" i="17" s="1"/>
  <c r="R75" i="17"/>
  <c r="W75" i="17" s="1"/>
  <c r="AB75" i="17" s="1"/>
  <c r="AG75" i="17" s="1"/>
  <c r="AL75" i="17" s="1"/>
  <c r="AQ75" i="17" s="1"/>
  <c r="AV75" i="17" s="1"/>
  <c r="BA75" i="17" s="1"/>
  <c r="BF75" i="17" s="1"/>
  <c r="BK75" i="17" s="1"/>
  <c r="BP75" i="17" s="1"/>
  <c r="BU75" i="17" s="1"/>
  <c r="BZ75" i="17" s="1"/>
  <c r="CE75" i="17" s="1"/>
  <c r="CJ75" i="17" s="1"/>
  <c r="Q75" i="17"/>
  <c r="P75" i="17" s="1"/>
  <c r="O75" i="17" s="1"/>
  <c r="N75" i="17" s="1"/>
  <c r="M74" i="17"/>
  <c r="M76" i="17" s="1"/>
  <c r="H74" i="17"/>
  <c r="H76" i="17" s="1"/>
  <c r="Q72" i="17"/>
  <c r="Q76" i="17" s="1"/>
  <c r="P72" i="17"/>
  <c r="P74" i="17" s="1"/>
  <c r="P76" i="17" s="1"/>
  <c r="O72" i="17"/>
  <c r="N72" i="17"/>
  <c r="N74" i="17" s="1"/>
  <c r="N76" i="17" s="1"/>
  <c r="AQ66" i="17"/>
  <c r="AV66" i="17" s="1"/>
  <c r="BA66" i="17" s="1"/>
  <c r="BF66" i="17" s="1"/>
  <c r="BK66" i="17" s="1"/>
  <c r="BP66" i="17" s="1"/>
  <c r="BU66" i="17" s="1"/>
  <c r="BZ66" i="17" s="1"/>
  <c r="CE66" i="17" s="1"/>
  <c r="CJ66" i="17" s="1"/>
  <c r="AZ66" i="17"/>
  <c r="BE66" i="17" s="1"/>
  <c r="BJ66" i="17" s="1"/>
  <c r="BO66" i="17" s="1"/>
  <c r="AY66" i="17"/>
  <c r="BD66" i="17" s="1"/>
  <c r="BI66" i="17" s="1"/>
  <c r="BN66" i="17" s="1"/>
  <c r="AX66" i="17"/>
  <c r="BC66" i="17" s="1"/>
  <c r="BH66" i="17" s="1"/>
  <c r="BM66" i="17" s="1"/>
  <c r="AW66" i="17"/>
  <c r="BB66" i="17" s="1"/>
  <c r="BG66" i="17" s="1"/>
  <c r="BL66" i="17" s="1"/>
  <c r="AL64" i="17"/>
  <c r="AG64" i="17"/>
  <c r="BU62" i="17"/>
  <c r="BP62" i="17"/>
  <c r="BK62" i="17"/>
  <c r="BF62" i="17"/>
  <c r="BA62" i="17"/>
  <c r="J11" i="44" s="1"/>
  <c r="AV62" i="17"/>
  <c r="I11" i="44" s="1"/>
  <c r="AQ62" i="17"/>
  <c r="H11" i="44" s="1"/>
  <c r="AL62" i="17"/>
  <c r="G11" i="44" s="1"/>
  <c r="AG62" i="17"/>
  <c r="AB62" i="17"/>
  <c r="D11" i="44"/>
  <c r="AL55" i="17"/>
  <c r="AQ55" i="17" s="1"/>
  <c r="AV55" i="17" s="1"/>
  <c r="BA55" i="17" s="1"/>
  <c r="BF55" i="17" s="1"/>
  <c r="BK55" i="17" s="1"/>
  <c r="BP55" i="17" s="1"/>
  <c r="BU55" i="17"/>
  <c r="BZ55" i="17" s="1"/>
  <c r="CE55" i="17" s="1"/>
  <c r="CJ55" i="17" s="1"/>
  <c r="AU55" i="17"/>
  <c r="AZ55" i="17" s="1"/>
  <c r="BE55" i="17" s="1"/>
  <c r="BJ55" i="17" s="1"/>
  <c r="BO55" i="17" s="1"/>
  <c r="AT55" i="17"/>
  <c r="AY55" i="17" s="1"/>
  <c r="BD55" i="17" s="1"/>
  <c r="BI55" i="17" s="1"/>
  <c r="BN55" i="17" s="1"/>
  <c r="AS55" i="17"/>
  <c r="AX55" i="17" s="1"/>
  <c r="BC55" i="17" s="1"/>
  <c r="BH55" i="17" s="1"/>
  <c r="BM55" i="17" s="1"/>
  <c r="AR55" i="17"/>
  <c r="AW55" i="17" s="1"/>
  <c r="BB55" i="17" s="1"/>
  <c r="BG55" i="17" s="1"/>
  <c r="BL55" i="17" s="1"/>
  <c r="V55" i="17"/>
  <c r="U55" i="17"/>
  <c r="T55" i="17"/>
  <c r="AB54" i="17"/>
  <c r="AB56" i="17" s="1"/>
  <c r="AB58" i="17" s="1"/>
  <c r="AB59" i="17" s="1"/>
  <c r="AB53" i="17"/>
  <c r="AG53" i="17" s="1"/>
  <c r="AL53" i="17" s="1"/>
  <c r="W54" i="17"/>
  <c r="W56" i="17" s="1"/>
  <c r="W58" i="17" s="1"/>
  <c r="W59" i="17" s="1"/>
  <c r="W72" i="17" s="1"/>
  <c r="BY53" i="17"/>
  <c r="CD53" i="17" s="1"/>
  <c r="BX53" i="17"/>
  <c r="CC53" i="17" s="1"/>
  <c r="CH53" i="17" s="1"/>
  <c r="CH54" i="17" s="1"/>
  <c r="CH56" i="17" s="1"/>
  <c r="BW53" i="17"/>
  <c r="CB53" i="17" s="1"/>
  <c r="BV53" i="17"/>
  <c r="CA53" i="17" s="1"/>
  <c r="S53" i="17"/>
  <c r="T53" i="17" s="1"/>
  <c r="T54" i="17" s="1"/>
  <c r="BU51" i="17"/>
  <c r="AI106" i="6"/>
  <c r="W43" i="17"/>
  <c r="W46" i="17" s="1"/>
  <c r="R43" i="17"/>
  <c r="R46" i="17" s="1"/>
  <c r="M42" i="17"/>
  <c r="M43" i="17" s="1"/>
  <c r="M46" i="17" s="1"/>
  <c r="W37" i="17"/>
  <c r="S37" i="17" s="1"/>
  <c r="T37" i="17" s="1"/>
  <c r="U37" i="17" s="1"/>
  <c r="V37" i="17" s="1"/>
  <c r="R37" i="17"/>
  <c r="Q37" i="17"/>
  <c r="P37" i="17"/>
  <c r="O37" i="17"/>
  <c r="N37" i="17"/>
  <c r="S34" i="17"/>
  <c r="S36" i="17" s="1"/>
  <c r="S38" i="17" s="1"/>
  <c r="Q34" i="17"/>
  <c r="Q36" i="17" s="1"/>
  <c r="Q38" i="17" s="1"/>
  <c r="P34" i="17"/>
  <c r="N34" i="17"/>
  <c r="L34" i="17"/>
  <c r="K34" i="17"/>
  <c r="K38" i="17" s="1"/>
  <c r="K110" i="17" s="1"/>
  <c r="J34" i="17"/>
  <c r="I34" i="17"/>
  <c r="I38" i="17" s="1"/>
  <c r="I110" i="17" s="1"/>
  <c r="N31" i="17"/>
  <c r="O31" i="17" s="1"/>
  <c r="P31" i="17" s="1"/>
  <c r="Q31" i="17" s="1"/>
  <c r="S31" i="17" s="1"/>
  <c r="T31" i="17" s="1"/>
  <c r="U31" i="17" s="1"/>
  <c r="M29" i="17"/>
  <c r="K28" i="17"/>
  <c r="J28" i="17"/>
  <c r="I28" i="17"/>
  <c r="W26" i="17"/>
  <c r="R27" i="17"/>
  <c r="P27" i="17"/>
  <c r="Q26" i="17"/>
  <c r="P26" i="17"/>
  <c r="O26" i="17"/>
  <c r="N26" i="17"/>
  <c r="W24" i="17"/>
  <c r="N24" i="17"/>
  <c r="AG19" i="17"/>
  <c r="AQ19" i="17" s="1"/>
  <c r="AV19" i="17" s="1"/>
  <c r="BA19" i="17" s="1"/>
  <c r="BF19" i="17" s="1"/>
  <c r="BK19" i="17" s="1"/>
  <c r="BP19" i="17" s="1"/>
  <c r="BU19" i="17" s="1"/>
  <c r="BZ19" i="17" s="1"/>
  <c r="CE19" i="17" s="1"/>
  <c r="CJ19" i="17" s="1"/>
  <c r="AG18" i="17"/>
  <c r="AQ18" i="17" s="1"/>
  <c r="AG17" i="17"/>
  <c r="AQ17" i="17" s="1"/>
  <c r="AV17" i="17" s="1"/>
  <c r="BA17" i="17" s="1"/>
  <c r="BF17" i="17" s="1"/>
  <c r="BK17" i="17" s="1"/>
  <c r="BP17" i="17" s="1"/>
  <c r="BU17" i="17" s="1"/>
  <c r="BZ17" i="17" s="1"/>
  <c r="CE17" i="17" s="1"/>
  <c r="CJ17" i="17" s="1"/>
  <c r="AB16" i="17"/>
  <c r="W16" i="17"/>
  <c r="V16" i="17"/>
  <c r="U16" i="17"/>
  <c r="T16" i="17"/>
  <c r="S16" i="17"/>
  <c r="I14" i="17"/>
  <c r="J14" i="17" s="1"/>
  <c r="K14" i="17" s="1"/>
  <c r="L14" i="17" s="1"/>
  <c r="N14" i="17" s="1"/>
  <c r="O14" i="17" s="1"/>
  <c r="P14" i="17" s="1"/>
  <c r="DH13" i="17"/>
  <c r="CJ7" i="17" s="1"/>
  <c r="DG13" i="17"/>
  <c r="CE7" i="17" s="1"/>
  <c r="CJ24" i="17" s="1"/>
  <c r="DF13" i="17"/>
  <c r="BZ7" i="17" s="1"/>
  <c r="CE24" i="17" s="1"/>
  <c r="DE13" i="17"/>
  <c r="BU7" i="17" s="1"/>
  <c r="BZ24" i="17" s="1"/>
  <c r="DD13" i="17"/>
  <c r="BP7" i="17" s="1"/>
  <c r="BU24" i="17" s="1"/>
  <c r="DC13" i="17"/>
  <c r="BK7" i="17" s="1"/>
  <c r="BP24" i="17" s="1"/>
  <c r="DB13" i="17"/>
  <c r="BF7" i="17" s="1"/>
  <c r="BK24" i="17" s="1"/>
  <c r="DA13" i="17"/>
  <c r="BA7" i="17" s="1"/>
  <c r="BF24" i="17" s="1"/>
  <c r="CZ13" i="17"/>
  <c r="AV7" i="17" s="1"/>
  <c r="BA24" i="17" s="1"/>
  <c r="CY13" i="17"/>
  <c r="AQ7" i="17" s="1"/>
  <c r="AV24" i="17" s="1"/>
  <c r="CX13" i="17"/>
  <c r="AL7" i="17" s="1"/>
  <c r="AQ24" i="17" s="1"/>
  <c r="CW13" i="17"/>
  <c r="AG7" i="17" s="1"/>
  <c r="AL24" i="17" s="1"/>
  <c r="CV13" i="17"/>
  <c r="AB7" i="17" s="1"/>
  <c r="AG24" i="17" s="1"/>
  <c r="CQ13" i="17"/>
  <c r="CP13" i="17"/>
  <c r="AI104" i="6"/>
  <c r="CN13" i="17"/>
  <c r="AH104" i="6" s="1"/>
  <c r="CM10" i="17"/>
  <c r="CM11" i="17" s="1"/>
  <c r="CM12" i="17" s="1"/>
  <c r="H12" i="17"/>
  <c r="H14" i="17" s="1"/>
  <c r="H15" i="17" s="1"/>
  <c r="H34" i="17" s="1"/>
  <c r="S11" i="17"/>
  <c r="W11" i="17" s="1"/>
  <c r="AB11" i="17" s="1"/>
  <c r="AA11" i="17" s="1"/>
  <c r="AY17" i="1" s="1"/>
  <c r="AY20" i="13" s="1"/>
  <c r="Q11" i="17"/>
  <c r="P11" i="17"/>
  <c r="O11" i="17"/>
  <c r="N11" i="17"/>
  <c r="I10" i="17"/>
  <c r="CW9" i="17"/>
  <c r="CX9" i="17" s="1"/>
  <c r="CY9" i="17" s="1"/>
  <c r="CZ9" i="17" s="1"/>
  <c r="DA9" i="17" s="1"/>
  <c r="DB9" i="17" s="1"/>
  <c r="DC9" i="17" s="1"/>
  <c r="DD9" i="17" s="1"/>
  <c r="DE9" i="17" s="1"/>
  <c r="DF9" i="17" s="1"/>
  <c r="DG9" i="17" s="1"/>
  <c r="DH9" i="17" s="1"/>
  <c r="CV9" i="17"/>
  <c r="R9" i="17"/>
  <c r="W9" i="17" s="1"/>
  <c r="AB9" i="17" s="1"/>
  <c r="AG9" i="17" s="1"/>
  <c r="AL9" i="17" s="1"/>
  <c r="AQ9" i="17" s="1"/>
  <c r="AV9" i="17" s="1"/>
  <c r="BA9" i="17" s="1"/>
  <c r="BF9" i="17" s="1"/>
  <c r="BK9" i="17" s="1"/>
  <c r="BP9" i="17" s="1"/>
  <c r="BU9" i="17" s="1"/>
  <c r="BZ9" i="17" s="1"/>
  <c r="CE9" i="17" s="1"/>
  <c r="CJ9" i="17" s="1"/>
  <c r="Q9" i="17"/>
  <c r="P9" i="17"/>
  <c r="P10" i="17" s="1"/>
  <c r="N9" i="17"/>
  <c r="N10" i="17" s="1"/>
  <c r="J9" i="17"/>
  <c r="J10" i="17" s="1"/>
  <c r="I9" i="17"/>
  <c r="P7" i="17"/>
  <c r="O7" i="17"/>
  <c r="O24" i="17" s="1"/>
  <c r="N7" i="17"/>
  <c r="M7" i="17"/>
  <c r="W1" i="17"/>
  <c r="AB1" i="17" s="1"/>
  <c r="T35" i="16"/>
  <c r="U35" i="16" s="1"/>
  <c r="V35" i="16" s="1"/>
  <c r="W35" i="16" s="1"/>
  <c r="AY31" i="16"/>
  <c r="AX31" i="16"/>
  <c r="AW31" i="16"/>
  <c r="AV31" i="16"/>
  <c r="L21" i="16"/>
  <c r="Q21" i="16" s="1"/>
  <c r="P16" i="16"/>
  <c r="P20" i="16" s="1"/>
  <c r="P23" i="16" s="1"/>
  <c r="O16" i="16"/>
  <c r="O20" i="16" s="1"/>
  <c r="O23" i="16" s="1"/>
  <c r="N16" i="16"/>
  <c r="N20" i="16" s="1"/>
  <c r="N23" i="16" s="1"/>
  <c r="M16" i="16"/>
  <c r="M20" i="16" s="1"/>
  <c r="J16" i="16"/>
  <c r="I16" i="16"/>
  <c r="H16" i="16"/>
  <c r="G16" i="16"/>
  <c r="G13" i="16" s="1"/>
  <c r="G11" i="16" s="1"/>
  <c r="G14" i="16"/>
  <c r="H15" i="16"/>
  <c r="I15" i="16" s="1"/>
  <c r="I14" i="16" s="1"/>
  <c r="I13" i="16" s="1"/>
  <c r="I11" i="16" s="1"/>
  <c r="Q14" i="16"/>
  <c r="AR11" i="16"/>
  <c r="AJ11" i="16"/>
  <c r="G9" i="16"/>
  <c r="AA10" i="16"/>
  <c r="Y10" i="16"/>
  <c r="W10" i="16"/>
  <c r="V10" i="16"/>
  <c r="T10" i="16"/>
  <c r="S10" i="16"/>
  <c r="R10" i="16"/>
  <c r="H8" i="16"/>
  <c r="I8" i="16" s="1"/>
  <c r="I9" i="16" s="1"/>
  <c r="AY6" i="16"/>
  <c r="AY34" i="16" s="1"/>
  <c r="AX6" i="16"/>
  <c r="AW6" i="16"/>
  <c r="AW34" i="16" s="1"/>
  <c r="AV6" i="16"/>
  <c r="AT6" i="16"/>
  <c r="AS6" i="16"/>
  <c r="AS11" i="16" s="1"/>
  <c r="AR6" i="16"/>
  <c r="AQ6" i="16"/>
  <c r="AO6" i="16"/>
  <c r="AN6" i="16"/>
  <c r="AN27" i="16" s="1"/>
  <c r="AM6" i="16"/>
  <c r="AL6" i="16"/>
  <c r="AJ6" i="16"/>
  <c r="AI6" i="16"/>
  <c r="AI11" i="16" s="1"/>
  <c r="AH6" i="16"/>
  <c r="AG6" i="16"/>
  <c r="AG28" i="16" s="1"/>
  <c r="AE6" i="16"/>
  <c r="AE28" i="16" s="1"/>
  <c r="AD6" i="16"/>
  <c r="AD27" i="16" s="1"/>
  <c r="AC6" i="16"/>
  <c r="AC28" i="16" s="1"/>
  <c r="AB6" i="16"/>
  <c r="Q6" i="16"/>
  <c r="Q28" i="16" s="1"/>
  <c r="N6" i="16"/>
  <c r="S114" i="6" s="1"/>
  <c r="M6" i="16"/>
  <c r="M28" i="16" s="1"/>
  <c r="J6" i="16"/>
  <c r="O114" i="6" s="1"/>
  <c r="I6" i="16"/>
  <c r="I28" i="16" s="1"/>
  <c r="G6" i="16"/>
  <c r="P5" i="16"/>
  <c r="L5" i="16"/>
  <c r="L6" i="16" s="1"/>
  <c r="AA4" i="16"/>
  <c r="W4" i="16" s="1"/>
  <c r="Y4" i="16"/>
  <c r="V4" i="16"/>
  <c r="V9" i="16" s="1"/>
  <c r="V8" i="16" s="1"/>
  <c r="T4" i="16"/>
  <c r="S4" i="16"/>
  <c r="O4" i="16"/>
  <c r="O6" i="16" s="1"/>
  <c r="H4" i="16"/>
  <c r="H6" i="16" s="1"/>
  <c r="F4" i="16"/>
  <c r="T115" i="6"/>
  <c r="S115" i="6"/>
  <c r="R115" i="6"/>
  <c r="P115" i="6"/>
  <c r="O115" i="6"/>
  <c r="N115" i="6"/>
  <c r="R114" i="6"/>
  <c r="CD106" i="6"/>
  <c r="BY106" i="6"/>
  <c r="BT106" i="6"/>
  <c r="BO106" i="6"/>
  <c r="BJ106" i="6"/>
  <c r="BE106" i="6"/>
  <c r="BD106" i="6"/>
  <c r="BC106" i="6"/>
  <c r="BB106" i="6"/>
  <c r="BA106" i="6"/>
  <c r="AZ106" i="6"/>
  <c r="AY106" i="6"/>
  <c r="AX106" i="6"/>
  <c r="AW106" i="6"/>
  <c r="AV106" i="6"/>
  <c r="AU106" i="6"/>
  <c r="AT106" i="6"/>
  <c r="AS106" i="6"/>
  <c r="AR106" i="6"/>
  <c r="AQ106" i="6"/>
  <c r="AP106" i="6"/>
  <c r="AN106" i="6"/>
  <c r="AM106" i="6"/>
  <c r="AL106" i="6"/>
  <c r="AG104" i="6"/>
  <c r="AJ106" i="6"/>
  <c r="AH106" i="6"/>
  <c r="AI105" i="6"/>
  <c r="AH105" i="6"/>
  <c r="AD104" i="6"/>
  <c r="AB104" i="6"/>
  <c r="CW103" i="6"/>
  <c r="CV103" i="6"/>
  <c r="CU103" i="6"/>
  <c r="CT103" i="6"/>
  <c r="CR103" i="6"/>
  <c r="CQ103" i="6"/>
  <c r="CP103" i="6"/>
  <c r="CO103" i="6"/>
  <c r="CM103" i="6"/>
  <c r="CL103" i="6"/>
  <c r="CK103" i="6"/>
  <c r="CJ103" i="6"/>
  <c r="CH103" i="6"/>
  <c r="CG103" i="6"/>
  <c r="CF103" i="6"/>
  <c r="CE103" i="6"/>
  <c r="CC103" i="6"/>
  <c r="CB103" i="6"/>
  <c r="CA103" i="6"/>
  <c r="BZ103" i="6"/>
  <c r="BX103" i="6"/>
  <c r="BW103" i="6"/>
  <c r="BV103" i="6"/>
  <c r="BU103" i="6"/>
  <c r="BS103" i="6"/>
  <c r="BR103" i="6"/>
  <c r="BQ103" i="6"/>
  <c r="BP103" i="6"/>
  <c r="BN103" i="6"/>
  <c r="BM103" i="6"/>
  <c r="BL103" i="6"/>
  <c r="BK103" i="6"/>
  <c r="BI103" i="6"/>
  <c r="BH103" i="6"/>
  <c r="BG103" i="6"/>
  <c r="BF103" i="6"/>
  <c r="BD102" i="6"/>
  <c r="BC102" i="6"/>
  <c r="BB102" i="6"/>
  <c r="BA102" i="6"/>
  <c r="AY102" i="6"/>
  <c r="AX102" i="6"/>
  <c r="AW102" i="6"/>
  <c r="AV102" i="6"/>
  <c r="AT102" i="6"/>
  <c r="AS102" i="6"/>
  <c r="AR102" i="6"/>
  <c r="AQ102" i="6"/>
  <c r="AO102" i="6"/>
  <c r="AN102" i="6"/>
  <c r="AM102" i="6"/>
  <c r="AL102" i="6"/>
  <c r="AF102" i="6"/>
  <c r="AC102" i="6"/>
  <c r="AB102" i="6"/>
  <c r="Z102" i="6"/>
  <c r="Y102" i="6"/>
  <c r="X102" i="6"/>
  <c r="W102" i="6"/>
  <c r="U102" i="6"/>
  <c r="T102" i="6"/>
  <c r="S102" i="6"/>
  <c r="R102" i="6"/>
  <c r="Q102" i="6"/>
  <c r="P102" i="6"/>
  <c r="O102" i="6"/>
  <c r="N102" i="6"/>
  <c r="M102" i="6"/>
  <c r="BD101" i="6"/>
  <c r="BC101" i="6"/>
  <c r="BB101" i="6"/>
  <c r="BA101" i="6"/>
  <c r="AY101" i="6"/>
  <c r="AX101" i="6"/>
  <c r="AW101" i="6"/>
  <c r="AV101" i="6"/>
  <c r="AT101" i="6"/>
  <c r="AS101" i="6"/>
  <c r="AR101" i="6"/>
  <c r="AQ101" i="6"/>
  <c r="AO101" i="6"/>
  <c r="AN101" i="6"/>
  <c r="AM101" i="6"/>
  <c r="AL101" i="6"/>
  <c r="AG101" i="6"/>
  <c r="AG103" i="6" s="1"/>
  <c r="AE101" i="6"/>
  <c r="AE103" i="6" s="1"/>
  <c r="AD101" i="6"/>
  <c r="AD103" i="6" s="1"/>
  <c r="AC101" i="6"/>
  <c r="AB101" i="6"/>
  <c r="Z101" i="6"/>
  <c r="Y101" i="6"/>
  <c r="X101" i="6"/>
  <c r="W101" i="6"/>
  <c r="U101" i="6"/>
  <c r="T101" i="6"/>
  <c r="S101" i="6"/>
  <c r="R101" i="6"/>
  <c r="Q101" i="6"/>
  <c r="P101" i="6"/>
  <c r="O101" i="6"/>
  <c r="N101" i="6"/>
  <c r="M101" i="6"/>
  <c r="V93" i="6"/>
  <c r="Q93" i="6"/>
  <c r="Q92" i="6"/>
  <c r="Q91" i="6"/>
  <c r="Q90" i="6"/>
  <c r="Q89" i="6"/>
  <c r="V92" i="6"/>
  <c r="V91" i="6"/>
  <c r="T72" i="6" s="1"/>
  <c r="T25" i="6" s="1"/>
  <c r="T24" i="6" s="1"/>
  <c r="V90" i="6"/>
  <c r="S72" i="6" s="1"/>
  <c r="S25" i="6" s="1"/>
  <c r="S24" i="6" s="1"/>
  <c r="V89" i="6"/>
  <c r="K92" i="6"/>
  <c r="K72" i="6" s="1"/>
  <c r="K25" i="6" s="1"/>
  <c r="K32" i="6" s="1"/>
  <c r="W86" i="6"/>
  <c r="W85" i="6"/>
  <c r="W84" i="6"/>
  <c r="W83" i="6"/>
  <c r="W91" i="6" s="1"/>
  <c r="Y72" i="6" s="1"/>
  <c r="Y25" i="6" s="1"/>
  <c r="Y24" i="6" s="1"/>
  <c r="W82" i="6"/>
  <c r="W81" i="6"/>
  <c r="W80" i="6"/>
  <c r="W79" i="6"/>
  <c r="W78" i="6"/>
  <c r="W77" i="6"/>
  <c r="O72" i="6"/>
  <c r="U71" i="6"/>
  <c r="N71" i="6"/>
  <c r="M71" i="6"/>
  <c r="G60" i="6"/>
  <c r="V51" i="6" s="1"/>
  <c r="G57" i="6"/>
  <c r="BD48" i="6"/>
  <c r="BC48" i="6"/>
  <c r="BB48" i="6"/>
  <c r="BA48" i="6"/>
  <c r="G48" i="6"/>
  <c r="F48" i="6"/>
  <c r="E48" i="6"/>
  <c r="D48" i="6"/>
  <c r="C48" i="6"/>
  <c r="CQ45" i="6"/>
  <c r="CV45" i="6" s="1"/>
  <c r="CM45" i="6"/>
  <c r="CR45" i="6" s="1"/>
  <c r="CL45" i="6"/>
  <c r="CK45" i="6"/>
  <c r="CP45" i="6" s="1"/>
  <c r="CJ45" i="6"/>
  <c r="CO45" i="6" s="1"/>
  <c r="CT45" i="6" s="1"/>
  <c r="L45" i="6"/>
  <c r="M45" i="6" s="1"/>
  <c r="N45" i="6" s="1"/>
  <c r="AG42" i="6"/>
  <c r="AE42" i="6"/>
  <c r="AD42" i="6"/>
  <c r="AD38" i="6" s="1"/>
  <c r="AE40" i="6" s="1"/>
  <c r="AC42" i="6"/>
  <c r="AC38" i="6" s="1"/>
  <c r="AD40" i="6" s="1"/>
  <c r="AB42" i="6"/>
  <c r="AB38" i="6" s="1"/>
  <c r="AC40" i="6" s="1"/>
  <c r="Z42" i="6"/>
  <c r="Y42" i="6"/>
  <c r="X42" i="6"/>
  <c r="X38" i="6" s="1"/>
  <c r="Y40" i="6" s="1"/>
  <c r="W42" i="6"/>
  <c r="W38" i="6" s="1"/>
  <c r="X40" i="6" s="1"/>
  <c r="U42" i="6"/>
  <c r="T42" i="6"/>
  <c r="T38" i="6" s="1"/>
  <c r="U40" i="6" s="1"/>
  <c r="S42" i="6"/>
  <c r="S38" i="6" s="1"/>
  <c r="T40" i="6" s="1"/>
  <c r="R42" i="6"/>
  <c r="O42" i="6"/>
  <c r="N42" i="6"/>
  <c r="N38" i="6" s="1"/>
  <c r="O40" i="6" s="1"/>
  <c r="M42" i="6"/>
  <c r="M38" i="6" s="1"/>
  <c r="M40" i="6" s="1"/>
  <c r="M39" i="6" s="1"/>
  <c r="K42" i="6"/>
  <c r="L42" i="6" s="1"/>
  <c r="AU39" i="6"/>
  <c r="AZ39" i="6" s="1"/>
  <c r="AI39" i="6"/>
  <c r="AH39" i="6"/>
  <c r="AG39" i="6"/>
  <c r="BI39" i="6"/>
  <c r="BH39" i="6"/>
  <c r="BG39" i="6"/>
  <c r="BF39" i="6"/>
  <c r="BE39" i="6"/>
  <c r="BJ39" i="6" s="1"/>
  <c r="BO39" i="6" s="1"/>
  <c r="BT39" i="6" s="1"/>
  <c r="BY39" i="6" s="1"/>
  <c r="CD39" i="6" s="1"/>
  <c r="CI39" i="6" s="1"/>
  <c r="CN39" i="6" s="1"/>
  <c r="CS39" i="6" s="1"/>
  <c r="CX39" i="6" s="1"/>
  <c r="BI38" i="6"/>
  <c r="BH38" i="6"/>
  <c r="BG38" i="6"/>
  <c r="BF38" i="6"/>
  <c r="Y38" i="6"/>
  <c r="Z40" i="6" s="1"/>
  <c r="O38" i="6"/>
  <c r="P40" i="6" s="1"/>
  <c r="AZ33" i="6"/>
  <c r="AE34" i="6"/>
  <c r="AE38" i="6" s="1"/>
  <c r="AG40" i="6" s="1"/>
  <c r="Z34" i="6"/>
  <c r="Z38" i="6" s="1"/>
  <c r="AB40" i="6" s="1"/>
  <c r="U34" i="6"/>
  <c r="R34" i="6"/>
  <c r="P34" i="6"/>
  <c r="P33" i="6"/>
  <c r="R33" i="6" s="1"/>
  <c r="L34" i="6"/>
  <c r="L33" i="6"/>
  <c r="CD33" i="6"/>
  <c r="CI33" i="6" s="1"/>
  <c r="CN33" i="6" s="1"/>
  <c r="BN33" i="6"/>
  <c r="BS33" i="6" s="1"/>
  <c r="BS32" i="6" s="1"/>
  <c r="BM33" i="6"/>
  <c r="BR33" i="6" s="1"/>
  <c r="BR32" i="6" s="1"/>
  <c r="BL33" i="6"/>
  <c r="BQ33" i="6" s="1"/>
  <c r="BQ32" i="6" s="1"/>
  <c r="BK33" i="6"/>
  <c r="BP33" i="6" s="1"/>
  <c r="BP32" i="6" s="1"/>
  <c r="BE33" i="6"/>
  <c r="BJ33" i="6" s="1"/>
  <c r="N33" i="6"/>
  <c r="CM33" i="6"/>
  <c r="CR33" i="6" s="1"/>
  <c r="CL33" i="6"/>
  <c r="CQ33" i="6" s="1"/>
  <c r="CK33" i="6"/>
  <c r="CP33" i="6" s="1"/>
  <c r="CJ33" i="6"/>
  <c r="CO33" i="6" s="1"/>
  <c r="CW31" i="6"/>
  <c r="CV31" i="6"/>
  <c r="CU31" i="6"/>
  <c r="CT31" i="6"/>
  <c r="CR31" i="6"/>
  <c r="CQ31" i="6"/>
  <c r="CP31" i="6"/>
  <c r="CO31" i="6"/>
  <c r="CM31" i="6"/>
  <c r="CL31" i="6"/>
  <c r="CK31" i="6"/>
  <c r="CJ31" i="6"/>
  <c r="CH31" i="6"/>
  <c r="CG31" i="6"/>
  <c r="CF31" i="6"/>
  <c r="CE31" i="6"/>
  <c r="BI32" i="6"/>
  <c r="BH32" i="6"/>
  <c r="BG32" i="6"/>
  <c r="BF32" i="6"/>
  <c r="CC31" i="6"/>
  <c r="CB31" i="6"/>
  <c r="CA31" i="6"/>
  <c r="BZ31" i="6"/>
  <c r="BX31" i="6"/>
  <c r="BW31" i="6"/>
  <c r="BV31" i="6"/>
  <c r="BU31" i="6"/>
  <c r="BS31" i="6"/>
  <c r="BR31" i="6"/>
  <c r="BQ31" i="6"/>
  <c r="BP31" i="6"/>
  <c r="BN31" i="6"/>
  <c r="BM31" i="6"/>
  <c r="BL31" i="6"/>
  <c r="BK31" i="6"/>
  <c r="BI31" i="6"/>
  <c r="BH31" i="6"/>
  <c r="BG31" i="6"/>
  <c r="BF31" i="6"/>
  <c r="AF26" i="6"/>
  <c r="AF101" i="6" s="1"/>
  <c r="L26" i="6"/>
  <c r="BX25" i="6"/>
  <c r="BX32" i="6" s="1"/>
  <c r="BW25" i="6"/>
  <c r="BW32" i="6" s="1"/>
  <c r="BV25" i="6"/>
  <c r="BV32" i="6" s="1"/>
  <c r="BU25" i="6"/>
  <c r="BU32" i="6" s="1"/>
  <c r="BU34" i="6" s="1"/>
  <c r="AY24" i="6"/>
  <c r="AX24" i="6"/>
  <c r="AW24" i="6"/>
  <c r="AV24" i="6"/>
  <c r="AT24" i="6"/>
  <c r="AS24" i="6"/>
  <c r="AR24" i="6"/>
  <c r="AQ24" i="6"/>
  <c r="AO24" i="6"/>
  <c r="AN24" i="6"/>
  <c r="AM24" i="6"/>
  <c r="AL24" i="6"/>
  <c r="AD24" i="6"/>
  <c r="AC24" i="6"/>
  <c r="AB24" i="6"/>
  <c r="O25" i="6"/>
  <c r="O32" i="6" s="1"/>
  <c r="O31" i="6" s="1"/>
  <c r="O29" i="6" s="1"/>
  <c r="H19" i="6"/>
  <c r="I19" i="6" s="1"/>
  <c r="J19" i="6" s="1"/>
  <c r="BI19" i="6"/>
  <c r="AU169" i="17" s="1"/>
  <c r="AU170" i="17" s="1"/>
  <c r="AU172" i="17" s="1"/>
  <c r="BH19" i="6"/>
  <c r="BM19" i="6" s="1"/>
  <c r="AY169" i="17" s="1"/>
  <c r="AY170" i="17" s="1"/>
  <c r="AY172" i="17" s="1"/>
  <c r="BG19" i="6"/>
  <c r="AS169" i="17" s="1"/>
  <c r="AS170" i="17" s="1"/>
  <c r="AS172" i="17" s="1"/>
  <c r="BF19" i="6"/>
  <c r="BK19" i="6" s="1"/>
  <c r="AW169" i="17" s="1"/>
  <c r="Q19" i="6"/>
  <c r="V19" i="6" s="1"/>
  <c r="H169" i="17" s="1"/>
  <c r="L14" i="6"/>
  <c r="H14" i="6" s="1"/>
  <c r="I14" i="6" s="1"/>
  <c r="AI13" i="6"/>
  <c r="AH13" i="6"/>
  <c r="J13" i="6"/>
  <c r="I13" i="6"/>
  <c r="H13" i="6"/>
  <c r="BI10" i="6"/>
  <c r="BI11" i="6" s="1"/>
  <c r="BI16" i="6" s="1"/>
  <c r="BH10" i="6"/>
  <c r="BH11" i="6" s="1"/>
  <c r="BH16" i="6" s="1"/>
  <c r="BG10" i="6"/>
  <c r="BG11" i="6" s="1"/>
  <c r="BG16" i="6" s="1"/>
  <c r="BF10" i="6"/>
  <c r="BF11" i="6" s="1"/>
  <c r="BF16" i="6" s="1"/>
  <c r="AI10" i="6"/>
  <c r="Q7" i="6"/>
  <c r="L7" i="6"/>
  <c r="G7" i="6"/>
  <c r="G6" i="6"/>
  <c r="U6" i="6"/>
  <c r="T6" i="6"/>
  <c r="S6" i="6"/>
  <c r="AA6" i="6"/>
  <c r="Y6" i="6"/>
  <c r="X6" i="6"/>
  <c r="R5" i="6"/>
  <c r="R8" i="6" s="1"/>
  <c r="J6" i="6"/>
  <c r="I6" i="6"/>
  <c r="H6" i="6"/>
  <c r="AA1" i="6"/>
  <c r="AA51" i="6" s="1"/>
  <c r="AA31" i="22"/>
  <c r="V31" i="22"/>
  <c r="Q31" i="22"/>
  <c r="L31" i="22"/>
  <c r="G31" i="22"/>
  <c r="AT28" i="22"/>
  <c r="AY28" i="22" s="1"/>
  <c r="AS28" i="22"/>
  <c r="AX28" i="22" s="1"/>
  <c r="AR28" i="22"/>
  <c r="AW28" i="22" s="1"/>
  <c r="AQ28" i="22"/>
  <c r="AV28" i="22" s="1"/>
  <c r="AP28" i="22"/>
  <c r="AU28" i="22" s="1"/>
  <c r="AZ28" i="22" s="1"/>
  <c r="AZ24" i="22"/>
  <c r="AY24" i="22"/>
  <c r="AX24" i="22"/>
  <c r="AW24" i="22"/>
  <c r="AV24" i="22"/>
  <c r="AU24" i="22"/>
  <c r="AT24" i="22"/>
  <c r="AS24" i="22"/>
  <c r="AR24" i="22"/>
  <c r="AQ24" i="22"/>
  <c r="AP24" i="22"/>
  <c r="AO24" i="22"/>
  <c r="AN24" i="22"/>
  <c r="AM24" i="22"/>
  <c r="AL24" i="22"/>
  <c r="AK24" i="22"/>
  <c r="AJ24" i="22"/>
  <c r="AI24" i="22"/>
  <c r="AH24" i="22"/>
  <c r="AG24" i="22"/>
  <c r="AF24" i="22"/>
  <c r="AZ22" i="22"/>
  <c r="AY22" i="22"/>
  <c r="AX22" i="22"/>
  <c r="AW22" i="22"/>
  <c r="AV22" i="22"/>
  <c r="AU22" i="22"/>
  <c r="AT22" i="22"/>
  <c r="AS22" i="22"/>
  <c r="AR22" i="22"/>
  <c r="AQ22" i="22"/>
  <c r="AP22" i="22"/>
  <c r="AO22" i="22"/>
  <c r="AN22" i="22"/>
  <c r="AM22" i="22"/>
  <c r="AL22" i="22"/>
  <c r="AK22" i="22"/>
  <c r="AJ22" i="22"/>
  <c r="AI22" i="22"/>
  <c r="AH22" i="22"/>
  <c r="AG22" i="22"/>
  <c r="AE22" i="22"/>
  <c r="AA22" i="22"/>
  <c r="AA25" i="22" s="1"/>
  <c r="V22" i="22"/>
  <c r="V25" i="22" s="1"/>
  <c r="Q22" i="22"/>
  <c r="Q25" i="22" s="1"/>
  <c r="L22" i="22"/>
  <c r="L25" i="22" s="1"/>
  <c r="G22" i="22"/>
  <c r="G25" i="22" s="1"/>
  <c r="AA20" i="22"/>
  <c r="AF19" i="22"/>
  <c r="AK19" i="22" s="1"/>
  <c r="AB19" i="22"/>
  <c r="AC19" i="22" s="1"/>
  <c r="V15" i="22"/>
  <c r="W15" i="22" s="1"/>
  <c r="Q15" i="22"/>
  <c r="R15" i="22" s="1"/>
  <c r="S15" i="22" s="1"/>
  <c r="M15" i="22"/>
  <c r="M16" i="22" s="1"/>
  <c r="M14" i="22" s="1"/>
  <c r="AF15" i="22"/>
  <c r="AB15" i="22"/>
  <c r="L12" i="22"/>
  <c r="Q11" i="22"/>
  <c r="V11" i="22" s="1"/>
  <c r="M11" i="22"/>
  <c r="M12" i="22" s="1"/>
  <c r="Q7" i="22"/>
  <c r="V7" i="22" s="1"/>
  <c r="M7" i="22"/>
  <c r="M8" i="22" s="1"/>
  <c r="M22" i="22" s="1"/>
  <c r="L7" i="22"/>
  <c r="AA6" i="22"/>
  <c r="V6" i="22"/>
  <c r="Q6" i="22"/>
  <c r="L6" i="22"/>
  <c r="G6" i="22"/>
  <c r="AB5" i="22"/>
  <c r="AB24" i="22" s="1"/>
  <c r="AB4" i="22"/>
  <c r="AC4" i="22" s="1"/>
  <c r="AD4" i="22" s="1"/>
  <c r="X5" i="22"/>
  <c r="X24" i="22" s="1"/>
  <c r="W5" i="22"/>
  <c r="W24" i="22" s="1"/>
  <c r="W4" i="22"/>
  <c r="X4" i="22" s="1"/>
  <c r="Y4" i="22" s="1"/>
  <c r="Z4" i="22" s="1"/>
  <c r="S5" i="22"/>
  <c r="S24" i="22" s="1"/>
  <c r="R5" i="22"/>
  <c r="R24" i="22" s="1"/>
  <c r="R4" i="22"/>
  <c r="S4" i="22" s="1"/>
  <c r="T4" i="22" s="1"/>
  <c r="U4" i="22" s="1"/>
  <c r="N5" i="22"/>
  <c r="N24" i="22" s="1"/>
  <c r="M5" i="22"/>
  <c r="M24" i="22" s="1"/>
  <c r="M4" i="22"/>
  <c r="M6" i="22" s="1"/>
  <c r="BJ2" i="22"/>
  <c r="BO2" i="22" s="1"/>
  <c r="BT2" i="22" s="1"/>
  <c r="BY2" i="22" s="1"/>
  <c r="CD2" i="22" s="1"/>
  <c r="CI2" i="22" s="1"/>
  <c r="CN2" i="22" s="1"/>
  <c r="CS2" i="22" s="1"/>
  <c r="CX2" i="22" s="1"/>
  <c r="AP46" i="3"/>
  <c r="AK46" i="3"/>
  <c r="AF46" i="3"/>
  <c r="AA46" i="3"/>
  <c r="V46" i="3"/>
  <c r="Q46" i="3"/>
  <c r="L46" i="3"/>
  <c r="G46" i="3"/>
  <c r="AF43" i="3"/>
  <c r="AK43" i="3" s="1"/>
  <c r="AP43" i="3" s="1"/>
  <c r="AU43" i="3" s="1"/>
  <c r="AZ43" i="3" s="1"/>
  <c r="BE43" i="3" s="1"/>
  <c r="BJ43" i="3" s="1"/>
  <c r="BO43" i="3" s="1"/>
  <c r="BT43" i="3" s="1"/>
  <c r="BY43" i="3" s="1"/>
  <c r="CD43" i="3" s="1"/>
  <c r="CI43" i="3" s="1"/>
  <c r="CN43" i="3" s="1"/>
  <c r="CS43" i="3" s="1"/>
  <c r="CX43" i="3" s="1"/>
  <c r="DC43" i="3" s="1"/>
  <c r="DH43" i="3" s="1"/>
  <c r="AA44" i="3"/>
  <c r="AF44" i="3" s="1"/>
  <c r="AK44" i="3" s="1"/>
  <c r="AP44" i="3" s="1"/>
  <c r="AU44" i="3" s="1"/>
  <c r="AZ44" i="3" s="1"/>
  <c r="BE44" i="3" s="1"/>
  <c r="BJ44" i="3" s="1"/>
  <c r="BO44" i="3" s="1"/>
  <c r="BT44" i="3" s="1"/>
  <c r="BY44" i="3" s="1"/>
  <c r="CD44" i="3" s="1"/>
  <c r="CI44" i="3" s="1"/>
  <c r="CN44" i="3" s="1"/>
  <c r="CS44" i="3" s="1"/>
  <c r="CX44" i="3" s="1"/>
  <c r="DC44" i="3" s="1"/>
  <c r="DH44" i="3" s="1"/>
  <c r="V44" i="3"/>
  <c r="G40" i="3"/>
  <c r="L39" i="3" s="1"/>
  <c r="BS39" i="3"/>
  <c r="BR39" i="3"/>
  <c r="BQ39" i="3"/>
  <c r="BP39" i="3"/>
  <c r="BE33" i="3"/>
  <c r="BJ33" i="3" s="1"/>
  <c r="BO33" i="3" s="1"/>
  <c r="BT33" i="3" s="1"/>
  <c r="BY33" i="3" s="1"/>
  <c r="CD33" i="3" s="1"/>
  <c r="CI33" i="3" s="1"/>
  <c r="CN33" i="3" s="1"/>
  <c r="CS33" i="3" s="1"/>
  <c r="CX33" i="3" s="1"/>
  <c r="DC33" i="3" s="1"/>
  <c r="DH33" i="3" s="1"/>
  <c r="BE31" i="3"/>
  <c r="BJ31" i="3" s="1"/>
  <c r="BO31" i="3" s="1"/>
  <c r="BT31" i="3" s="1"/>
  <c r="BE34" i="3"/>
  <c r="BJ34" i="3" s="1"/>
  <c r="BE30" i="3"/>
  <c r="BJ30" i="3" s="1"/>
  <c r="BO30" i="3" s="1"/>
  <c r="BT30" i="3" s="1"/>
  <c r="BY30" i="3" s="1"/>
  <c r="CD30" i="3" s="1"/>
  <c r="CI30" i="3" s="1"/>
  <c r="CN30" i="3" s="1"/>
  <c r="CS30" i="3" s="1"/>
  <c r="CX30" i="3" s="1"/>
  <c r="DC30" i="3" s="1"/>
  <c r="DH30" i="3" s="1"/>
  <c r="AU46" i="3"/>
  <c r="AP36" i="3"/>
  <c r="AK36" i="3"/>
  <c r="AF36" i="3"/>
  <c r="AA36" i="3"/>
  <c r="V36" i="3"/>
  <c r="Q36" i="3"/>
  <c r="P36" i="3"/>
  <c r="M36" i="3"/>
  <c r="L36" i="3"/>
  <c r="H36" i="3"/>
  <c r="G36" i="3"/>
  <c r="N35" i="3"/>
  <c r="O35" i="3" s="1"/>
  <c r="N34" i="3"/>
  <c r="N36" i="3" s="1"/>
  <c r="J35" i="3"/>
  <c r="I35" i="3"/>
  <c r="I34" i="3"/>
  <c r="I36" i="3" s="1"/>
  <c r="AZ32" i="3"/>
  <c r="BE32" i="3" s="1"/>
  <c r="BJ32" i="3" s="1"/>
  <c r="BE29" i="3"/>
  <c r="BJ29" i="3" s="1"/>
  <c r="BO29" i="3" s="1"/>
  <c r="BT29" i="3" s="1"/>
  <c r="BY29" i="3" s="1"/>
  <c r="CD29" i="3" s="1"/>
  <c r="CI29" i="3" s="1"/>
  <c r="CN29" i="3" s="1"/>
  <c r="CS29" i="3" s="1"/>
  <c r="CX29" i="3" s="1"/>
  <c r="DC29" i="3" s="1"/>
  <c r="DH29" i="3" s="1"/>
  <c r="BW35" i="3"/>
  <c r="CB35" i="3" s="1"/>
  <c r="CG35" i="3" s="1"/>
  <c r="CL35" i="3" s="1"/>
  <c r="CQ35" i="3" s="1"/>
  <c r="CV35" i="3" s="1"/>
  <c r="DA35" i="3" s="1"/>
  <c r="DF35" i="3" s="1"/>
  <c r="BS35" i="3"/>
  <c r="BX35" i="3" s="1"/>
  <c r="CC35" i="3" s="1"/>
  <c r="CH35" i="3" s="1"/>
  <c r="CM35" i="3" s="1"/>
  <c r="CR35" i="3" s="1"/>
  <c r="CW35" i="3" s="1"/>
  <c r="DB35" i="3" s="1"/>
  <c r="DG35" i="3" s="1"/>
  <c r="BR35" i="3"/>
  <c r="BQ35" i="3"/>
  <c r="BV35" i="3" s="1"/>
  <c r="CA35" i="3" s="1"/>
  <c r="CF35" i="3" s="1"/>
  <c r="CK35" i="3" s="1"/>
  <c r="CP35" i="3" s="1"/>
  <c r="CU35" i="3" s="1"/>
  <c r="CZ35" i="3" s="1"/>
  <c r="DE35" i="3" s="1"/>
  <c r="BP35" i="3"/>
  <c r="BU35" i="3" s="1"/>
  <c r="BZ35" i="3" s="1"/>
  <c r="CE35" i="3" s="1"/>
  <c r="CJ35" i="3" s="1"/>
  <c r="CO35" i="3" s="1"/>
  <c r="CT35" i="3" s="1"/>
  <c r="CY35" i="3" s="1"/>
  <c r="DD35" i="3" s="1"/>
  <c r="BW34" i="3"/>
  <c r="CB34" i="3" s="1"/>
  <c r="CG34" i="3" s="1"/>
  <c r="CL34" i="3" s="1"/>
  <c r="CQ34" i="3" s="1"/>
  <c r="CV34" i="3" s="1"/>
  <c r="DA34" i="3" s="1"/>
  <c r="DF34" i="3" s="1"/>
  <c r="BS34" i="3"/>
  <c r="BX34" i="3" s="1"/>
  <c r="CC34" i="3" s="1"/>
  <c r="CH34" i="3" s="1"/>
  <c r="CM34" i="3" s="1"/>
  <c r="CR34" i="3" s="1"/>
  <c r="CW34" i="3" s="1"/>
  <c r="DB34" i="3" s="1"/>
  <c r="DG34" i="3" s="1"/>
  <c r="BR34" i="3"/>
  <c r="BQ34" i="3"/>
  <c r="BV34" i="3" s="1"/>
  <c r="CA34" i="3" s="1"/>
  <c r="CF34" i="3" s="1"/>
  <c r="CK34" i="3" s="1"/>
  <c r="CP34" i="3" s="1"/>
  <c r="CU34" i="3" s="1"/>
  <c r="CZ34" i="3" s="1"/>
  <c r="DE34" i="3" s="1"/>
  <c r="BP34" i="3"/>
  <c r="BU34" i="3" s="1"/>
  <c r="BZ34" i="3" s="1"/>
  <c r="CE34" i="3" s="1"/>
  <c r="CJ34" i="3" s="1"/>
  <c r="CO34" i="3" s="1"/>
  <c r="CT34" i="3" s="1"/>
  <c r="CY34" i="3" s="1"/>
  <c r="DD34" i="3" s="1"/>
  <c r="BO34" i="3"/>
  <c r="BT34" i="3" s="1"/>
  <c r="BY34" i="3" s="1"/>
  <c r="CD34" i="3" s="1"/>
  <c r="CI34" i="3" s="1"/>
  <c r="CN34" i="3" s="1"/>
  <c r="CS34" i="3" s="1"/>
  <c r="CX34" i="3" s="1"/>
  <c r="DC34" i="3" s="1"/>
  <c r="DH34" i="3" s="1"/>
  <c r="BS33" i="3"/>
  <c r="BX33" i="3" s="1"/>
  <c r="CC33" i="3" s="1"/>
  <c r="CH33" i="3" s="1"/>
  <c r="CM33" i="3" s="1"/>
  <c r="CR33" i="3" s="1"/>
  <c r="CW33" i="3" s="1"/>
  <c r="DB33" i="3" s="1"/>
  <c r="DG33" i="3" s="1"/>
  <c r="BR33" i="3"/>
  <c r="BW33" i="3" s="1"/>
  <c r="CB33" i="3" s="1"/>
  <c r="CG33" i="3" s="1"/>
  <c r="CL33" i="3" s="1"/>
  <c r="CQ33" i="3" s="1"/>
  <c r="CV33" i="3" s="1"/>
  <c r="DA33" i="3" s="1"/>
  <c r="DF33" i="3" s="1"/>
  <c r="BQ33" i="3"/>
  <c r="BV33" i="3" s="1"/>
  <c r="CA33" i="3" s="1"/>
  <c r="CF33" i="3" s="1"/>
  <c r="CK33" i="3" s="1"/>
  <c r="CP33" i="3" s="1"/>
  <c r="CU33" i="3" s="1"/>
  <c r="CZ33" i="3" s="1"/>
  <c r="DE33" i="3" s="1"/>
  <c r="BP33" i="3"/>
  <c r="BU33" i="3" s="1"/>
  <c r="BZ33" i="3" s="1"/>
  <c r="CE33" i="3" s="1"/>
  <c r="CJ33" i="3" s="1"/>
  <c r="CO33" i="3" s="1"/>
  <c r="CT33" i="3" s="1"/>
  <c r="CY33" i="3" s="1"/>
  <c r="DD33" i="3" s="1"/>
  <c r="BW32" i="3"/>
  <c r="CB32" i="3" s="1"/>
  <c r="CG32" i="3" s="1"/>
  <c r="CL32" i="3" s="1"/>
  <c r="CQ32" i="3" s="1"/>
  <c r="CV32" i="3" s="1"/>
  <c r="DA32" i="3" s="1"/>
  <c r="DF32" i="3" s="1"/>
  <c r="BS32" i="3"/>
  <c r="BX32" i="3" s="1"/>
  <c r="CC32" i="3" s="1"/>
  <c r="CH32" i="3" s="1"/>
  <c r="CM32" i="3" s="1"/>
  <c r="CR32" i="3" s="1"/>
  <c r="CW32" i="3" s="1"/>
  <c r="DB32" i="3" s="1"/>
  <c r="DG32" i="3" s="1"/>
  <c r="BR32" i="3"/>
  <c r="BQ32" i="3"/>
  <c r="BV32" i="3" s="1"/>
  <c r="CA32" i="3" s="1"/>
  <c r="CF32" i="3" s="1"/>
  <c r="CK32" i="3" s="1"/>
  <c r="CP32" i="3" s="1"/>
  <c r="CU32" i="3" s="1"/>
  <c r="CZ32" i="3" s="1"/>
  <c r="DE32" i="3" s="1"/>
  <c r="BP32" i="3"/>
  <c r="BU32" i="3" s="1"/>
  <c r="BZ32" i="3" s="1"/>
  <c r="CE32" i="3" s="1"/>
  <c r="CJ32" i="3" s="1"/>
  <c r="CO32" i="3" s="1"/>
  <c r="CT32" i="3" s="1"/>
  <c r="CY32" i="3" s="1"/>
  <c r="DD32" i="3" s="1"/>
  <c r="BO32" i="3"/>
  <c r="BT32" i="3" s="1"/>
  <c r="BY32" i="3" s="1"/>
  <c r="CD32" i="3" s="1"/>
  <c r="CI32" i="3" s="1"/>
  <c r="CN32" i="3" s="1"/>
  <c r="CS32" i="3" s="1"/>
  <c r="CX32" i="3" s="1"/>
  <c r="DC32" i="3" s="1"/>
  <c r="DH32" i="3" s="1"/>
  <c r="BS31" i="3"/>
  <c r="BX31" i="3" s="1"/>
  <c r="CC31" i="3" s="1"/>
  <c r="CH31" i="3" s="1"/>
  <c r="CM31" i="3" s="1"/>
  <c r="CR31" i="3" s="1"/>
  <c r="CW31" i="3" s="1"/>
  <c r="DB31" i="3" s="1"/>
  <c r="DG31" i="3" s="1"/>
  <c r="BR31" i="3"/>
  <c r="BW31" i="3" s="1"/>
  <c r="CB31" i="3" s="1"/>
  <c r="CG31" i="3" s="1"/>
  <c r="CL31" i="3" s="1"/>
  <c r="CQ31" i="3" s="1"/>
  <c r="CV31" i="3" s="1"/>
  <c r="DA31" i="3" s="1"/>
  <c r="DF31" i="3" s="1"/>
  <c r="BQ31" i="3"/>
  <c r="BV31" i="3" s="1"/>
  <c r="CA31" i="3" s="1"/>
  <c r="CF31" i="3" s="1"/>
  <c r="CK31" i="3" s="1"/>
  <c r="CP31" i="3" s="1"/>
  <c r="CU31" i="3" s="1"/>
  <c r="CZ31" i="3" s="1"/>
  <c r="DE31" i="3" s="1"/>
  <c r="BP31" i="3"/>
  <c r="BU31" i="3" s="1"/>
  <c r="BZ31" i="3" s="1"/>
  <c r="CE31" i="3" s="1"/>
  <c r="CJ31" i="3" s="1"/>
  <c r="CO31" i="3" s="1"/>
  <c r="CT31" i="3" s="1"/>
  <c r="CY31" i="3" s="1"/>
  <c r="DD31" i="3" s="1"/>
  <c r="BW30" i="3"/>
  <c r="CB30" i="3" s="1"/>
  <c r="CG30" i="3" s="1"/>
  <c r="CL30" i="3" s="1"/>
  <c r="CQ30" i="3" s="1"/>
  <c r="CV30" i="3" s="1"/>
  <c r="DA30" i="3" s="1"/>
  <c r="DF30" i="3" s="1"/>
  <c r="BS30" i="3"/>
  <c r="BX30" i="3" s="1"/>
  <c r="CC30" i="3" s="1"/>
  <c r="CH30" i="3" s="1"/>
  <c r="CM30" i="3" s="1"/>
  <c r="CR30" i="3" s="1"/>
  <c r="CW30" i="3" s="1"/>
  <c r="DB30" i="3" s="1"/>
  <c r="DG30" i="3" s="1"/>
  <c r="BR30" i="3"/>
  <c r="BQ30" i="3"/>
  <c r="BV30" i="3" s="1"/>
  <c r="CA30" i="3" s="1"/>
  <c r="CF30" i="3" s="1"/>
  <c r="CK30" i="3" s="1"/>
  <c r="CP30" i="3" s="1"/>
  <c r="CU30" i="3" s="1"/>
  <c r="CZ30" i="3" s="1"/>
  <c r="DE30" i="3" s="1"/>
  <c r="BP30" i="3"/>
  <c r="BU30" i="3" s="1"/>
  <c r="BZ30" i="3" s="1"/>
  <c r="CE30" i="3" s="1"/>
  <c r="CJ30" i="3" s="1"/>
  <c r="CO30" i="3" s="1"/>
  <c r="CT30" i="3" s="1"/>
  <c r="CY30" i="3" s="1"/>
  <c r="DD30" i="3" s="1"/>
  <c r="BS29" i="3"/>
  <c r="BX29" i="3" s="1"/>
  <c r="CC29" i="3" s="1"/>
  <c r="CH29" i="3" s="1"/>
  <c r="CM29" i="3" s="1"/>
  <c r="CR29" i="3" s="1"/>
  <c r="CW29" i="3" s="1"/>
  <c r="DB29" i="3" s="1"/>
  <c r="DG29" i="3" s="1"/>
  <c r="BR29" i="3"/>
  <c r="BW29" i="3" s="1"/>
  <c r="CB29" i="3" s="1"/>
  <c r="CG29" i="3" s="1"/>
  <c r="CL29" i="3" s="1"/>
  <c r="CQ29" i="3" s="1"/>
  <c r="CV29" i="3" s="1"/>
  <c r="DA29" i="3" s="1"/>
  <c r="DF29" i="3" s="1"/>
  <c r="BQ29" i="3"/>
  <c r="BV29" i="3" s="1"/>
  <c r="CA29" i="3" s="1"/>
  <c r="CF29" i="3" s="1"/>
  <c r="CK29" i="3" s="1"/>
  <c r="CP29" i="3" s="1"/>
  <c r="CU29" i="3" s="1"/>
  <c r="CZ29" i="3" s="1"/>
  <c r="DE29" i="3" s="1"/>
  <c r="BP29" i="3"/>
  <c r="BU29" i="3" s="1"/>
  <c r="BZ29" i="3" s="1"/>
  <c r="CE29" i="3" s="1"/>
  <c r="CJ29" i="3" s="1"/>
  <c r="CO29" i="3" s="1"/>
  <c r="CT29" i="3" s="1"/>
  <c r="CY29" i="3" s="1"/>
  <c r="DD29" i="3" s="1"/>
  <c r="BW28" i="3"/>
  <c r="BS28" i="3"/>
  <c r="BR28" i="3"/>
  <c r="BQ28" i="3"/>
  <c r="BP28" i="3"/>
  <c r="BE21" i="3"/>
  <c r="BJ21" i="3" s="1"/>
  <c r="BO21" i="3" s="1"/>
  <c r="BT21" i="3" s="1"/>
  <c r="AP25" i="3"/>
  <c r="AK25" i="3"/>
  <c r="AF25" i="3"/>
  <c r="AA25" i="3"/>
  <c r="V25" i="3"/>
  <c r="Q25" i="3"/>
  <c r="P25" i="3"/>
  <c r="M25" i="3"/>
  <c r="L25" i="3"/>
  <c r="H25" i="3"/>
  <c r="G25" i="3"/>
  <c r="I24" i="3"/>
  <c r="J24" i="3" s="1"/>
  <c r="AZ23" i="3"/>
  <c r="BE23" i="3" s="1"/>
  <c r="K23" i="3"/>
  <c r="BX23" i="3"/>
  <c r="CC23" i="3" s="1"/>
  <c r="CH23" i="3" s="1"/>
  <c r="CM23" i="3" s="1"/>
  <c r="CR23" i="3" s="1"/>
  <c r="CW23" i="3" s="1"/>
  <c r="DB23" i="3" s="1"/>
  <c r="DG23" i="3" s="1"/>
  <c r="BS23" i="3"/>
  <c r="BR23" i="3"/>
  <c r="BW23" i="3" s="1"/>
  <c r="CB23" i="3" s="1"/>
  <c r="CG23" i="3" s="1"/>
  <c r="CL23" i="3" s="1"/>
  <c r="CQ23" i="3" s="1"/>
  <c r="CV23" i="3" s="1"/>
  <c r="DA23" i="3" s="1"/>
  <c r="DF23" i="3" s="1"/>
  <c r="BQ23" i="3"/>
  <c r="BV23" i="3" s="1"/>
  <c r="CA23" i="3" s="1"/>
  <c r="CF23" i="3" s="1"/>
  <c r="CK23" i="3" s="1"/>
  <c r="CP23" i="3" s="1"/>
  <c r="CU23" i="3" s="1"/>
  <c r="CZ23" i="3" s="1"/>
  <c r="DE23" i="3" s="1"/>
  <c r="BP23" i="3"/>
  <c r="BU23" i="3" s="1"/>
  <c r="BZ23" i="3" s="1"/>
  <c r="CE23" i="3" s="1"/>
  <c r="CJ23" i="3" s="1"/>
  <c r="CO23" i="3" s="1"/>
  <c r="CT23" i="3" s="1"/>
  <c r="CY23" i="3" s="1"/>
  <c r="DD23" i="3" s="1"/>
  <c r="DG22" i="3"/>
  <c r="DF22" i="3"/>
  <c r="DE22" i="3"/>
  <c r="DD22" i="3"/>
  <c r="DB22" i="3"/>
  <c r="DA22" i="3"/>
  <c r="CZ22" i="3"/>
  <c r="CY22" i="3"/>
  <c r="CW22" i="3"/>
  <c r="CV22" i="3"/>
  <c r="CU22" i="3"/>
  <c r="CT22" i="3"/>
  <c r="CR22" i="3"/>
  <c r="CQ22" i="3"/>
  <c r="CP22" i="3"/>
  <c r="CO22" i="3"/>
  <c r="CM22" i="3"/>
  <c r="CL22" i="3"/>
  <c r="CK22" i="3"/>
  <c r="CJ22" i="3"/>
  <c r="CH22" i="3"/>
  <c r="CG22" i="3"/>
  <c r="CF22" i="3"/>
  <c r="CE22" i="3"/>
  <c r="CC22" i="3"/>
  <c r="CB22" i="3"/>
  <c r="CA22" i="3"/>
  <c r="BZ22" i="3"/>
  <c r="BX22" i="3"/>
  <c r="BW22" i="3"/>
  <c r="BV22" i="3"/>
  <c r="BU22" i="3"/>
  <c r="BS22" i="3"/>
  <c r="BR22" i="3"/>
  <c r="BQ22" i="3"/>
  <c r="BP22" i="3"/>
  <c r="BX21" i="3"/>
  <c r="BS21" i="3"/>
  <c r="BR21" i="3"/>
  <c r="BR25" i="3" s="1"/>
  <c r="BQ21" i="3"/>
  <c r="BP21" i="3"/>
  <c r="BP25" i="3" s="1"/>
  <c r="O24" i="3"/>
  <c r="N24" i="3"/>
  <c r="N23" i="3"/>
  <c r="O23" i="3" s="1"/>
  <c r="O22" i="3"/>
  <c r="N22" i="3"/>
  <c r="N21" i="3"/>
  <c r="N25" i="3" s="1"/>
  <c r="J22" i="3"/>
  <c r="I22" i="3"/>
  <c r="I21" i="3"/>
  <c r="I25" i="3" s="1"/>
  <c r="BE11" i="3"/>
  <c r="BJ11" i="3" s="1"/>
  <c r="BO11" i="3" s="1"/>
  <c r="BT11" i="3" s="1"/>
  <c r="BY11" i="3" s="1"/>
  <c r="CD11" i="3" s="1"/>
  <c r="CI11" i="3" s="1"/>
  <c r="CN11" i="3" s="1"/>
  <c r="CS11" i="3" s="1"/>
  <c r="CX11" i="3" s="1"/>
  <c r="DC11" i="3" s="1"/>
  <c r="DH11" i="3" s="1"/>
  <c r="BE10" i="3"/>
  <c r="BJ10" i="3" s="1"/>
  <c r="BO10" i="3" s="1"/>
  <c r="BT10" i="3" s="1"/>
  <c r="BY10" i="3" s="1"/>
  <c r="CD10" i="3" s="1"/>
  <c r="CI10" i="3" s="1"/>
  <c r="CN10" i="3" s="1"/>
  <c r="CS10" i="3" s="1"/>
  <c r="CX10" i="3" s="1"/>
  <c r="DC10" i="3" s="1"/>
  <c r="DH10" i="3" s="1"/>
  <c r="AP18" i="3"/>
  <c r="AP38" i="3" s="1"/>
  <c r="AK18" i="3"/>
  <c r="AK38" i="3" s="1"/>
  <c r="AK40" i="3" s="1"/>
  <c r="AP39" i="3" s="1"/>
  <c r="AF18" i="3"/>
  <c r="AA18" i="3"/>
  <c r="AA38" i="3" s="1"/>
  <c r="AA40" i="3" s="1"/>
  <c r="V18" i="3"/>
  <c r="V38" i="3" s="1"/>
  <c r="Q18" i="3"/>
  <c r="Q38" i="3" s="1"/>
  <c r="P18" i="3"/>
  <c r="M18" i="3"/>
  <c r="M38" i="3" s="1"/>
  <c r="L18" i="3"/>
  <c r="L38" i="3" s="1"/>
  <c r="K18" i="3"/>
  <c r="J18" i="3"/>
  <c r="I18" i="3"/>
  <c r="H18" i="3"/>
  <c r="G18" i="3"/>
  <c r="N17" i="3"/>
  <c r="O17" i="3" s="1"/>
  <c r="N16" i="3"/>
  <c r="O16" i="3" s="1"/>
  <c r="N15" i="3"/>
  <c r="O15" i="3" s="1"/>
  <c r="N13" i="3"/>
  <c r="O13" i="3" s="1"/>
  <c r="AP12" i="3"/>
  <c r="AK12" i="3"/>
  <c r="AF12" i="3"/>
  <c r="AA12" i="3"/>
  <c r="V12" i="3"/>
  <c r="Q12" i="3"/>
  <c r="L12" i="3"/>
  <c r="G12" i="3"/>
  <c r="N11" i="3"/>
  <c r="O11" i="3" s="1"/>
  <c r="DG17" i="3"/>
  <c r="DF17" i="3"/>
  <c r="DE17" i="3"/>
  <c r="DD17" i="3"/>
  <c r="DB17" i="3"/>
  <c r="DA17" i="3"/>
  <c r="CZ17" i="3"/>
  <c r="CY17" i="3"/>
  <c r="CW17" i="3"/>
  <c r="CV17" i="3"/>
  <c r="CU17" i="3"/>
  <c r="CT17" i="3"/>
  <c r="CR17" i="3"/>
  <c r="CQ17" i="3"/>
  <c r="CP17" i="3"/>
  <c r="CO17" i="3"/>
  <c r="CM17" i="3"/>
  <c r="CL17" i="3"/>
  <c r="CK17" i="3"/>
  <c r="CJ17" i="3"/>
  <c r="CH17" i="3"/>
  <c r="CG17" i="3"/>
  <c r="CF17" i="3"/>
  <c r="CE17" i="3"/>
  <c r="CC17" i="3"/>
  <c r="CB17" i="3"/>
  <c r="CA17" i="3"/>
  <c r="BZ17" i="3"/>
  <c r="BX17" i="3"/>
  <c r="BW17" i="3"/>
  <c r="BV17" i="3"/>
  <c r="BU17" i="3"/>
  <c r="BS17" i="3"/>
  <c r="BR17" i="3"/>
  <c r="BQ17" i="3"/>
  <c r="BP17" i="3"/>
  <c r="DE16" i="3"/>
  <c r="CW16" i="3"/>
  <c r="CO16" i="3"/>
  <c r="CK16" i="3"/>
  <c r="CC16" i="3"/>
  <c r="BU16" i="3"/>
  <c r="BQ16" i="3"/>
  <c r="DG15" i="3"/>
  <c r="DF15" i="3"/>
  <c r="DE15" i="3"/>
  <c r="DD15" i="3"/>
  <c r="DB15" i="3"/>
  <c r="DA15" i="3"/>
  <c r="CZ15" i="3"/>
  <c r="CY15" i="3"/>
  <c r="CW15" i="3"/>
  <c r="CV15" i="3"/>
  <c r="CU15" i="3"/>
  <c r="CT15" i="3"/>
  <c r="CR15" i="3"/>
  <c r="CQ15" i="3"/>
  <c r="CP15" i="3"/>
  <c r="CO15" i="3"/>
  <c r="CM15" i="3"/>
  <c r="CL15" i="3"/>
  <c r="CK15" i="3"/>
  <c r="CJ15" i="3"/>
  <c r="CH15" i="3"/>
  <c r="CG15" i="3"/>
  <c r="CF15" i="3"/>
  <c r="CE15" i="3"/>
  <c r="CC15" i="3"/>
  <c r="CB15" i="3"/>
  <c r="CA15" i="3"/>
  <c r="BZ15" i="3"/>
  <c r="BX15" i="3"/>
  <c r="BW15" i="3"/>
  <c r="BV15" i="3"/>
  <c r="BU15" i="3"/>
  <c r="BS15" i="3"/>
  <c r="BR15" i="3"/>
  <c r="BQ15" i="3"/>
  <c r="BP15" i="3"/>
  <c r="DG14" i="3"/>
  <c r="DF14" i="3"/>
  <c r="DE14" i="3"/>
  <c r="DE12" i="3" s="1"/>
  <c r="DD14" i="3"/>
  <c r="DB14" i="3"/>
  <c r="DA14" i="3"/>
  <c r="CZ14" i="3"/>
  <c r="CY14" i="3"/>
  <c r="CW14" i="3"/>
  <c r="CW12" i="3" s="1"/>
  <c r="CV14" i="3"/>
  <c r="CU14" i="3"/>
  <c r="CT14" i="3"/>
  <c r="CR14" i="3"/>
  <c r="CQ14" i="3"/>
  <c r="CP14" i="3"/>
  <c r="CO14" i="3"/>
  <c r="CO12" i="3" s="1"/>
  <c r="CM14" i="3"/>
  <c r="CL14" i="3"/>
  <c r="CK14" i="3"/>
  <c r="CK12" i="3" s="1"/>
  <c r="CJ14" i="3"/>
  <c r="CH14" i="3"/>
  <c r="CG14" i="3"/>
  <c r="CF14" i="3"/>
  <c r="CE14" i="3"/>
  <c r="CC14" i="3"/>
  <c r="CC12" i="3" s="1"/>
  <c r="CB14" i="3"/>
  <c r="CA14" i="3"/>
  <c r="BZ14" i="3"/>
  <c r="BX14" i="3"/>
  <c r="BW14" i="3"/>
  <c r="BV14" i="3"/>
  <c r="BU14" i="3"/>
  <c r="BU12" i="3" s="1"/>
  <c r="BS14" i="3"/>
  <c r="BR14" i="3"/>
  <c r="BQ14" i="3"/>
  <c r="BQ12" i="3" s="1"/>
  <c r="BP14" i="3"/>
  <c r="DG13" i="3"/>
  <c r="DF13" i="3"/>
  <c r="DE13" i="3"/>
  <c r="DD13" i="3"/>
  <c r="DB13" i="3"/>
  <c r="DA13" i="3"/>
  <c r="CZ13" i="3"/>
  <c r="CY13" i="3"/>
  <c r="CW13" i="3"/>
  <c r="CV13" i="3"/>
  <c r="CU13" i="3"/>
  <c r="CT13" i="3"/>
  <c r="CR13" i="3"/>
  <c r="CQ13" i="3"/>
  <c r="CP13" i="3"/>
  <c r="CO13" i="3"/>
  <c r="CM13" i="3"/>
  <c r="CL13" i="3"/>
  <c r="CK13" i="3"/>
  <c r="CJ13" i="3"/>
  <c r="CH13" i="3"/>
  <c r="CG13" i="3"/>
  <c r="CF13" i="3"/>
  <c r="CE13" i="3"/>
  <c r="CC13" i="3"/>
  <c r="CB13" i="3"/>
  <c r="CA13" i="3"/>
  <c r="BZ13" i="3"/>
  <c r="BX13" i="3"/>
  <c r="BW13" i="3"/>
  <c r="BV13" i="3"/>
  <c r="BU13" i="3"/>
  <c r="BS13" i="3"/>
  <c r="BR13" i="3"/>
  <c r="BQ13" i="3"/>
  <c r="BP13" i="3"/>
  <c r="BS11" i="3"/>
  <c r="BX11" i="3" s="1"/>
  <c r="CC11" i="3" s="1"/>
  <c r="CH11" i="3" s="1"/>
  <c r="CM11" i="3" s="1"/>
  <c r="CR11" i="3" s="1"/>
  <c r="CW11" i="3" s="1"/>
  <c r="DB11" i="3" s="1"/>
  <c r="DG11" i="3" s="1"/>
  <c r="BR11" i="3"/>
  <c r="BW11" i="3" s="1"/>
  <c r="CB11" i="3" s="1"/>
  <c r="CG11" i="3" s="1"/>
  <c r="CL11" i="3" s="1"/>
  <c r="CQ11" i="3" s="1"/>
  <c r="CV11" i="3" s="1"/>
  <c r="DA11" i="3" s="1"/>
  <c r="DF11" i="3" s="1"/>
  <c r="BQ11" i="3"/>
  <c r="BV11" i="3" s="1"/>
  <c r="CA11" i="3" s="1"/>
  <c r="CF11" i="3" s="1"/>
  <c r="CK11" i="3" s="1"/>
  <c r="CP11" i="3" s="1"/>
  <c r="CU11" i="3" s="1"/>
  <c r="CZ11" i="3" s="1"/>
  <c r="DE11" i="3" s="1"/>
  <c r="BP11" i="3"/>
  <c r="BU11" i="3" s="1"/>
  <c r="BZ11" i="3" s="1"/>
  <c r="CE11" i="3" s="1"/>
  <c r="CJ11" i="3" s="1"/>
  <c r="CO11" i="3" s="1"/>
  <c r="CT11" i="3" s="1"/>
  <c r="CY11" i="3" s="1"/>
  <c r="DD11" i="3" s="1"/>
  <c r="BS10" i="3"/>
  <c r="BX10" i="3" s="1"/>
  <c r="CC10" i="3" s="1"/>
  <c r="CH10" i="3" s="1"/>
  <c r="CM10" i="3" s="1"/>
  <c r="CR10" i="3" s="1"/>
  <c r="CW10" i="3" s="1"/>
  <c r="DB10" i="3" s="1"/>
  <c r="DG10" i="3" s="1"/>
  <c r="BR10" i="3"/>
  <c r="BW10" i="3" s="1"/>
  <c r="CB10" i="3" s="1"/>
  <c r="CG10" i="3" s="1"/>
  <c r="CL10" i="3" s="1"/>
  <c r="CQ10" i="3" s="1"/>
  <c r="CV10" i="3" s="1"/>
  <c r="DA10" i="3" s="1"/>
  <c r="DF10" i="3" s="1"/>
  <c r="BQ10" i="3"/>
  <c r="BV10" i="3" s="1"/>
  <c r="CA10" i="3" s="1"/>
  <c r="CF10" i="3" s="1"/>
  <c r="CK10" i="3" s="1"/>
  <c r="CP10" i="3" s="1"/>
  <c r="CU10" i="3" s="1"/>
  <c r="CZ10" i="3" s="1"/>
  <c r="DE10" i="3" s="1"/>
  <c r="BP10" i="3"/>
  <c r="BU10" i="3" s="1"/>
  <c r="BZ10" i="3" s="1"/>
  <c r="CE10" i="3" s="1"/>
  <c r="CJ10" i="3" s="1"/>
  <c r="CO10" i="3" s="1"/>
  <c r="CT10" i="3" s="1"/>
  <c r="CY10" i="3" s="1"/>
  <c r="DD10" i="3" s="1"/>
  <c r="BO9" i="3"/>
  <c r="BT9" i="3" s="1"/>
  <c r="BY9" i="3" s="1"/>
  <c r="CD9" i="3" s="1"/>
  <c r="CI9" i="3" s="1"/>
  <c r="CN9" i="3" s="1"/>
  <c r="CS9" i="3" s="1"/>
  <c r="CX9" i="3" s="1"/>
  <c r="DC9" i="3" s="1"/>
  <c r="DH9" i="3" s="1"/>
  <c r="AZ6" i="3"/>
  <c r="BE6" i="3" s="1"/>
  <c r="BJ6" i="3" s="1"/>
  <c r="BO6" i="3" s="1"/>
  <c r="BO17" i="2" s="1"/>
  <c r="BS8" i="3"/>
  <c r="BR8" i="3"/>
  <c r="BQ8" i="3"/>
  <c r="BP8" i="3"/>
  <c r="BS7" i="3"/>
  <c r="BR7" i="3"/>
  <c r="BQ7" i="3"/>
  <c r="BP7" i="3"/>
  <c r="BS6" i="3"/>
  <c r="BR6" i="3"/>
  <c r="BQ6" i="3"/>
  <c r="BV6" i="3" s="1"/>
  <c r="CA6" i="3" s="1"/>
  <c r="CF6" i="3" s="1"/>
  <c r="CK6" i="3" s="1"/>
  <c r="CP6" i="3" s="1"/>
  <c r="CU6" i="3" s="1"/>
  <c r="CZ6" i="3" s="1"/>
  <c r="DE6" i="3" s="1"/>
  <c r="BP6" i="3"/>
  <c r="CC9" i="3"/>
  <c r="CH9" i="3" s="1"/>
  <c r="CM9" i="3" s="1"/>
  <c r="CR9" i="3" s="1"/>
  <c r="CW9" i="3" s="1"/>
  <c r="DB9" i="3" s="1"/>
  <c r="DG9" i="3" s="1"/>
  <c r="BX9" i="3"/>
  <c r="BW9" i="3"/>
  <c r="CB9" i="3" s="1"/>
  <c r="CG9" i="3" s="1"/>
  <c r="CL9" i="3" s="1"/>
  <c r="CQ9" i="3" s="1"/>
  <c r="CV9" i="3" s="1"/>
  <c r="DA9" i="3" s="1"/>
  <c r="DF9" i="3" s="1"/>
  <c r="BV9" i="3"/>
  <c r="CA9" i="3" s="1"/>
  <c r="CF9" i="3" s="1"/>
  <c r="CK9" i="3" s="1"/>
  <c r="CP9" i="3" s="1"/>
  <c r="CU9" i="3" s="1"/>
  <c r="CZ9" i="3" s="1"/>
  <c r="DE9" i="3" s="1"/>
  <c r="BU9" i="3"/>
  <c r="BZ9" i="3" s="1"/>
  <c r="CE9" i="3" s="1"/>
  <c r="CJ9" i="3" s="1"/>
  <c r="CO9" i="3" s="1"/>
  <c r="CT9" i="3" s="1"/>
  <c r="CY9" i="3" s="1"/>
  <c r="DD9" i="3" s="1"/>
  <c r="DG8" i="3"/>
  <c r="DF8" i="3"/>
  <c r="DE8" i="3"/>
  <c r="DD8" i="3"/>
  <c r="DB8" i="3"/>
  <c r="DA8" i="3"/>
  <c r="CZ8" i="3"/>
  <c r="CY8" i="3"/>
  <c r="CW8" i="3"/>
  <c r="CV8" i="3"/>
  <c r="CU8" i="3"/>
  <c r="CT8" i="3"/>
  <c r="CR8" i="3"/>
  <c r="CQ8" i="3"/>
  <c r="CP8" i="3"/>
  <c r="CO8" i="3"/>
  <c r="CM8" i="3"/>
  <c r="CL8" i="3"/>
  <c r="CK8" i="3"/>
  <c r="CJ8" i="3"/>
  <c r="CH8" i="3"/>
  <c r="CG8" i="3"/>
  <c r="CF8" i="3"/>
  <c r="CE8" i="3"/>
  <c r="CC8" i="3"/>
  <c r="CB8" i="3"/>
  <c r="CA8" i="3"/>
  <c r="BZ8" i="3"/>
  <c r="BX8" i="3"/>
  <c r="BW8" i="3"/>
  <c r="BV8" i="3"/>
  <c r="BU8" i="3"/>
  <c r="DG7" i="3"/>
  <c r="DF7" i="3"/>
  <c r="DE7" i="3"/>
  <c r="DD7" i="3"/>
  <c r="DB7" i="3"/>
  <c r="DA7" i="3"/>
  <c r="CZ7" i="3"/>
  <c r="CY7" i="3"/>
  <c r="CW7" i="3"/>
  <c r="CV7" i="3"/>
  <c r="CU7" i="3"/>
  <c r="CT7" i="3"/>
  <c r="CR7" i="3"/>
  <c r="CQ7" i="3"/>
  <c r="CP7" i="3"/>
  <c r="CO7" i="3"/>
  <c r="CM7" i="3"/>
  <c r="CL7" i="3"/>
  <c r="CK7" i="3"/>
  <c r="CJ7" i="3"/>
  <c r="CH7" i="3"/>
  <c r="CG7" i="3"/>
  <c r="CF7" i="3"/>
  <c r="CE7" i="3"/>
  <c r="CC7" i="3"/>
  <c r="CB7" i="3"/>
  <c r="CA7" i="3"/>
  <c r="BZ7" i="3"/>
  <c r="BX7" i="3"/>
  <c r="BW7" i="3"/>
  <c r="BV7" i="3"/>
  <c r="BU7" i="3"/>
  <c r="CB6" i="3"/>
  <c r="CG6" i="3" s="1"/>
  <c r="CL6" i="3" s="1"/>
  <c r="CQ6" i="3" s="1"/>
  <c r="CV6" i="3" s="1"/>
  <c r="DA6" i="3" s="1"/>
  <c r="DF6" i="3" s="1"/>
  <c r="BW6" i="3"/>
  <c r="BU6" i="3"/>
  <c r="BZ6" i="3" s="1"/>
  <c r="CE6" i="3" s="1"/>
  <c r="CJ6" i="3" s="1"/>
  <c r="CO6" i="3" s="1"/>
  <c r="CT6" i="3" s="1"/>
  <c r="CY6" i="3" s="1"/>
  <c r="DD6" i="3" s="1"/>
  <c r="DG5" i="3"/>
  <c r="DF5" i="3"/>
  <c r="DE5" i="3"/>
  <c r="DD5" i="3"/>
  <c r="DB5" i="3"/>
  <c r="DA5" i="3"/>
  <c r="CZ5" i="3"/>
  <c r="CY5" i="3"/>
  <c r="CW5" i="3"/>
  <c r="CV5" i="3"/>
  <c r="CU5" i="3"/>
  <c r="CT5" i="3"/>
  <c r="CR5" i="3"/>
  <c r="CQ5" i="3"/>
  <c r="CP5" i="3"/>
  <c r="CO5" i="3"/>
  <c r="CM5" i="3"/>
  <c r="CL5" i="3"/>
  <c r="CK5" i="3"/>
  <c r="CJ5" i="3"/>
  <c r="CH5" i="3"/>
  <c r="CG5" i="3"/>
  <c r="CF5" i="3"/>
  <c r="CE5" i="3"/>
  <c r="CC5" i="3"/>
  <c r="CB5" i="3"/>
  <c r="CA5" i="3"/>
  <c r="BZ5" i="3"/>
  <c r="BX5" i="3"/>
  <c r="BW5" i="3"/>
  <c r="BV5" i="3"/>
  <c r="BU5" i="3"/>
  <c r="N6" i="3"/>
  <c r="O6" i="3" s="1"/>
  <c r="O5" i="3"/>
  <c r="N5" i="3"/>
  <c r="AG2" i="3"/>
  <c r="AL2" i="3" s="1"/>
  <c r="AQ2" i="3" s="1"/>
  <c r="AV2" i="3" s="1"/>
  <c r="BA2" i="3" s="1"/>
  <c r="BF2" i="3" s="1"/>
  <c r="BO2" i="3" s="1"/>
  <c r="BT2" i="3" s="1"/>
  <c r="BY2" i="3" s="1"/>
  <c r="CD2" i="3" s="1"/>
  <c r="CI2" i="3" s="1"/>
  <c r="CN2" i="3" s="1"/>
  <c r="CS2" i="3" s="1"/>
  <c r="CX2" i="3" s="1"/>
  <c r="DC2" i="3" s="1"/>
  <c r="DH2" i="3" s="1"/>
  <c r="M2" i="3"/>
  <c r="H2" i="3"/>
  <c r="CW65" i="2"/>
  <c r="DB65" i="2" s="1"/>
  <c r="DG65" i="2" s="1"/>
  <c r="CQ65" i="2"/>
  <c r="CV65" i="2" s="1"/>
  <c r="DA65" i="2" s="1"/>
  <c r="DF65" i="2" s="1"/>
  <c r="CM65" i="2"/>
  <c r="CR65" i="2" s="1"/>
  <c r="CL65" i="2"/>
  <c r="CK65" i="2"/>
  <c r="CP65" i="2" s="1"/>
  <c r="CU65" i="2" s="1"/>
  <c r="CZ65" i="2" s="1"/>
  <c r="DE65" i="2" s="1"/>
  <c r="CJ65" i="2"/>
  <c r="CO65" i="2" s="1"/>
  <c r="CT65" i="2" s="1"/>
  <c r="CY65" i="2" s="1"/>
  <c r="DD65" i="2" s="1"/>
  <c r="CC65" i="2"/>
  <c r="BW65" i="2"/>
  <c r="CB65" i="2" s="1"/>
  <c r="BS65" i="2"/>
  <c r="BX65" i="2" s="1"/>
  <c r="BR65" i="2"/>
  <c r="BQ65" i="2"/>
  <c r="BV65" i="2" s="1"/>
  <c r="CA65" i="2" s="1"/>
  <c r="BP65" i="2"/>
  <c r="BU65" i="2" s="1"/>
  <c r="BZ65" i="2" s="1"/>
  <c r="AO65" i="2"/>
  <c r="AN65" i="2"/>
  <c r="AM65" i="2"/>
  <c r="AL65" i="2"/>
  <c r="AZ65" i="2"/>
  <c r="BE65" i="2" s="1"/>
  <c r="BJ65" i="2" s="1"/>
  <c r="AP61" i="2"/>
  <c r="AP62" i="2" s="1"/>
  <c r="AK61" i="2"/>
  <c r="AF61" i="2"/>
  <c r="AF63" i="2" s="1"/>
  <c r="AA61" i="2"/>
  <c r="V61" i="2"/>
  <c r="V62" i="2" s="1"/>
  <c r="Q61" i="2"/>
  <c r="Q62" i="2" s="1"/>
  <c r="DA64" i="2"/>
  <c r="DF64" i="2" s="1"/>
  <c r="CW64" i="2"/>
  <c r="DB64" i="2" s="1"/>
  <c r="DG64" i="2" s="1"/>
  <c r="CV64" i="2"/>
  <c r="CU64" i="2"/>
  <c r="CZ64" i="2" s="1"/>
  <c r="DE64" i="2" s="1"/>
  <c r="CT64" i="2"/>
  <c r="CY64" i="2" s="1"/>
  <c r="DD64" i="2" s="1"/>
  <c r="AF45" i="2"/>
  <c r="AA45" i="2"/>
  <c r="V45" i="2"/>
  <c r="Q45" i="2"/>
  <c r="L45" i="2"/>
  <c r="G45" i="2"/>
  <c r="BI45" i="2"/>
  <c r="BH45" i="2"/>
  <c r="BG45" i="2"/>
  <c r="BF45" i="2"/>
  <c r="BD45" i="2"/>
  <c r="BC45" i="2"/>
  <c r="BB45" i="2"/>
  <c r="BA45" i="2"/>
  <c r="AY45" i="2"/>
  <c r="AX45" i="2"/>
  <c r="AW45" i="2"/>
  <c r="AV45" i="2"/>
  <c r="AT45" i="2"/>
  <c r="AS45" i="2"/>
  <c r="AR45" i="2"/>
  <c r="AQ45" i="2"/>
  <c r="AP45" i="2"/>
  <c r="AO45" i="2"/>
  <c r="AN45" i="2"/>
  <c r="AM45" i="2"/>
  <c r="AL45" i="2"/>
  <c r="AK45" i="2"/>
  <c r="AZ43" i="2"/>
  <c r="BE43" i="2" s="1"/>
  <c r="BJ43" i="2" s="1"/>
  <c r="BO43" i="2" s="1"/>
  <c r="BT43" i="2" s="1"/>
  <c r="BY43" i="2" s="1"/>
  <c r="CD43" i="2" s="1"/>
  <c r="CI43" i="2" s="1"/>
  <c r="CN43" i="2" s="1"/>
  <c r="CS43" i="2" s="1"/>
  <c r="CX43" i="2" s="1"/>
  <c r="DC43" i="2" s="1"/>
  <c r="DH43" i="2" s="1"/>
  <c r="AZ44" i="2"/>
  <c r="BE44" i="2" s="1"/>
  <c r="BJ44" i="2" s="1"/>
  <c r="BO44" i="2" s="1"/>
  <c r="BT44" i="2" s="1"/>
  <c r="BY44" i="2" s="1"/>
  <c r="CD44" i="2" s="1"/>
  <c r="CI44" i="2" s="1"/>
  <c r="CN44" i="2" s="1"/>
  <c r="CS44" i="2" s="1"/>
  <c r="CX44" i="2" s="1"/>
  <c r="DC44" i="2" s="1"/>
  <c r="DH44" i="2" s="1"/>
  <c r="AZ40" i="2"/>
  <c r="BE40" i="2" s="1"/>
  <c r="BJ40" i="2" s="1"/>
  <c r="BO40" i="2" s="1"/>
  <c r="BT40" i="2" s="1"/>
  <c r="BY40" i="2" s="1"/>
  <c r="CD40" i="2" s="1"/>
  <c r="CI40" i="2" s="1"/>
  <c r="CN40" i="2" s="1"/>
  <c r="CS40" i="2" s="1"/>
  <c r="CX40" i="2" s="1"/>
  <c r="DC40" i="2" s="1"/>
  <c r="DH40" i="2" s="1"/>
  <c r="AZ39" i="2"/>
  <c r="BE39" i="2" s="1"/>
  <c r="BJ39" i="2" s="1"/>
  <c r="BO39" i="2" s="1"/>
  <c r="BT39" i="2" s="1"/>
  <c r="BY39" i="2" s="1"/>
  <c r="CD39" i="2" s="1"/>
  <c r="CI39" i="2" s="1"/>
  <c r="CN39" i="2" s="1"/>
  <c r="CS39" i="2" s="1"/>
  <c r="CX39" i="2" s="1"/>
  <c r="DC39" i="2" s="1"/>
  <c r="DH39" i="2" s="1"/>
  <c r="AZ38" i="2"/>
  <c r="DG36" i="2"/>
  <c r="DF36" i="2"/>
  <c r="DE36" i="2"/>
  <c r="DD36" i="2"/>
  <c r="DB36" i="2"/>
  <c r="DA36" i="2"/>
  <c r="CZ36" i="2"/>
  <c r="CY36" i="2"/>
  <c r="CW36" i="2"/>
  <c r="CV36" i="2"/>
  <c r="CU36" i="2"/>
  <c r="CT36" i="2"/>
  <c r="CR36" i="2"/>
  <c r="CQ36" i="2"/>
  <c r="CP36" i="2"/>
  <c r="CO36" i="2"/>
  <c r="CM36" i="2"/>
  <c r="CL36" i="2"/>
  <c r="CK36" i="2"/>
  <c r="CJ36" i="2"/>
  <c r="CH36" i="2"/>
  <c r="CG36" i="2"/>
  <c r="CF36" i="2"/>
  <c r="CE36" i="2"/>
  <c r="CC36" i="2"/>
  <c r="CB36" i="2"/>
  <c r="CA36" i="2"/>
  <c r="BZ36" i="2"/>
  <c r="BX36" i="2"/>
  <c r="BW36" i="2"/>
  <c r="BV36" i="2"/>
  <c r="BU36" i="2"/>
  <c r="BS36" i="2"/>
  <c r="BR36" i="2"/>
  <c r="BQ36" i="2"/>
  <c r="BP36" i="2"/>
  <c r="AF35" i="2"/>
  <c r="AA35" i="2"/>
  <c r="V35" i="2"/>
  <c r="Q35" i="2"/>
  <c r="L35" i="2"/>
  <c r="G35" i="2"/>
  <c r="BI35" i="2"/>
  <c r="BH35" i="2"/>
  <c r="BG35" i="2"/>
  <c r="BF35" i="2"/>
  <c r="BD35" i="2"/>
  <c r="BC35" i="2"/>
  <c r="BB35" i="2"/>
  <c r="BA35" i="2"/>
  <c r="AY35" i="2"/>
  <c r="AX35" i="2"/>
  <c r="AW35" i="2"/>
  <c r="AV35" i="2"/>
  <c r="AT35" i="2"/>
  <c r="AS35" i="2"/>
  <c r="AR35" i="2"/>
  <c r="AQ35" i="2"/>
  <c r="AP35" i="2"/>
  <c r="AO35" i="2"/>
  <c r="AN35" i="2"/>
  <c r="AM35" i="2"/>
  <c r="AL35" i="2"/>
  <c r="AK35" i="2"/>
  <c r="AZ34" i="2"/>
  <c r="BE34" i="2" s="1"/>
  <c r="BJ34" i="2" s="1"/>
  <c r="BO34" i="2" s="1"/>
  <c r="BT34" i="2" s="1"/>
  <c r="BY34" i="2" s="1"/>
  <c r="CD34" i="2" s="1"/>
  <c r="CI34" i="2" s="1"/>
  <c r="CN34" i="2" s="1"/>
  <c r="CS34" i="2" s="1"/>
  <c r="CX34" i="2" s="1"/>
  <c r="DC34" i="2" s="1"/>
  <c r="DH34" i="2" s="1"/>
  <c r="AZ33" i="2"/>
  <c r="BE32" i="2"/>
  <c r="BJ32" i="2" s="1"/>
  <c r="BO32" i="2" s="1"/>
  <c r="BT32" i="2" s="1"/>
  <c r="BY32" i="2" s="1"/>
  <c r="CD32" i="2" s="1"/>
  <c r="CI32" i="2" s="1"/>
  <c r="CN32" i="2" s="1"/>
  <c r="CS32" i="2" s="1"/>
  <c r="CX32" i="2" s="1"/>
  <c r="DC32" i="2" s="1"/>
  <c r="DH32" i="2" s="1"/>
  <c r="AZ31" i="2"/>
  <c r="BE31" i="2" s="1"/>
  <c r="BJ31" i="2" s="1"/>
  <c r="BO31" i="2" s="1"/>
  <c r="BT31" i="2" s="1"/>
  <c r="BY31" i="2" s="1"/>
  <c r="CD31" i="2" s="1"/>
  <c r="CI31" i="2" s="1"/>
  <c r="CN31" i="2" s="1"/>
  <c r="CS31" i="2" s="1"/>
  <c r="CX31" i="2" s="1"/>
  <c r="DC31" i="2" s="1"/>
  <c r="DH31" i="2" s="1"/>
  <c r="AZ30" i="2"/>
  <c r="BE30" i="2" s="1"/>
  <c r="BJ30" i="2" s="1"/>
  <c r="BI28" i="2"/>
  <c r="BI36" i="2" s="1"/>
  <c r="BI46" i="2" s="1"/>
  <c r="BH28" i="2"/>
  <c r="BH36" i="2" s="1"/>
  <c r="BH46" i="2" s="1"/>
  <c r="BG28" i="2"/>
  <c r="BG36" i="2" s="1"/>
  <c r="BG46" i="2" s="1"/>
  <c r="BF28" i="2"/>
  <c r="BF36" i="2" s="1"/>
  <c r="BF46" i="2" s="1"/>
  <c r="BD28" i="2"/>
  <c r="BD36" i="2" s="1"/>
  <c r="BD46" i="2" s="1"/>
  <c r="BC28" i="2"/>
  <c r="BC36" i="2" s="1"/>
  <c r="BC46" i="2" s="1"/>
  <c r="BB28" i="2"/>
  <c r="BB36" i="2" s="1"/>
  <c r="BB46" i="2" s="1"/>
  <c r="BA28" i="2"/>
  <c r="BA36" i="2" s="1"/>
  <c r="BA46" i="2" s="1"/>
  <c r="AY28" i="2"/>
  <c r="AY36" i="2" s="1"/>
  <c r="AY46" i="2" s="1"/>
  <c r="AX28" i="2"/>
  <c r="AX36" i="2" s="1"/>
  <c r="AX46" i="2" s="1"/>
  <c r="AW28" i="2"/>
  <c r="AW36" i="2" s="1"/>
  <c r="AW46" i="2" s="1"/>
  <c r="AV28" i="2"/>
  <c r="AV36" i="2" s="1"/>
  <c r="AV46" i="2" s="1"/>
  <c r="AT28" i="2"/>
  <c r="AT36" i="2" s="1"/>
  <c r="AT46" i="2" s="1"/>
  <c r="AS28" i="2"/>
  <c r="AS36" i="2" s="1"/>
  <c r="AS46" i="2" s="1"/>
  <c r="AR28" i="2"/>
  <c r="AR36" i="2" s="1"/>
  <c r="AR46" i="2" s="1"/>
  <c r="AQ28" i="2"/>
  <c r="AQ36" i="2" s="1"/>
  <c r="AQ46" i="2" s="1"/>
  <c r="AP28" i="2"/>
  <c r="AP36" i="2" s="1"/>
  <c r="AP46" i="2" s="1"/>
  <c r="AO28" i="2"/>
  <c r="AO36" i="2" s="1"/>
  <c r="AO46" i="2" s="1"/>
  <c r="AN28" i="2"/>
  <c r="AN36" i="2" s="1"/>
  <c r="AN46" i="2" s="1"/>
  <c r="AM28" i="2"/>
  <c r="AM36" i="2" s="1"/>
  <c r="AM46" i="2" s="1"/>
  <c r="AL28" i="2"/>
  <c r="AL36" i="2" s="1"/>
  <c r="AL46" i="2" s="1"/>
  <c r="AK28" i="2"/>
  <c r="AK36" i="2" s="1"/>
  <c r="AK46" i="2" s="1"/>
  <c r="AF28" i="2"/>
  <c r="AF36" i="2" s="1"/>
  <c r="AF46" i="2" s="1"/>
  <c r="AA28" i="2"/>
  <c r="V28" i="2"/>
  <c r="V36" i="2" s="1"/>
  <c r="V46" i="2" s="1"/>
  <c r="Q28" i="2"/>
  <c r="L28" i="2"/>
  <c r="L36" i="2" s="1"/>
  <c r="L46" i="2" s="1"/>
  <c r="G28" i="2"/>
  <c r="AZ26" i="2"/>
  <c r="BE26" i="2" s="1"/>
  <c r="BJ26" i="2" s="1"/>
  <c r="BO26" i="2" s="1"/>
  <c r="BT26" i="2" s="1"/>
  <c r="BY26" i="2" s="1"/>
  <c r="CD26" i="2" s="1"/>
  <c r="CI26" i="2" s="1"/>
  <c r="CN26" i="2" s="1"/>
  <c r="CS26" i="2" s="1"/>
  <c r="CX26" i="2" s="1"/>
  <c r="DC26" i="2" s="1"/>
  <c r="DH26" i="2" s="1"/>
  <c r="AZ27" i="2"/>
  <c r="BE27" i="2" s="1"/>
  <c r="BJ27" i="2" s="1"/>
  <c r="BO27" i="2" s="1"/>
  <c r="BT27" i="2" s="1"/>
  <c r="BY27" i="2" s="1"/>
  <c r="CD27" i="2" s="1"/>
  <c r="CI27" i="2" s="1"/>
  <c r="CN27" i="2" s="1"/>
  <c r="CS27" i="2" s="1"/>
  <c r="CX27" i="2" s="1"/>
  <c r="DC27" i="2" s="1"/>
  <c r="DH27" i="2" s="1"/>
  <c r="AZ25" i="2"/>
  <c r="BE25" i="2" s="1"/>
  <c r="BJ25" i="2" s="1"/>
  <c r="BO25" i="2" s="1"/>
  <c r="BT25" i="2" s="1"/>
  <c r="BY25" i="2" s="1"/>
  <c r="CD25" i="2" s="1"/>
  <c r="CI25" i="2" s="1"/>
  <c r="CN25" i="2" s="1"/>
  <c r="CS25" i="2" s="1"/>
  <c r="CX25" i="2" s="1"/>
  <c r="DC25" i="2" s="1"/>
  <c r="DH25" i="2" s="1"/>
  <c r="AZ23" i="2"/>
  <c r="BE23" i="2" s="1"/>
  <c r="BJ23" i="2" s="1"/>
  <c r="BS23" i="2"/>
  <c r="BX23" i="2" s="1"/>
  <c r="CC23" i="2" s="1"/>
  <c r="CH23" i="2" s="1"/>
  <c r="CM23" i="2" s="1"/>
  <c r="CR23" i="2" s="1"/>
  <c r="CW23" i="2" s="1"/>
  <c r="DB23" i="2" s="1"/>
  <c r="DG23" i="2" s="1"/>
  <c r="DG16" i="3" s="1"/>
  <c r="BR23" i="2"/>
  <c r="BW23" i="2" s="1"/>
  <c r="BQ23" i="2"/>
  <c r="BV23" i="2" s="1"/>
  <c r="CA23" i="2" s="1"/>
  <c r="CF23" i="2" s="1"/>
  <c r="CK23" i="2" s="1"/>
  <c r="CP23" i="2" s="1"/>
  <c r="CU23" i="2" s="1"/>
  <c r="CZ23" i="2" s="1"/>
  <c r="DE23" i="2" s="1"/>
  <c r="BP23" i="2"/>
  <c r="BU23" i="2" s="1"/>
  <c r="BZ23" i="2" s="1"/>
  <c r="CE23" i="2" s="1"/>
  <c r="CJ23" i="2" s="1"/>
  <c r="CO23" i="2" s="1"/>
  <c r="CT23" i="2" s="1"/>
  <c r="CY23" i="2" s="1"/>
  <c r="DD23" i="2" s="1"/>
  <c r="DD16" i="3" s="1"/>
  <c r="DD12" i="3" s="1"/>
  <c r="BC21" i="2"/>
  <c r="BC48" i="2" s="1"/>
  <c r="DH16" i="2"/>
  <c r="DC16" i="2"/>
  <c r="CX16" i="2"/>
  <c r="CS16" i="2"/>
  <c r="CN16" i="2"/>
  <c r="CI16" i="2"/>
  <c r="CD16" i="2"/>
  <c r="BY16" i="2"/>
  <c r="BT16" i="2"/>
  <c r="BO16" i="2"/>
  <c r="BJ17" i="2"/>
  <c r="BJ16" i="2"/>
  <c r="BE16" i="2"/>
  <c r="AZ16" i="2"/>
  <c r="AZ15" i="2"/>
  <c r="BE15" i="2" s="1"/>
  <c r="BJ15" i="2" s="1"/>
  <c r="BO15" i="2" s="1"/>
  <c r="BT15" i="2" s="1"/>
  <c r="BY15" i="2" s="1"/>
  <c r="CD15" i="2" s="1"/>
  <c r="CI15" i="2" s="1"/>
  <c r="CN15" i="2" s="1"/>
  <c r="CS15" i="2" s="1"/>
  <c r="CX15" i="2" s="1"/>
  <c r="DC15" i="2" s="1"/>
  <c r="DH15" i="2" s="1"/>
  <c r="AZ20" i="2"/>
  <c r="BE20" i="2" s="1"/>
  <c r="BJ20" i="2" s="1"/>
  <c r="BO20" i="2" s="1"/>
  <c r="BT20" i="2" s="1"/>
  <c r="BY20" i="2" s="1"/>
  <c r="CD20" i="2" s="1"/>
  <c r="CI20" i="2" s="1"/>
  <c r="CN20" i="2" s="1"/>
  <c r="CS20" i="2" s="1"/>
  <c r="CX20" i="2" s="1"/>
  <c r="DC20" i="2" s="1"/>
  <c r="DH20" i="2" s="1"/>
  <c r="AZ19" i="2"/>
  <c r="BE19" i="2" s="1"/>
  <c r="BJ19" i="2" s="1"/>
  <c r="BO19" i="2" s="1"/>
  <c r="BT19" i="2" s="1"/>
  <c r="BY19" i="2" s="1"/>
  <c r="CD19" i="2" s="1"/>
  <c r="CI19" i="2" s="1"/>
  <c r="CN19" i="2" s="1"/>
  <c r="CS19" i="2" s="1"/>
  <c r="CX19" i="2" s="1"/>
  <c r="DC19" i="2" s="1"/>
  <c r="DH19" i="2" s="1"/>
  <c r="AU17" i="2"/>
  <c r="AU16" i="2"/>
  <c r="AZ14" i="2"/>
  <c r="BE14" i="2" s="1"/>
  <c r="BJ14" i="2" s="1"/>
  <c r="BO14" i="2" s="1"/>
  <c r="BT14" i="2" s="1"/>
  <c r="BY14" i="2" s="1"/>
  <c r="CD14" i="2" s="1"/>
  <c r="CI14" i="2" s="1"/>
  <c r="CN14" i="2" s="1"/>
  <c r="CS14" i="2" s="1"/>
  <c r="CX14" i="2" s="1"/>
  <c r="DC14" i="2" s="1"/>
  <c r="DH14" i="2" s="1"/>
  <c r="BW15" i="2"/>
  <c r="BW61" i="2" s="1"/>
  <c r="BS15" i="2"/>
  <c r="BX15" i="2" s="1"/>
  <c r="BR15" i="2"/>
  <c r="BR61" i="2" s="1"/>
  <c r="BQ15" i="2"/>
  <c r="BQ61" i="2" s="1"/>
  <c r="BP15" i="2"/>
  <c r="BP61" i="2" s="1"/>
  <c r="BP62" i="2" s="1"/>
  <c r="DG12" i="2"/>
  <c r="DF12" i="2"/>
  <c r="DE12" i="2"/>
  <c r="DD12" i="2"/>
  <c r="DB12" i="2"/>
  <c r="DA12" i="2"/>
  <c r="CZ12" i="2"/>
  <c r="CY12" i="2"/>
  <c r="CW12" i="2"/>
  <c r="CV12" i="2"/>
  <c r="CU12" i="2"/>
  <c r="CT12" i="2"/>
  <c r="CR12" i="2"/>
  <c r="CQ12" i="2"/>
  <c r="CP12" i="2"/>
  <c r="CO12" i="2"/>
  <c r="CM12" i="2"/>
  <c r="CL12" i="2"/>
  <c r="CK12" i="2"/>
  <c r="CJ12" i="2"/>
  <c r="CH12" i="2"/>
  <c r="CG12" i="2"/>
  <c r="CF12" i="2"/>
  <c r="CE12" i="2"/>
  <c r="CC12" i="2"/>
  <c r="CB12" i="2"/>
  <c r="CA12" i="2"/>
  <c r="BZ12" i="2"/>
  <c r="BX12" i="2"/>
  <c r="BX21" i="2" s="1"/>
  <c r="BW12" i="2"/>
  <c r="BV12" i="2"/>
  <c r="BU12" i="2"/>
  <c r="BS12" i="2"/>
  <c r="BS21" i="2" s="1"/>
  <c r="BR12" i="2"/>
  <c r="BR21" i="2" s="1"/>
  <c r="BQ12" i="2"/>
  <c r="BQ21" i="2" s="1"/>
  <c r="BP12" i="2"/>
  <c r="BP21" i="2" s="1"/>
  <c r="BI12" i="2"/>
  <c r="BI21" i="2" s="1"/>
  <c r="BI48" i="2" s="1"/>
  <c r="BH12" i="2"/>
  <c r="BH21" i="2" s="1"/>
  <c r="BH48" i="2" s="1"/>
  <c r="BG12" i="2"/>
  <c r="BG21" i="2" s="1"/>
  <c r="BF12" i="2"/>
  <c r="BF21" i="2" s="1"/>
  <c r="BF48" i="2" s="1"/>
  <c r="BD12" i="2"/>
  <c r="BD21" i="2" s="1"/>
  <c r="BD48" i="2" s="1"/>
  <c r="BC12" i="2"/>
  <c r="BB12" i="2"/>
  <c r="BB21" i="2" s="1"/>
  <c r="BB48" i="2" s="1"/>
  <c r="BA12" i="2"/>
  <c r="BA21" i="2" s="1"/>
  <c r="BA48" i="2" s="1"/>
  <c r="AY12" i="2"/>
  <c r="AY21" i="2" s="1"/>
  <c r="AX12" i="2"/>
  <c r="AX21" i="2" s="1"/>
  <c r="AW12" i="2"/>
  <c r="AW21" i="2" s="1"/>
  <c r="AW48" i="2" s="1"/>
  <c r="AV12" i="2"/>
  <c r="AV21" i="2" s="1"/>
  <c r="AT12" i="2"/>
  <c r="AT21" i="2" s="1"/>
  <c r="AS12" i="2"/>
  <c r="AS21" i="2" s="1"/>
  <c r="AS48" i="2" s="1"/>
  <c r="AR12" i="2"/>
  <c r="AR21" i="2" s="1"/>
  <c r="AQ12" i="2"/>
  <c r="AQ21" i="2" s="1"/>
  <c r="AP12" i="2"/>
  <c r="AP21" i="2" s="1"/>
  <c r="AO12" i="2"/>
  <c r="AO21" i="2" s="1"/>
  <c r="AO48" i="2" s="1"/>
  <c r="AN12" i="2"/>
  <c r="AN21" i="2" s="1"/>
  <c r="AM12" i="2"/>
  <c r="AM21" i="2" s="1"/>
  <c r="AL12" i="2"/>
  <c r="AL21" i="2" s="1"/>
  <c r="AK12" i="2"/>
  <c r="AK21" i="2" s="1"/>
  <c r="AK48" i="2" s="1"/>
  <c r="AF12" i="2"/>
  <c r="AF21" i="2" s="1"/>
  <c r="AE12" i="2"/>
  <c r="AD12" i="2"/>
  <c r="AC12" i="2"/>
  <c r="AB12" i="2"/>
  <c r="AA12" i="2"/>
  <c r="AA21" i="2" s="1"/>
  <c r="V12" i="2"/>
  <c r="V21" i="2" s="1"/>
  <c r="L12" i="2"/>
  <c r="L21" i="2" s="1"/>
  <c r="G12" i="2"/>
  <c r="G21" i="2" s="1"/>
  <c r="AZ9" i="2"/>
  <c r="BE9" i="2" s="1"/>
  <c r="BJ9" i="2" s="1"/>
  <c r="BO9" i="2" s="1"/>
  <c r="BT9" i="2" s="1"/>
  <c r="BY9" i="2" s="1"/>
  <c r="CD9" i="2" s="1"/>
  <c r="CI9" i="2" s="1"/>
  <c r="CN9" i="2" s="1"/>
  <c r="CS9" i="2" s="1"/>
  <c r="CX9" i="2" s="1"/>
  <c r="DC9" i="2" s="1"/>
  <c r="DH9" i="2" s="1"/>
  <c r="AZ11" i="2"/>
  <c r="BE11" i="2" s="1"/>
  <c r="BJ11" i="2" s="1"/>
  <c r="BO11" i="2" s="1"/>
  <c r="BT11" i="2" s="1"/>
  <c r="BY11" i="2" s="1"/>
  <c r="CD11" i="2" s="1"/>
  <c r="CI11" i="2" s="1"/>
  <c r="CN11" i="2" s="1"/>
  <c r="CS11" i="2" s="1"/>
  <c r="CX11" i="2" s="1"/>
  <c r="DC11" i="2" s="1"/>
  <c r="DH11" i="2" s="1"/>
  <c r="AZ10" i="2"/>
  <c r="BE10" i="2" s="1"/>
  <c r="BJ10" i="2" s="1"/>
  <c r="BO10" i="2" s="1"/>
  <c r="BT10" i="2" s="1"/>
  <c r="BY10" i="2" s="1"/>
  <c r="CD10" i="2" s="1"/>
  <c r="CI10" i="2" s="1"/>
  <c r="CN10" i="2" s="1"/>
  <c r="CS10" i="2" s="1"/>
  <c r="CX10" i="2" s="1"/>
  <c r="DC10" i="2" s="1"/>
  <c r="DH10" i="2" s="1"/>
  <c r="AZ8" i="2"/>
  <c r="BE8" i="2" s="1"/>
  <c r="BJ8" i="2" s="1"/>
  <c r="BO8" i="2" s="1"/>
  <c r="BT8" i="2" s="1"/>
  <c r="BY8" i="2" s="1"/>
  <c r="CD8" i="2" s="1"/>
  <c r="CI8" i="2" s="1"/>
  <c r="CN8" i="2" s="1"/>
  <c r="CS8" i="2" s="1"/>
  <c r="CX8" i="2" s="1"/>
  <c r="DC8" i="2" s="1"/>
  <c r="DH8" i="2" s="1"/>
  <c r="AZ7" i="2"/>
  <c r="BE7" i="2" s="1"/>
  <c r="BJ7" i="2" s="1"/>
  <c r="BO7" i="2" s="1"/>
  <c r="BT7" i="2" s="1"/>
  <c r="BY7" i="2" s="1"/>
  <c r="CD7" i="2" s="1"/>
  <c r="CI7" i="2" s="1"/>
  <c r="CN7" i="2" s="1"/>
  <c r="CS7" i="2" s="1"/>
  <c r="CX7" i="2" s="1"/>
  <c r="DC7" i="2" s="1"/>
  <c r="DH7" i="2" s="1"/>
  <c r="AZ5" i="2"/>
  <c r="BE5" i="2" s="1"/>
  <c r="BJ5" i="2" s="1"/>
  <c r="BO5" i="2" s="1"/>
  <c r="BT5" i="2" s="1"/>
  <c r="BY5" i="2" s="1"/>
  <c r="CD5" i="2" s="1"/>
  <c r="CI5" i="2" s="1"/>
  <c r="CN5" i="2" s="1"/>
  <c r="CS5" i="2" s="1"/>
  <c r="CX5" i="2" s="1"/>
  <c r="DC5" i="2" s="1"/>
  <c r="DH5" i="2" s="1"/>
  <c r="Q9" i="2"/>
  <c r="Q11" i="2" s="1"/>
  <c r="Q12" i="2" s="1"/>
  <c r="Q21" i="2" s="1"/>
  <c r="BT2" i="2"/>
  <c r="BY2" i="2" s="1"/>
  <c r="CD2" i="2" s="1"/>
  <c r="CI2" i="2" s="1"/>
  <c r="CN2" i="2" s="1"/>
  <c r="CS2" i="2" s="1"/>
  <c r="CX2" i="2" s="1"/>
  <c r="DC2" i="2" s="1"/>
  <c r="DH2" i="2" s="1"/>
  <c r="AG2" i="2"/>
  <c r="AL2" i="2" s="1"/>
  <c r="AQ2" i="2" s="1"/>
  <c r="AV2" i="2" s="1"/>
  <c r="BA2" i="2" s="1"/>
  <c r="BF2" i="2" s="1"/>
  <c r="H2" i="2"/>
  <c r="M2" i="2" s="1"/>
  <c r="BT50" i="13"/>
  <c r="BY50" i="13" s="1"/>
  <c r="CD50" i="13" s="1"/>
  <c r="CI50" i="13" s="1"/>
  <c r="CN50" i="13" s="1"/>
  <c r="CS50" i="13" s="1"/>
  <c r="CX50" i="13" s="1"/>
  <c r="DC50" i="13" s="1"/>
  <c r="DH50" i="13" s="1"/>
  <c r="AP51" i="13"/>
  <c r="AF51" i="13"/>
  <c r="AK51" i="13" s="1"/>
  <c r="AG51" i="13" s="1"/>
  <c r="AG50" i="13" s="1"/>
  <c r="AO50" i="13"/>
  <c r="AN50" i="13"/>
  <c r="AM50" i="13"/>
  <c r="AL50" i="13"/>
  <c r="AE50" i="13"/>
  <c r="AD50" i="13"/>
  <c r="AC50" i="13"/>
  <c r="AB50" i="13"/>
  <c r="Z50" i="13"/>
  <c r="U51" i="13"/>
  <c r="T51" i="13"/>
  <c r="S51" i="13"/>
  <c r="R51" i="13"/>
  <c r="P51" i="13"/>
  <c r="O51" i="13"/>
  <c r="N51" i="13"/>
  <c r="M51" i="13"/>
  <c r="K51" i="13"/>
  <c r="J51" i="13"/>
  <c r="I51" i="13"/>
  <c r="H51" i="13"/>
  <c r="G51" i="13"/>
  <c r="F51" i="13"/>
  <c r="E51" i="13"/>
  <c r="D51" i="13"/>
  <c r="C51" i="13"/>
  <c r="U50" i="13"/>
  <c r="T50" i="13"/>
  <c r="S50" i="13"/>
  <c r="R50" i="13"/>
  <c r="P50" i="13"/>
  <c r="O50" i="13"/>
  <c r="N50" i="13"/>
  <c r="M50" i="13"/>
  <c r="K50" i="13"/>
  <c r="J50" i="13"/>
  <c r="I50" i="13"/>
  <c r="H50" i="13"/>
  <c r="G50" i="13"/>
  <c r="F50" i="13"/>
  <c r="E50" i="13"/>
  <c r="D50" i="13"/>
  <c r="C50" i="13"/>
  <c r="AO40" i="13"/>
  <c r="AN40" i="13"/>
  <c r="AM40" i="13"/>
  <c r="AL40" i="13"/>
  <c r="AJ40" i="13"/>
  <c r="AI40" i="13"/>
  <c r="AH40" i="13"/>
  <c r="AG40" i="13"/>
  <c r="AE40" i="13"/>
  <c r="AA40" i="13"/>
  <c r="V40" i="13"/>
  <c r="Q40" i="13"/>
  <c r="L40" i="13"/>
  <c r="F40" i="13"/>
  <c r="E40" i="13"/>
  <c r="D40" i="13"/>
  <c r="C40" i="13"/>
  <c r="AQ39" i="13"/>
  <c r="AP39" i="13"/>
  <c r="AK39" i="13"/>
  <c r="AK38" i="13"/>
  <c r="AK37" i="13"/>
  <c r="AK36" i="13"/>
  <c r="AF38" i="13"/>
  <c r="AF37" i="13"/>
  <c r="AF36" i="13"/>
  <c r="AD39" i="13"/>
  <c r="AD40" i="13" s="1"/>
  <c r="AC39" i="13"/>
  <c r="AC40" i="13" s="1"/>
  <c r="AB39" i="13"/>
  <c r="AB40" i="13" s="1"/>
  <c r="Y39" i="13"/>
  <c r="Y40" i="13" s="1"/>
  <c r="X39" i="13"/>
  <c r="W39" i="13"/>
  <c r="W40" i="13" s="1"/>
  <c r="G39" i="13"/>
  <c r="G40" i="13" s="1"/>
  <c r="AP38" i="13"/>
  <c r="AP37" i="13"/>
  <c r="AP36" i="13"/>
  <c r="Z38" i="13"/>
  <c r="P42" i="6" s="1"/>
  <c r="Z36" i="13"/>
  <c r="X37" i="13"/>
  <c r="X40" i="13" s="1"/>
  <c r="AQ36" i="13"/>
  <c r="AQ32" i="13"/>
  <c r="AN32" i="13"/>
  <c r="AM32" i="13"/>
  <c r="AL32" i="13"/>
  <c r="AK32" i="13"/>
  <c r="AI32" i="13"/>
  <c r="AP31" i="13"/>
  <c r="AU32" i="13" s="1"/>
  <c r="AJ31" i="13"/>
  <c r="AJ30" i="13"/>
  <c r="AR32" i="13"/>
  <c r="AO30" i="13"/>
  <c r="AO32" i="13" s="1"/>
  <c r="BE25" i="13"/>
  <c r="BJ25" i="13" s="1"/>
  <c r="BO25" i="13" s="1"/>
  <c r="BT25" i="13" s="1"/>
  <c r="BY25" i="13" s="1"/>
  <c r="CD25" i="13" s="1"/>
  <c r="CI25" i="13" s="1"/>
  <c r="CN25" i="13" s="1"/>
  <c r="CS25" i="13" s="1"/>
  <c r="CX25" i="13" s="1"/>
  <c r="DC25" i="13" s="1"/>
  <c r="DH25" i="13" s="1"/>
  <c r="AQ26" i="13"/>
  <c r="AN26" i="13"/>
  <c r="AL26" i="13"/>
  <c r="AG26" i="13"/>
  <c r="AE26" i="13"/>
  <c r="AD26" i="13"/>
  <c r="AC26" i="13"/>
  <c r="AB26" i="13"/>
  <c r="Q25" i="13"/>
  <c r="Q26" i="13" s="1"/>
  <c r="L25" i="13"/>
  <c r="L26" i="13" s="1"/>
  <c r="G26" i="13"/>
  <c r="AJ25" i="13"/>
  <c r="AJ24" i="13"/>
  <c r="AJ23" i="13"/>
  <c r="AF25" i="13"/>
  <c r="AF24" i="13"/>
  <c r="AF23" i="13"/>
  <c r="AF22" i="13"/>
  <c r="Y25" i="13"/>
  <c r="Y26" i="13" s="1"/>
  <c r="X25" i="13"/>
  <c r="X26" i="13" s="1"/>
  <c r="W25" i="13"/>
  <c r="W26" i="13" s="1"/>
  <c r="V25" i="13"/>
  <c r="V26" i="13" s="1"/>
  <c r="E25" i="13"/>
  <c r="E26" i="13" s="1"/>
  <c r="D25" i="13"/>
  <c r="D26" i="13" s="1"/>
  <c r="C25" i="13"/>
  <c r="AO25" i="13"/>
  <c r="AP25" i="13" s="1"/>
  <c r="AO24" i="13"/>
  <c r="Z24" i="13"/>
  <c r="AP23" i="13"/>
  <c r="AI23" i="13"/>
  <c r="AH23" i="13"/>
  <c r="AH26" i="13" s="1"/>
  <c r="W23" i="13"/>
  <c r="Z23" i="13" s="1"/>
  <c r="AA22" i="13"/>
  <c r="AA26" i="13" s="1"/>
  <c r="AI26" i="13"/>
  <c r="AP20" i="13"/>
  <c r="AK20" i="13"/>
  <c r="AK19" i="13"/>
  <c r="AM19" i="13"/>
  <c r="O34" i="17" s="1"/>
  <c r="O36" i="17" s="1"/>
  <c r="O38" i="17" s="1"/>
  <c r="AF19" i="13"/>
  <c r="AS16" i="13"/>
  <c r="AR16" i="13"/>
  <c r="AQ16" i="13"/>
  <c r="AO16" i="13"/>
  <c r="AN16" i="13"/>
  <c r="AM16" i="13"/>
  <c r="AL16" i="13"/>
  <c r="AJ16" i="13"/>
  <c r="AI16" i="13"/>
  <c r="AH16" i="13"/>
  <c r="AG16" i="13"/>
  <c r="AE16" i="13"/>
  <c r="AD16" i="13"/>
  <c r="AD33" i="13" s="1"/>
  <c r="AD48" i="13" s="1"/>
  <c r="AC16" i="13"/>
  <c r="AB16" i="13"/>
  <c r="AA16" i="13"/>
  <c r="V16" i="13"/>
  <c r="Q16" i="13"/>
  <c r="L16" i="13"/>
  <c r="G16" i="13"/>
  <c r="F16" i="13"/>
  <c r="E16" i="13"/>
  <c r="D16" i="13"/>
  <c r="C16" i="13"/>
  <c r="AP15" i="13"/>
  <c r="AZ15" i="13" s="1"/>
  <c r="BE15" i="13" s="1"/>
  <c r="BJ15" i="13" s="1"/>
  <c r="BO15" i="13" s="1"/>
  <c r="BT15" i="13" s="1"/>
  <c r="BY15" i="13" s="1"/>
  <c r="CD15" i="13" s="1"/>
  <c r="CI15" i="13" s="1"/>
  <c r="CN15" i="13" s="1"/>
  <c r="CS15" i="13" s="1"/>
  <c r="CX15" i="13" s="1"/>
  <c r="DC15" i="13" s="1"/>
  <c r="DH15" i="13" s="1"/>
  <c r="AP14" i="13"/>
  <c r="AP13" i="13"/>
  <c r="AZ13" i="13" s="1"/>
  <c r="BE13" i="13" s="1"/>
  <c r="BJ13" i="13" s="1"/>
  <c r="BO13" i="13" s="1"/>
  <c r="BT13" i="13" s="1"/>
  <c r="BY13" i="13" s="1"/>
  <c r="CD13" i="13" s="1"/>
  <c r="CI13" i="13" s="1"/>
  <c r="CN13" i="13" s="1"/>
  <c r="CS13" i="13" s="1"/>
  <c r="CX13" i="13" s="1"/>
  <c r="DC13" i="13" s="1"/>
  <c r="DH13" i="13" s="1"/>
  <c r="AP12" i="13"/>
  <c r="AK15" i="13"/>
  <c r="AK14" i="13"/>
  <c r="AK13" i="13"/>
  <c r="AK12" i="13"/>
  <c r="AF15" i="13"/>
  <c r="AF14" i="13"/>
  <c r="AF13" i="13"/>
  <c r="AF12" i="13"/>
  <c r="Y15" i="13"/>
  <c r="X15" i="13"/>
  <c r="W15" i="13"/>
  <c r="Y14" i="13"/>
  <c r="X14" i="13"/>
  <c r="W14" i="13"/>
  <c r="Z12" i="13"/>
  <c r="K16" i="16" s="1"/>
  <c r="W7" i="13"/>
  <c r="U7" i="13"/>
  <c r="T7" i="13"/>
  <c r="S7" i="13"/>
  <c r="R7" i="13"/>
  <c r="P7" i="13"/>
  <c r="O7" i="13"/>
  <c r="N7" i="13"/>
  <c r="M7" i="13"/>
  <c r="L7" i="13"/>
  <c r="G7" i="13"/>
  <c r="F7" i="13"/>
  <c r="E7" i="13"/>
  <c r="D7" i="13"/>
  <c r="C7" i="13"/>
  <c r="AQ6" i="13"/>
  <c r="AQ7" i="13" s="1"/>
  <c r="AO6" i="13"/>
  <c r="AO7" i="13" s="1"/>
  <c r="AN6" i="13"/>
  <c r="AM6" i="13"/>
  <c r="AL6" i="13"/>
  <c r="AL7" i="13" s="1"/>
  <c r="AJ6" i="13"/>
  <c r="AI6" i="13"/>
  <c r="AH6" i="13"/>
  <c r="AH7" i="13" s="1"/>
  <c r="AG6" i="13"/>
  <c r="AG7" i="13" s="1"/>
  <c r="AF6" i="13"/>
  <c r="AA6" i="13"/>
  <c r="V6" i="13"/>
  <c r="V4" i="13"/>
  <c r="V7" i="13" s="1"/>
  <c r="Q6" i="13"/>
  <c r="Q4" i="13"/>
  <c r="J39" i="29" s="1"/>
  <c r="AP4" i="13"/>
  <c r="AK4" i="13"/>
  <c r="AE4" i="13"/>
  <c r="AE7" i="13" s="1"/>
  <c r="AD4" i="13"/>
  <c r="AD7" i="13" s="1"/>
  <c r="AC4" i="13"/>
  <c r="AC7" i="13" s="1"/>
  <c r="AB4" i="13"/>
  <c r="AB7" i="13" s="1"/>
  <c r="Z4" i="13"/>
  <c r="S39" i="29" s="1"/>
  <c r="Y4" i="13"/>
  <c r="Y7" i="13" s="1"/>
  <c r="X4" i="13"/>
  <c r="Q39" i="29" s="1"/>
  <c r="P92" i="1"/>
  <c r="O92" i="1"/>
  <c r="N92" i="1"/>
  <c r="M92" i="1"/>
  <c r="AE90" i="1"/>
  <c r="AD90" i="1"/>
  <c r="AC90" i="1"/>
  <c r="AB90" i="1"/>
  <c r="Z90" i="1"/>
  <c r="Y90" i="1"/>
  <c r="X90" i="1"/>
  <c r="W90" i="1"/>
  <c r="U90" i="1"/>
  <c r="T90" i="1"/>
  <c r="S90" i="1"/>
  <c r="R90" i="1"/>
  <c r="P90" i="1"/>
  <c r="O90" i="1"/>
  <c r="N90" i="1"/>
  <c r="M90" i="1"/>
  <c r="J94" i="1"/>
  <c r="I94" i="1"/>
  <c r="H94" i="1"/>
  <c r="J93" i="1"/>
  <c r="I93" i="1"/>
  <c r="H93" i="1"/>
  <c r="K92" i="1"/>
  <c r="J92" i="1"/>
  <c r="I92" i="1"/>
  <c r="H92" i="1"/>
  <c r="K90" i="1"/>
  <c r="J90" i="1"/>
  <c r="I90" i="1"/>
  <c r="H90" i="1"/>
  <c r="P82" i="1"/>
  <c r="O82" i="1"/>
  <c r="N82" i="1"/>
  <c r="M82" i="1"/>
  <c r="K82" i="1"/>
  <c r="J82" i="1"/>
  <c r="I82" i="1"/>
  <c r="H82" i="1"/>
  <c r="AP79" i="1"/>
  <c r="AP78" i="1"/>
  <c r="AP77" i="1"/>
  <c r="AI79" i="1"/>
  <c r="G79" i="1"/>
  <c r="E79" i="1"/>
  <c r="D79" i="1"/>
  <c r="C79" i="1"/>
  <c r="AU79" i="1"/>
  <c r="AU78" i="1"/>
  <c r="BI73" i="1"/>
  <c r="BH73" i="1"/>
  <c r="BG73" i="1"/>
  <c r="BF73" i="1"/>
  <c r="BD73" i="1"/>
  <c r="BC73" i="1"/>
  <c r="BB73" i="1"/>
  <c r="BA73" i="1"/>
  <c r="AU70" i="1"/>
  <c r="AP70" i="1"/>
  <c r="AF70" i="1"/>
  <c r="AA70" i="1"/>
  <c r="U70" i="1"/>
  <c r="AP68" i="1"/>
  <c r="AP67" i="1"/>
  <c r="AP66" i="1"/>
  <c r="AK68" i="1"/>
  <c r="AK67" i="1"/>
  <c r="AF68" i="1"/>
  <c r="AF67" i="1"/>
  <c r="AF66" i="1"/>
  <c r="AA67" i="1"/>
  <c r="AA66" i="1"/>
  <c r="V67" i="1"/>
  <c r="V66" i="1"/>
  <c r="Q67" i="1"/>
  <c r="Q66" i="1"/>
  <c r="AG66" i="1"/>
  <c r="AK66" i="1" s="1"/>
  <c r="AO65" i="1"/>
  <c r="AN65" i="1"/>
  <c r="AM65" i="1"/>
  <c r="AL65" i="1"/>
  <c r="AJ65" i="1"/>
  <c r="AI65" i="1"/>
  <c r="AH65" i="1"/>
  <c r="AE65" i="1"/>
  <c r="AD65" i="1"/>
  <c r="AC65" i="1"/>
  <c r="AB65" i="1"/>
  <c r="Z65" i="1"/>
  <c r="Y65" i="1"/>
  <c r="X65" i="1"/>
  <c r="W65" i="1"/>
  <c r="U65" i="1"/>
  <c r="T65" i="1"/>
  <c r="S65" i="1"/>
  <c r="R65" i="1"/>
  <c r="P65" i="1"/>
  <c r="Q65" i="1" s="1"/>
  <c r="AP63" i="1"/>
  <c r="AP62" i="1"/>
  <c r="AK62" i="1"/>
  <c r="AF62" i="1"/>
  <c r="AA62" i="1"/>
  <c r="V62" i="1"/>
  <c r="Q62" i="1"/>
  <c r="AK59" i="1"/>
  <c r="AK58" i="1"/>
  <c r="AF59" i="1"/>
  <c r="AF58" i="1"/>
  <c r="AP58" i="1"/>
  <c r="AA58" i="1"/>
  <c r="V58" i="1"/>
  <c r="Q58" i="1"/>
  <c r="AP55" i="1"/>
  <c r="AK55" i="1"/>
  <c r="AF55" i="1"/>
  <c r="AA55" i="1"/>
  <c r="V55" i="1"/>
  <c r="DG52" i="1"/>
  <c r="DF52" i="1"/>
  <c r="DE52" i="1"/>
  <c r="DD52" i="1"/>
  <c r="DB52" i="1"/>
  <c r="DA52" i="1"/>
  <c r="CZ52" i="1"/>
  <c r="CY52" i="1"/>
  <c r="CW52" i="1"/>
  <c r="CV52" i="1"/>
  <c r="CU52" i="1"/>
  <c r="CT52" i="1"/>
  <c r="CR52" i="1"/>
  <c r="CQ52" i="1"/>
  <c r="CP52" i="1"/>
  <c r="CO52" i="1"/>
  <c r="CM52" i="1"/>
  <c r="CL52" i="1"/>
  <c r="CK52" i="1"/>
  <c r="CJ52" i="1"/>
  <c r="CH52" i="1"/>
  <c r="CG52" i="1"/>
  <c r="CF52" i="1"/>
  <c r="CE52" i="1"/>
  <c r="CC52" i="1"/>
  <c r="CB52" i="1"/>
  <c r="CA52" i="1"/>
  <c r="BZ52" i="1"/>
  <c r="BX52" i="1"/>
  <c r="BW52" i="1"/>
  <c r="BV52" i="1"/>
  <c r="BU52" i="1"/>
  <c r="BS52" i="1"/>
  <c r="BR52" i="1"/>
  <c r="BQ52" i="1"/>
  <c r="BP52" i="1"/>
  <c r="BI52" i="1"/>
  <c r="BH52" i="1"/>
  <c r="BG52" i="1"/>
  <c r="BF52" i="1"/>
  <c r="BD52" i="1"/>
  <c r="BC52" i="1"/>
  <c r="BB52" i="1"/>
  <c r="BA52" i="1"/>
  <c r="DG46" i="1"/>
  <c r="DG47" i="1" s="1"/>
  <c r="DF46" i="1"/>
  <c r="DF47" i="1" s="1"/>
  <c r="DE46" i="1"/>
  <c r="DE47" i="1" s="1"/>
  <c r="DD46" i="1"/>
  <c r="DD47" i="1" s="1"/>
  <c r="DB46" i="1"/>
  <c r="DB47" i="1" s="1"/>
  <c r="DA46" i="1"/>
  <c r="DA47" i="1" s="1"/>
  <c r="CZ46" i="1"/>
  <c r="CZ47" i="1" s="1"/>
  <c r="CY46" i="1"/>
  <c r="CY47" i="1" s="1"/>
  <c r="CW46" i="1"/>
  <c r="CW47" i="1" s="1"/>
  <c r="CV46" i="1"/>
  <c r="CV47" i="1" s="1"/>
  <c r="CU46" i="1"/>
  <c r="CU47" i="1" s="1"/>
  <c r="CT46" i="1"/>
  <c r="CT47" i="1" s="1"/>
  <c r="CR46" i="1"/>
  <c r="CR47" i="1" s="1"/>
  <c r="CQ46" i="1"/>
  <c r="CQ47" i="1" s="1"/>
  <c r="CP46" i="1"/>
  <c r="CP47" i="1" s="1"/>
  <c r="CO46" i="1"/>
  <c r="CO47" i="1" s="1"/>
  <c r="CM46" i="1"/>
  <c r="CM47" i="1" s="1"/>
  <c r="CL46" i="1"/>
  <c r="CL47" i="1" s="1"/>
  <c r="CK46" i="1"/>
  <c r="CK47" i="1" s="1"/>
  <c r="CJ46" i="1"/>
  <c r="CJ47" i="1" s="1"/>
  <c r="CH46" i="1"/>
  <c r="CH47" i="1" s="1"/>
  <c r="CG46" i="1"/>
  <c r="CG47" i="1" s="1"/>
  <c r="CF46" i="1"/>
  <c r="CF47" i="1" s="1"/>
  <c r="CE46" i="1"/>
  <c r="CE47" i="1" s="1"/>
  <c r="CC46" i="1"/>
  <c r="CC47" i="1" s="1"/>
  <c r="CB46" i="1"/>
  <c r="CB47" i="1" s="1"/>
  <c r="CA46" i="1"/>
  <c r="CA47" i="1" s="1"/>
  <c r="BZ46" i="1"/>
  <c r="BZ47" i="1" s="1"/>
  <c r="BX46" i="1"/>
  <c r="BX47" i="1" s="1"/>
  <c r="BW46" i="1"/>
  <c r="BW47" i="1" s="1"/>
  <c r="BV46" i="1"/>
  <c r="BV47" i="1" s="1"/>
  <c r="BU46" i="1"/>
  <c r="BU47" i="1" s="1"/>
  <c r="BS46" i="1"/>
  <c r="BS47" i="1" s="1"/>
  <c r="BR46" i="1"/>
  <c r="BR47" i="1" s="1"/>
  <c r="BQ46" i="1"/>
  <c r="BQ47" i="1" s="1"/>
  <c r="BP46" i="1"/>
  <c r="BP47" i="1" s="1"/>
  <c r="DG45" i="1"/>
  <c r="DF45" i="1"/>
  <c r="DE45" i="1"/>
  <c r="DD45" i="1"/>
  <c r="DB45" i="1"/>
  <c r="DA45" i="1"/>
  <c r="CZ45" i="1"/>
  <c r="CY45" i="1"/>
  <c r="CW45" i="1"/>
  <c r="CV45" i="1"/>
  <c r="CU45" i="1"/>
  <c r="CT45" i="1"/>
  <c r="CR45" i="1"/>
  <c r="CQ45" i="1"/>
  <c r="CP45" i="1"/>
  <c r="CO45" i="1"/>
  <c r="CM45" i="1"/>
  <c r="CL45" i="1"/>
  <c r="CK45" i="1"/>
  <c r="CJ45" i="1"/>
  <c r="CH45" i="1"/>
  <c r="CG45" i="1"/>
  <c r="CF45" i="1"/>
  <c r="CE45" i="1"/>
  <c r="CC45" i="1"/>
  <c r="CB45" i="1"/>
  <c r="CA45" i="1"/>
  <c r="BZ45" i="1"/>
  <c r="BX45" i="1"/>
  <c r="BW45" i="1"/>
  <c r="BV45" i="1"/>
  <c r="BU45" i="1"/>
  <c r="BS45" i="1"/>
  <c r="BR45" i="1"/>
  <c r="BQ45" i="1"/>
  <c r="BP45" i="1"/>
  <c r="AQ44" i="1"/>
  <c r="AO44" i="1"/>
  <c r="AN44" i="1"/>
  <c r="AM44" i="1"/>
  <c r="AL44" i="1"/>
  <c r="AJ44" i="1"/>
  <c r="AI44" i="1"/>
  <c r="AH44" i="1"/>
  <c r="AG44" i="1"/>
  <c r="AE44" i="1"/>
  <c r="AD44" i="1"/>
  <c r="AC44" i="1"/>
  <c r="AB44" i="1"/>
  <c r="Z44" i="1"/>
  <c r="Y44" i="1"/>
  <c r="X44" i="1"/>
  <c r="W44" i="1"/>
  <c r="U44" i="1"/>
  <c r="T44" i="1"/>
  <c r="S44" i="1"/>
  <c r="R44" i="1"/>
  <c r="P44" i="1"/>
  <c r="O44" i="1"/>
  <c r="N44" i="1"/>
  <c r="M44" i="1"/>
  <c r="L44" i="1"/>
  <c r="AZ79" i="1" l="1"/>
  <c r="C22" i="34" s="1"/>
  <c r="BO65" i="2"/>
  <c r="BT65" i="2" s="1"/>
  <c r="BY65" i="2" s="1"/>
  <c r="CD65" i="2" s="1"/>
  <c r="CI65" i="2" s="1"/>
  <c r="CN65" i="2" s="1"/>
  <c r="CS65" i="2" s="1"/>
  <c r="CX65" i="2" s="1"/>
  <c r="DC65" i="2" s="1"/>
  <c r="DH65" i="2" s="1"/>
  <c r="BT6" i="3"/>
  <c r="BY6" i="3" s="1"/>
  <c r="BO15" i="3"/>
  <c r="CI15" i="3"/>
  <c r="DC15" i="3"/>
  <c r="DC17" i="3"/>
  <c r="BJ17" i="3"/>
  <c r="BO17" i="3"/>
  <c r="CI17" i="3"/>
  <c r="BE17" i="3"/>
  <c r="CD22" i="3"/>
  <c r="CX22" i="3"/>
  <c r="BJ22" i="3"/>
  <c r="AZ22" i="3"/>
  <c r="AK44" i="1"/>
  <c r="U38" i="6"/>
  <c r="W40" i="6" s="1"/>
  <c r="AG38" i="6"/>
  <c r="AH40" i="6" s="1"/>
  <c r="AK42" i="6"/>
  <c r="AB65" i="17"/>
  <c r="AA62" i="17"/>
  <c r="J12" i="44"/>
  <c r="BX54" i="17"/>
  <c r="BX56" i="17" s="1"/>
  <c r="D12" i="44"/>
  <c r="DG12" i="3"/>
  <c r="I12" i="44"/>
  <c r="CB23" i="2"/>
  <c r="BW16" i="3"/>
  <c r="BW12" i="3" s="1"/>
  <c r="AP4" i="24"/>
  <c r="AP6" i="24" s="1"/>
  <c r="E9" i="25"/>
  <c r="E11" i="25" s="1"/>
  <c r="BE33" i="2"/>
  <c r="AZ8" i="3"/>
  <c r="R34" i="29"/>
  <c r="P34" i="29"/>
  <c r="AG38" i="29"/>
  <c r="AE38" i="29"/>
  <c r="AB6" i="6" s="1"/>
  <c r="AU25" i="1"/>
  <c r="V21" i="16"/>
  <c r="M21" i="16"/>
  <c r="N21" i="16" s="1"/>
  <c r="O21" i="16" s="1"/>
  <c r="P21" i="16" s="1"/>
  <c r="H12" i="44"/>
  <c r="AZ24" i="2"/>
  <c r="BE24" i="2" s="1"/>
  <c r="BJ24" i="2" s="1"/>
  <c r="BO24" i="2" s="1"/>
  <c r="BT24" i="2" s="1"/>
  <c r="BY24" i="2" s="1"/>
  <c r="CD24" i="2" s="1"/>
  <c r="CI24" i="2" s="1"/>
  <c r="CN24" i="2" s="1"/>
  <c r="CS24" i="2" s="1"/>
  <c r="CX24" i="2" s="1"/>
  <c r="DC24" i="2" s="1"/>
  <c r="DH24" i="2" s="1"/>
  <c r="BS61" i="2"/>
  <c r="CS14" i="3"/>
  <c r="AZ14" i="3"/>
  <c r="BX25" i="3"/>
  <c r="AN28" i="16"/>
  <c r="AN29" i="16" s="1"/>
  <c r="AN31" i="16" s="1"/>
  <c r="N11" i="29"/>
  <c r="AG29" i="25"/>
  <c r="E11" i="44"/>
  <c r="E12" i="44" s="1"/>
  <c r="AK91" i="35"/>
  <c r="AU91" i="35"/>
  <c r="G14" i="35"/>
  <c r="AZ22" i="35"/>
  <c r="AZ92" i="35"/>
  <c r="F81" i="35"/>
  <c r="F80" i="35"/>
  <c r="F88" i="35" s="1"/>
  <c r="J80" i="35"/>
  <c r="J81" i="35"/>
  <c r="O25" i="35"/>
  <c r="O81" i="35"/>
  <c r="O80" i="35"/>
  <c r="O88" i="35" s="1"/>
  <c r="E23" i="35"/>
  <c r="I26" i="35"/>
  <c r="M26" i="35"/>
  <c r="Q26" i="35"/>
  <c r="U26" i="35"/>
  <c r="Y26" i="35"/>
  <c r="AC26" i="35"/>
  <c r="AG26" i="35"/>
  <c r="AG91" i="35"/>
  <c r="AG95" i="35" s="1"/>
  <c r="AG92" i="35"/>
  <c r="AO26" i="35"/>
  <c r="AO91" i="35"/>
  <c r="AO92" i="35"/>
  <c r="AT91" i="35"/>
  <c r="AT95" i="35" s="1"/>
  <c r="AT92" i="35"/>
  <c r="AX92" i="35"/>
  <c r="AX91" i="35"/>
  <c r="AX95" i="35" s="1"/>
  <c r="BC26" i="35"/>
  <c r="BC92" i="35"/>
  <c r="BC91" i="35"/>
  <c r="BC95" i="35" s="1"/>
  <c r="J72" i="35"/>
  <c r="J70" i="35"/>
  <c r="AS10" i="35" s="1"/>
  <c r="AS12" i="35" s="1"/>
  <c r="O18" i="3"/>
  <c r="AM48" i="2"/>
  <c r="AQ48" i="2"/>
  <c r="BP63" i="2"/>
  <c r="CD14" i="3"/>
  <c r="CX14" i="3"/>
  <c r="BT15" i="3"/>
  <c r="CN15" i="3"/>
  <c r="DH15" i="3"/>
  <c r="BR16" i="3"/>
  <c r="BR12" i="3" s="1"/>
  <c r="BV16" i="3"/>
  <c r="BV12" i="3" s="1"/>
  <c r="BZ16" i="3"/>
  <c r="BZ12" i="3" s="1"/>
  <c r="CH16" i="3"/>
  <c r="CH12" i="3" s="1"/>
  <c r="CP16" i="3"/>
  <c r="CP12" i="3" s="1"/>
  <c r="CT16" i="3"/>
  <c r="CT12" i="3" s="1"/>
  <c r="DB16" i="3"/>
  <c r="DB12" i="3" s="1"/>
  <c r="BT17" i="3"/>
  <c r="CN17" i="3"/>
  <c r="DH17" i="3"/>
  <c r="H38" i="3"/>
  <c r="L40" i="3"/>
  <c r="AP40" i="3"/>
  <c r="AU39" i="3" s="1"/>
  <c r="AZ15" i="3"/>
  <c r="BE14" i="3"/>
  <c r="BJ14" i="3"/>
  <c r="BS25" i="3"/>
  <c r="BO22" i="3"/>
  <c r="CI22" i="3"/>
  <c r="DC22" i="3"/>
  <c r="BP36" i="3"/>
  <c r="BU28" i="3"/>
  <c r="W6" i="22"/>
  <c r="N15" i="22"/>
  <c r="O15" i="22" s="1"/>
  <c r="BN19" i="6"/>
  <c r="BS19" i="6" s="1"/>
  <c r="BE169" i="17" s="1"/>
  <c r="U10" i="16"/>
  <c r="AN11" i="16"/>
  <c r="L9" i="17"/>
  <c r="L10" i="17" s="1"/>
  <c r="T5" i="29"/>
  <c r="Y5" i="29" s="1"/>
  <c r="AD5" i="29" s="1"/>
  <c r="AI5" i="29" s="1"/>
  <c r="AJ5" i="29" s="1"/>
  <c r="AK5" i="29" s="1"/>
  <c r="AL5" i="29" s="1"/>
  <c r="AM5" i="29" s="1"/>
  <c r="U6" i="24"/>
  <c r="H171" i="24"/>
  <c r="H198" i="24" s="1"/>
  <c r="R171" i="24"/>
  <c r="R198" i="24" s="1"/>
  <c r="AB171" i="24"/>
  <c r="AB198" i="24" s="1"/>
  <c r="H181" i="24"/>
  <c r="H199" i="24" s="1"/>
  <c r="R181" i="24"/>
  <c r="R199" i="24" s="1"/>
  <c r="AB181" i="24"/>
  <c r="AB199" i="24" s="1"/>
  <c r="F2" i="25"/>
  <c r="G2" i="25" s="1"/>
  <c r="E9" i="44"/>
  <c r="I9" i="44"/>
  <c r="F11" i="44"/>
  <c r="F12" i="44" s="1"/>
  <c r="L21" i="35"/>
  <c r="L81" i="35"/>
  <c r="AP22" i="35"/>
  <c r="AP26" i="35" s="1"/>
  <c r="G21" i="35"/>
  <c r="K25" i="35"/>
  <c r="K81" i="35"/>
  <c r="K80" i="35"/>
  <c r="P81" i="35"/>
  <c r="P80" i="35"/>
  <c r="P88" i="35" s="1"/>
  <c r="F23" i="35"/>
  <c r="J23" i="35"/>
  <c r="N23" i="35"/>
  <c r="R26" i="35"/>
  <c r="V26" i="35"/>
  <c r="Z26" i="35"/>
  <c r="AD26" i="35"/>
  <c r="AH26" i="35"/>
  <c r="AH92" i="35"/>
  <c r="AH91" i="35"/>
  <c r="AH95" i="35" s="1"/>
  <c r="AL92" i="35"/>
  <c r="AL91" i="35"/>
  <c r="AQ26" i="35"/>
  <c r="AQ92" i="35"/>
  <c r="AQ91" i="35"/>
  <c r="AY26" i="35"/>
  <c r="AY92" i="35"/>
  <c r="AY91" i="35"/>
  <c r="AY95" i="35" s="1"/>
  <c r="BD91" i="35"/>
  <c r="BD95" i="35" s="1"/>
  <c r="BD92" i="35"/>
  <c r="AQ40" i="13"/>
  <c r="AQ25" i="1"/>
  <c r="AY48" i="2"/>
  <c r="AF26" i="13"/>
  <c r="AF62" i="2"/>
  <c r="BS18" i="3"/>
  <c r="BO14" i="3"/>
  <c r="CI14" i="3"/>
  <c r="DC14" i="3"/>
  <c r="BY15" i="3"/>
  <c r="CS15" i="3"/>
  <c r="BS16" i="3"/>
  <c r="BS12" i="3" s="1"/>
  <c r="CA16" i="3"/>
  <c r="CA12" i="3" s="1"/>
  <c r="CE16" i="3"/>
  <c r="CE12" i="3" s="1"/>
  <c r="CM16" i="3"/>
  <c r="CM12" i="3" s="1"/>
  <c r="CU16" i="3"/>
  <c r="CU12" i="3" s="1"/>
  <c r="CY16" i="3"/>
  <c r="CY12" i="3" s="1"/>
  <c r="BY17" i="3"/>
  <c r="CS17" i="3"/>
  <c r="BE15" i="3"/>
  <c r="BJ15" i="3"/>
  <c r="J21" i="3"/>
  <c r="J25" i="3" s="1"/>
  <c r="O21" i="3"/>
  <c r="O25" i="3" s="1"/>
  <c r="BT22" i="3"/>
  <c r="CN22" i="3"/>
  <c r="DH22" i="3"/>
  <c r="H39" i="3"/>
  <c r="N4" i="22"/>
  <c r="O4" i="22" s="1"/>
  <c r="P4" i="22" s="1"/>
  <c r="M72" i="6"/>
  <c r="M25" i="6" s="1"/>
  <c r="N114" i="6"/>
  <c r="J15" i="16"/>
  <c r="K15" i="16" s="1"/>
  <c r="K14" i="16" s="1"/>
  <c r="AB37" i="17"/>
  <c r="AG37" i="17" s="1"/>
  <c r="AL37" i="17" s="1"/>
  <c r="AQ37" i="17" s="1"/>
  <c r="AV37" i="17" s="1"/>
  <c r="BA37" i="17" s="1"/>
  <c r="BF37" i="17" s="1"/>
  <c r="BK37" i="17" s="1"/>
  <c r="BP37" i="17" s="1"/>
  <c r="BU37" i="17" s="1"/>
  <c r="BZ37" i="17" s="1"/>
  <c r="CE37" i="17" s="1"/>
  <c r="CJ37" i="17" s="1"/>
  <c r="AG65" i="17"/>
  <c r="AG67" i="17" s="1"/>
  <c r="AG69" i="17" s="1"/>
  <c r="AG70" i="17" s="1"/>
  <c r="R113" i="17"/>
  <c r="M136" i="17"/>
  <c r="K11" i="29"/>
  <c r="M28" i="29"/>
  <c r="M33" i="29" s="1"/>
  <c r="K33" i="29"/>
  <c r="M34" i="29"/>
  <c r="K55" i="29"/>
  <c r="R54" i="29"/>
  <c r="Z69" i="29"/>
  <c r="AC69" i="29" s="1"/>
  <c r="AE69" i="29"/>
  <c r="O16" i="31"/>
  <c r="O32" i="31"/>
  <c r="J6" i="24"/>
  <c r="P6" i="24"/>
  <c r="P9" i="24" s="1"/>
  <c r="AD6" i="24"/>
  <c r="AJ6" i="24"/>
  <c r="AJ9" i="24" s="1"/>
  <c r="K11" i="24"/>
  <c r="K13" i="24" s="1"/>
  <c r="O11" i="24"/>
  <c r="O13" i="24" s="1"/>
  <c r="W11" i="24"/>
  <c r="W13" i="24" s="1"/>
  <c r="AE11" i="24"/>
  <c r="AE13" i="24" s="1"/>
  <c r="AI11" i="24"/>
  <c r="AI13" i="24" s="1"/>
  <c r="BB20" i="24"/>
  <c r="BG20" i="24"/>
  <c r="BL20" i="24"/>
  <c r="H54" i="24"/>
  <c r="M54" i="24"/>
  <c r="R54" i="24"/>
  <c r="W54" i="24"/>
  <c r="AB54" i="24"/>
  <c r="AG54" i="24"/>
  <c r="AL54" i="24"/>
  <c r="AG26" i="25"/>
  <c r="AG30" i="25"/>
  <c r="AG34" i="25"/>
  <c r="AG38" i="25"/>
  <c r="D6" i="26"/>
  <c r="D8" i="26" s="1"/>
  <c r="D10" i="26" s="1"/>
  <c r="F9" i="44"/>
  <c r="AP48" i="35"/>
  <c r="AP91" i="35"/>
  <c r="AZ7" i="35"/>
  <c r="AZ91" i="35"/>
  <c r="AZ95" i="35" s="1"/>
  <c r="AK7" i="35"/>
  <c r="BC11" i="35"/>
  <c r="BC12" i="35" s="1"/>
  <c r="BH16" i="35" s="1"/>
  <c r="AR12" i="35"/>
  <c r="Q81" i="35"/>
  <c r="AK92" i="35"/>
  <c r="AU92" i="35"/>
  <c r="D80" i="35"/>
  <c r="D88" i="35" s="1"/>
  <c r="D81" i="35"/>
  <c r="H81" i="35"/>
  <c r="H80" i="35"/>
  <c r="M25" i="35"/>
  <c r="M81" i="35"/>
  <c r="M80" i="35"/>
  <c r="M88" i="35" s="1"/>
  <c r="Q21" i="35"/>
  <c r="Q80" i="35" s="1"/>
  <c r="Q88" i="35" s="1"/>
  <c r="K26" i="35"/>
  <c r="O26" i="35"/>
  <c r="S26" i="35"/>
  <c r="W26" i="35"/>
  <c r="AA26" i="35"/>
  <c r="AE26" i="35"/>
  <c r="AI26" i="35"/>
  <c r="AI92" i="35"/>
  <c r="AI91" i="35"/>
  <c r="AI95" i="35" s="1"/>
  <c r="AM26" i="35"/>
  <c r="AM92" i="35"/>
  <c r="AM91" i="35"/>
  <c r="AM95" i="35" s="1"/>
  <c r="AR91" i="35"/>
  <c r="AR95" i="35" s="1"/>
  <c r="AR92" i="35"/>
  <c r="AV91" i="35"/>
  <c r="AV92" i="35"/>
  <c r="BA26" i="35"/>
  <c r="BA91" i="35"/>
  <c r="BA92" i="35"/>
  <c r="BE22" i="35"/>
  <c r="BE92" i="35" s="1"/>
  <c r="BI26" i="35"/>
  <c r="BI92" i="35"/>
  <c r="BI91" i="35"/>
  <c r="J71" i="35"/>
  <c r="AT10" i="35" s="1"/>
  <c r="BY14" i="3"/>
  <c r="AN7" i="13"/>
  <c r="AF16" i="13"/>
  <c r="AL33" i="13"/>
  <c r="AL48" i="13" s="1"/>
  <c r="BR63" i="2"/>
  <c r="N18" i="3"/>
  <c r="N38" i="3" s="1"/>
  <c r="BU18" i="3"/>
  <c r="BX6" i="3"/>
  <c r="CC6" i="3" s="1"/>
  <c r="CH6" i="3" s="1"/>
  <c r="CM6" i="3" s="1"/>
  <c r="CR6" i="3" s="1"/>
  <c r="CW6" i="3" s="1"/>
  <c r="DB6" i="3" s="1"/>
  <c r="DG6" i="3" s="1"/>
  <c r="BT14" i="3"/>
  <c r="CN14" i="3"/>
  <c r="DH14" i="3"/>
  <c r="CD15" i="3"/>
  <c r="CX15" i="3"/>
  <c r="BP16" i="3"/>
  <c r="BP12" i="3" s="1"/>
  <c r="BX16" i="3"/>
  <c r="BX12" i="3" s="1"/>
  <c r="CF16" i="3"/>
  <c r="CF12" i="3" s="1"/>
  <c r="CJ16" i="3"/>
  <c r="CJ12" i="3" s="1"/>
  <c r="CR16" i="3"/>
  <c r="CR12" i="3" s="1"/>
  <c r="CZ16" i="3"/>
  <c r="CZ12" i="3" s="1"/>
  <c r="CD17" i="3"/>
  <c r="CX17" i="3"/>
  <c r="P38" i="3"/>
  <c r="AF38" i="3"/>
  <c r="AF40" i="3" s="1"/>
  <c r="AZ17" i="3"/>
  <c r="BE16" i="3"/>
  <c r="BQ25" i="3"/>
  <c r="BV21" i="3"/>
  <c r="BV25" i="3" s="1"/>
  <c r="BY22" i="3"/>
  <c r="CS22" i="3"/>
  <c r="BE22" i="3"/>
  <c r="BR36" i="3"/>
  <c r="K35" i="3"/>
  <c r="BN32" i="6"/>
  <c r="BQ34" i="6"/>
  <c r="BF40" i="6"/>
  <c r="N72" i="6"/>
  <c r="N25" i="6" s="1"/>
  <c r="N24" i="6" s="1"/>
  <c r="R4" i="16"/>
  <c r="U4" i="16" s="1"/>
  <c r="H14" i="16"/>
  <c r="H13" i="16" s="1"/>
  <c r="H11" i="16" s="1"/>
  <c r="H10" i="16" s="1"/>
  <c r="AD28" i="16"/>
  <c r="O9" i="17"/>
  <c r="K9" i="17" s="1"/>
  <c r="K10" i="17" s="1"/>
  <c r="AG16" i="17"/>
  <c r="U53" i="17"/>
  <c r="V53" i="17" s="1"/>
  <c r="V54" i="17" s="1"/>
  <c r="V56" i="17" s="1"/>
  <c r="V58" i="17" s="1"/>
  <c r="V59" i="17" s="1"/>
  <c r="V72" i="17" s="1"/>
  <c r="O18" i="29"/>
  <c r="L33" i="29"/>
  <c r="S54" i="29"/>
  <c r="S53" i="29" s="1"/>
  <c r="O6" i="31"/>
  <c r="E6" i="24"/>
  <c r="Y6" i="24"/>
  <c r="D11" i="24"/>
  <c r="D13" i="24" s="1"/>
  <c r="L11" i="24"/>
  <c r="L13" i="24" s="1"/>
  <c r="P11" i="24"/>
  <c r="P13" i="24" s="1"/>
  <c r="T11" i="24"/>
  <c r="T13" i="24" s="1"/>
  <c r="X11" i="24"/>
  <c r="X13" i="24" s="1"/>
  <c r="AF11" i="24"/>
  <c r="AF13" i="24" s="1"/>
  <c r="AJ11" i="24"/>
  <c r="AJ13" i="24" s="1"/>
  <c r="H86" i="24"/>
  <c r="M86" i="24"/>
  <c r="R86" i="24"/>
  <c r="W86" i="24"/>
  <c r="AB86" i="24"/>
  <c r="AG86" i="24"/>
  <c r="AL86" i="24"/>
  <c r="H101" i="24"/>
  <c r="I146" i="24"/>
  <c r="R101" i="24"/>
  <c r="S146" i="24"/>
  <c r="AB101" i="24"/>
  <c r="AC146" i="24"/>
  <c r="AL101" i="24"/>
  <c r="AM146" i="24"/>
  <c r="AO102" i="24"/>
  <c r="H123" i="24"/>
  <c r="M123" i="24"/>
  <c r="R123" i="24"/>
  <c r="W123" i="24"/>
  <c r="AB123" i="24"/>
  <c r="AG123" i="24"/>
  <c r="AL123" i="24"/>
  <c r="E81" i="35"/>
  <c r="E80" i="35"/>
  <c r="E88" i="35" s="1"/>
  <c r="I25" i="35"/>
  <c r="I81" i="35"/>
  <c r="I80" i="35"/>
  <c r="N80" i="35"/>
  <c r="N81" i="35"/>
  <c r="AJ26" i="35"/>
  <c r="AJ91" i="35"/>
  <c r="AJ92" i="35"/>
  <c r="AN26" i="35"/>
  <c r="AN91" i="35"/>
  <c r="AN95" i="35" s="1"/>
  <c r="AN92" i="35"/>
  <c r="AS26" i="35"/>
  <c r="AS91" i="35"/>
  <c r="AS92" i="35"/>
  <c r="AW26" i="35"/>
  <c r="AW91" i="35"/>
  <c r="AW92" i="35"/>
  <c r="BB91" i="35"/>
  <c r="BB95" i="35" s="1"/>
  <c r="BB92" i="35"/>
  <c r="BF92" i="35"/>
  <c r="BF91" i="35"/>
  <c r="O23" i="35"/>
  <c r="O27" i="35" s="1"/>
  <c r="AP44" i="1"/>
  <c r="AB24" i="17"/>
  <c r="AA24" i="17" s="1"/>
  <c r="AA27" i="17" s="1"/>
  <c r="AA29" i="17" s="1"/>
  <c r="AJ104" i="6"/>
  <c r="BH26" i="35"/>
  <c r="BH91" i="35"/>
  <c r="BH92" i="35"/>
  <c r="BQ18" i="3"/>
  <c r="BW18" i="3"/>
  <c r="L13" i="25"/>
  <c r="Q7" i="13"/>
  <c r="W16" i="13"/>
  <c r="Z15" i="13"/>
  <c r="D33" i="13"/>
  <c r="Y16" i="13"/>
  <c r="AJ26" i="13"/>
  <c r="K38" i="6"/>
  <c r="L38" i="6" s="1"/>
  <c r="AF44" i="1"/>
  <c r="AV21" i="35"/>
  <c r="AV80" i="35" s="1"/>
  <c r="AV81" i="35"/>
  <c r="BB21" i="35"/>
  <c r="BB80" i="35" s="1"/>
  <c r="BC21" i="35"/>
  <c r="BC80" i="35" s="1"/>
  <c r="AR21" i="35"/>
  <c r="AR80" i="35" s="1"/>
  <c r="BG26" i="35"/>
  <c r="BG91" i="35"/>
  <c r="BG92" i="35"/>
  <c r="X7" i="13"/>
  <c r="AK16" i="13"/>
  <c r="AB33" i="13"/>
  <c r="AG33" i="13"/>
  <c r="AQ33" i="13"/>
  <c r="P38" i="6"/>
  <c r="R40" i="6" s="1"/>
  <c r="R39" i="29"/>
  <c r="V39" i="29"/>
  <c r="Z7" i="13"/>
  <c r="AP16" i="13"/>
  <c r="AC33" i="13"/>
  <c r="AC48" i="13" s="1"/>
  <c r="AC53" i="13" s="1"/>
  <c r="AP30" i="13"/>
  <c r="AP32" i="13" s="1"/>
  <c r="G10" i="16"/>
  <c r="R11" i="17"/>
  <c r="W39" i="29"/>
  <c r="AM7" i="13"/>
  <c r="AH33" i="13"/>
  <c r="AH48" i="13" s="1"/>
  <c r="V33" i="13"/>
  <c r="V48" i="13" s="1"/>
  <c r="L33" i="13"/>
  <c r="Z39" i="13"/>
  <c r="AK40" i="13"/>
  <c r="O39" i="29"/>
  <c r="X16" i="13"/>
  <c r="AA33" i="13"/>
  <c r="AE33" i="13"/>
  <c r="AN33" i="13"/>
  <c r="AJ32" i="13"/>
  <c r="K13" i="16"/>
  <c r="K11" i="16" s="1"/>
  <c r="U39" i="29"/>
  <c r="BE79" i="1"/>
  <c r="BE78" i="1" s="1"/>
  <c r="AV79" i="1"/>
  <c r="AZ78" i="1"/>
  <c r="AP65" i="1"/>
  <c r="AJ10" i="6"/>
  <c r="M19" i="6"/>
  <c r="N19" i="6" s="1"/>
  <c r="BR34" i="6"/>
  <c r="BW34" i="6"/>
  <c r="BL32" i="6"/>
  <c r="BL34" i="6" s="1"/>
  <c r="BH40" i="6"/>
  <c r="BL19" i="6"/>
  <c r="BP34" i="6"/>
  <c r="P16" i="30"/>
  <c r="M21" i="30"/>
  <c r="N21" i="30" s="1"/>
  <c r="O21" i="30" s="1"/>
  <c r="P21" i="30" s="1"/>
  <c r="Q21" i="30" s="1"/>
  <c r="R21" i="30" s="1"/>
  <c r="S21" i="30" s="1"/>
  <c r="N16" i="30"/>
  <c r="R16" i="30"/>
  <c r="W113" i="17"/>
  <c r="H113" i="17"/>
  <c r="M113" i="17"/>
  <c r="AZ62" i="1"/>
  <c r="AA65" i="1"/>
  <c r="CE18" i="3"/>
  <c r="V65" i="1"/>
  <c r="AF65" i="1"/>
  <c r="T83" i="17"/>
  <c r="J14" i="26"/>
  <c r="CJ10" i="17"/>
  <c r="S16" i="30"/>
  <c r="CT33" i="6"/>
  <c r="CT32" i="6" s="1"/>
  <c r="CT34" i="6" s="1"/>
  <c r="CO32" i="6"/>
  <c r="CO34" i="6" s="1"/>
  <c r="CV33" i="6"/>
  <c r="CV32" i="6" s="1"/>
  <c r="CV34" i="6" s="1"/>
  <c r="CQ32" i="6"/>
  <c r="CQ34" i="6" s="1"/>
  <c r="BI34" i="6"/>
  <c r="BM10" i="6"/>
  <c r="BM11" i="6" s="1"/>
  <c r="BM16" i="6" s="1"/>
  <c r="BG34" i="6"/>
  <c r="BS34" i="6"/>
  <c r="W93" i="6"/>
  <c r="AR169" i="17"/>
  <c r="AR170" i="17" s="1"/>
  <c r="AR172" i="17" s="1"/>
  <c r="AZ169" i="17"/>
  <c r="AZ170" i="17" s="1"/>
  <c r="AZ172" i="17" s="1"/>
  <c r="C169" i="17"/>
  <c r="AT169" i="17"/>
  <c r="AT170" i="17" s="1"/>
  <c r="AT172" i="17" s="1"/>
  <c r="O24" i="6"/>
  <c r="O28" i="6" s="1"/>
  <c r="BX34" i="6"/>
  <c r="BH34" i="6"/>
  <c r="BM32" i="6"/>
  <c r="BM34" i="6" s="1"/>
  <c r="U39" i="6"/>
  <c r="BI40" i="6"/>
  <c r="AJ39" i="6"/>
  <c r="BN34" i="6"/>
  <c r="AD39" i="6"/>
  <c r="BK39" i="6"/>
  <c r="BP39" i="6" s="1"/>
  <c r="BU39" i="6" s="1"/>
  <c r="BZ39" i="6" s="1"/>
  <c r="CE39" i="6" s="1"/>
  <c r="CJ39" i="6" s="1"/>
  <c r="CO39" i="6" s="1"/>
  <c r="CT39" i="6" s="1"/>
  <c r="T5" i="6"/>
  <c r="T8" i="6" s="1"/>
  <c r="BK10" i="6"/>
  <c r="BK11" i="6" s="1"/>
  <c r="BK16" i="6" s="1"/>
  <c r="BV34" i="6"/>
  <c r="BF34" i="6"/>
  <c r="BF42" i="6" s="1"/>
  <c r="BK32" i="6"/>
  <c r="BK34" i="6" s="1"/>
  <c r="R38" i="6"/>
  <c r="V38" i="6" s="1"/>
  <c r="Y39" i="6"/>
  <c r="BG40" i="6"/>
  <c r="BL38" i="6" s="1"/>
  <c r="BM39" i="6"/>
  <c r="BR39" i="6" s="1"/>
  <c r="BW39" i="6" s="1"/>
  <c r="CB39" i="6" s="1"/>
  <c r="CG39" i="6" s="1"/>
  <c r="CL39" i="6" s="1"/>
  <c r="CQ39" i="6" s="1"/>
  <c r="CV39" i="6" s="1"/>
  <c r="U72" i="6"/>
  <c r="U25" i="6" s="1"/>
  <c r="U24" i="6" s="1"/>
  <c r="W90" i="6"/>
  <c r="X72" i="6" s="1"/>
  <c r="X25" i="6" s="1"/>
  <c r="X24" i="6" s="1"/>
  <c r="AN21" i="35"/>
  <c r="AN80" i="35" s="1"/>
  <c r="AO14" i="35"/>
  <c r="AM14" i="35"/>
  <c r="R21" i="35"/>
  <c r="R81" i="35" s="1"/>
  <c r="AC14" i="35"/>
  <c r="S14" i="35"/>
  <c r="AD21" i="35"/>
  <c r="AD80" i="35" s="1"/>
  <c r="Z21" i="35"/>
  <c r="Z80" i="35" s="1"/>
  <c r="AE14" i="35"/>
  <c r="AI14" i="35"/>
  <c r="AH21" i="35"/>
  <c r="AH80" i="35" s="1"/>
  <c r="U14" i="35"/>
  <c r="Y14" i="35"/>
  <c r="M11" i="26"/>
  <c r="N11" i="26" s="1"/>
  <c r="N13" i="26" s="1"/>
  <c r="N15" i="26" s="1"/>
  <c r="J8" i="44"/>
  <c r="J9" i="44" s="1"/>
  <c r="AL21" i="35"/>
  <c r="AL80" i="35" s="1"/>
  <c r="AL14" i="35"/>
  <c r="T21" i="35"/>
  <c r="T81" i="35" s="1"/>
  <c r="T14" i="35"/>
  <c r="K7" i="44"/>
  <c r="K6" i="44"/>
  <c r="AU10" i="35"/>
  <c r="K5" i="44"/>
  <c r="K4" i="44"/>
  <c r="AS14" i="35"/>
  <c r="AS21" i="35"/>
  <c r="W14" i="35"/>
  <c r="AA12" i="35"/>
  <c r="W21" i="35"/>
  <c r="W80" i="35" s="1"/>
  <c r="AG14" i="35"/>
  <c r="AG21" i="35"/>
  <c r="AG80" i="35" s="1"/>
  <c r="AK12" i="35"/>
  <c r="AQ14" i="35"/>
  <c r="AQ21" i="35"/>
  <c r="AQ81" i="35" s="1"/>
  <c r="X21" i="35"/>
  <c r="X81" i="35" s="1"/>
  <c r="X14" i="35"/>
  <c r="AJ21" i="35"/>
  <c r="AJ81" i="35" s="1"/>
  <c r="AJ14" i="35"/>
  <c r="AB21" i="35"/>
  <c r="AB14" i="35"/>
  <c r="AF12" i="35"/>
  <c r="AT12" i="35"/>
  <c r="AX11" i="35"/>
  <c r="AX12" i="35" s="1"/>
  <c r="BA16" i="35"/>
  <c r="BA14" i="35"/>
  <c r="BF21" i="35"/>
  <c r="BF80" i="35" s="1"/>
  <c r="BJ12" i="35"/>
  <c r="V12" i="35"/>
  <c r="AW12" i="35"/>
  <c r="AP12" i="35"/>
  <c r="M7" i="44"/>
  <c r="M6" i="44"/>
  <c r="R14" i="35"/>
  <c r="Z14" i="35"/>
  <c r="AD14" i="35"/>
  <c r="AH14" i="35"/>
  <c r="BB14" i="35"/>
  <c r="BF14" i="35"/>
  <c r="L16" i="35"/>
  <c r="S21" i="35"/>
  <c r="S80" i="35" s="1"/>
  <c r="AE21" i="35"/>
  <c r="AE80" i="35" s="1"/>
  <c r="AI21" i="35"/>
  <c r="AI80" i="35" s="1"/>
  <c r="AM21" i="35"/>
  <c r="AM80" i="35" s="1"/>
  <c r="BG25" i="35"/>
  <c r="J27" i="35"/>
  <c r="BB23" i="35"/>
  <c r="BD26" i="35"/>
  <c r="BF23" i="35"/>
  <c r="K23" i="35"/>
  <c r="K27" i="35" s="1"/>
  <c r="BC23" i="35"/>
  <c r="BG23" i="35"/>
  <c r="Q25" i="35"/>
  <c r="AX26" i="35"/>
  <c r="J69" i="35"/>
  <c r="L8" i="44"/>
  <c r="BC14" i="35"/>
  <c r="AU11" i="35"/>
  <c r="Q16" i="35"/>
  <c r="AP47" i="35"/>
  <c r="AP49" i="35" s="1"/>
  <c r="AZ26" i="35"/>
  <c r="L14" i="35"/>
  <c r="AN14" i="35"/>
  <c r="AR14" i="35"/>
  <c r="AV14" i="35"/>
  <c r="BF16" i="35"/>
  <c r="U21" i="35"/>
  <c r="Y21" i="35"/>
  <c r="Y81" i="35" s="1"/>
  <c r="AC21" i="35"/>
  <c r="AC81" i="35" s="1"/>
  <c r="AO21" i="35"/>
  <c r="AO80" i="35" s="1"/>
  <c r="BA21" i="35"/>
  <c r="AR26" i="35"/>
  <c r="AV26" i="35"/>
  <c r="BE26" i="35"/>
  <c r="BJ26" i="35" s="1"/>
  <c r="I23" i="35"/>
  <c r="I27" i="35" s="1"/>
  <c r="M23" i="35"/>
  <c r="Q23" i="35"/>
  <c r="AS23" i="35"/>
  <c r="BI23" i="35"/>
  <c r="N26" i="35"/>
  <c r="AL26" i="35"/>
  <c r="AT26" i="35"/>
  <c r="BB26" i="35"/>
  <c r="AP7" i="35"/>
  <c r="BD11" i="35"/>
  <c r="BD12" i="35" s="1"/>
  <c r="BE12" i="35" s="1"/>
  <c r="Q14" i="35"/>
  <c r="AZ18" i="35"/>
  <c r="H25" i="35"/>
  <c r="J25" i="35"/>
  <c r="N25" i="35"/>
  <c r="P25" i="35"/>
  <c r="BH25" i="35"/>
  <c r="H23" i="35"/>
  <c r="H27" i="35" s="1"/>
  <c r="L23" i="35"/>
  <c r="P23" i="35"/>
  <c r="T23" i="35"/>
  <c r="T27" i="35" s="1"/>
  <c r="AN23" i="35"/>
  <c r="AR23" i="35"/>
  <c r="AV23" i="35"/>
  <c r="BH23" i="35"/>
  <c r="L15" i="26"/>
  <c r="K12" i="26"/>
  <c r="L14" i="26"/>
  <c r="E4" i="26"/>
  <c r="E6" i="26" s="1"/>
  <c r="E8" i="26" s="1"/>
  <c r="E10" i="26" s="1"/>
  <c r="F2" i="26"/>
  <c r="K14" i="26"/>
  <c r="J12" i="26"/>
  <c r="G4" i="25"/>
  <c r="G6" i="25" s="1"/>
  <c r="G9" i="25" s="1"/>
  <c r="G11" i="25" s="1"/>
  <c r="H2" i="25"/>
  <c r="F4" i="25"/>
  <c r="F6" i="25" s="1"/>
  <c r="F9" i="25" s="1"/>
  <c r="F11" i="25" s="1"/>
  <c r="N16" i="25"/>
  <c r="N15" i="25"/>
  <c r="N13" i="25"/>
  <c r="O12" i="25"/>
  <c r="M14" i="25"/>
  <c r="AG44" i="25"/>
  <c r="AH24" i="25"/>
  <c r="AG27" i="25"/>
  <c r="AG31" i="25"/>
  <c r="AG35" i="25"/>
  <c r="AG39" i="25"/>
  <c r="L15" i="25"/>
  <c r="B14" i="24"/>
  <c r="B9" i="24"/>
  <c r="B5" i="24"/>
  <c r="AK6" i="24"/>
  <c r="AL11" i="24"/>
  <c r="AL13" i="24" s="1"/>
  <c r="AN11" i="24"/>
  <c r="AN13" i="24" s="1"/>
  <c r="AN9" i="24"/>
  <c r="F9" i="24"/>
  <c r="J9" i="24"/>
  <c r="V9" i="24"/>
  <c r="Z9" i="24"/>
  <c r="AD9" i="24"/>
  <c r="AQ4" i="24"/>
  <c r="E9" i="24"/>
  <c r="G9" i="24"/>
  <c r="K9" i="24"/>
  <c r="O9" i="24"/>
  <c r="Q9" i="24"/>
  <c r="U9" i="24"/>
  <c r="Y9" i="24"/>
  <c r="AA9" i="24"/>
  <c r="AE9" i="24"/>
  <c r="AI9" i="24"/>
  <c r="AK9" i="24"/>
  <c r="AM9" i="24"/>
  <c r="AO9" i="24"/>
  <c r="BB21" i="24"/>
  <c r="BB23" i="24"/>
  <c r="BG21" i="24"/>
  <c r="BG23" i="24"/>
  <c r="BL21" i="24"/>
  <c r="BL23" i="24"/>
  <c r="BQ19" i="24"/>
  <c r="BV17" i="24"/>
  <c r="D55" i="24"/>
  <c r="H55" i="24" s="1"/>
  <c r="BV18" i="24"/>
  <c r="D102" i="24"/>
  <c r="F102" i="24"/>
  <c r="I102" i="24"/>
  <c r="K102" i="24"/>
  <c r="N102" i="24"/>
  <c r="P102" i="24"/>
  <c r="S102" i="24"/>
  <c r="U102" i="24"/>
  <c r="X102" i="24"/>
  <c r="Z102" i="24"/>
  <c r="AC102" i="24"/>
  <c r="AE102" i="24"/>
  <c r="AH102" i="24"/>
  <c r="AJ102" i="24"/>
  <c r="AN102" i="24"/>
  <c r="M101" i="24"/>
  <c r="W101" i="24"/>
  <c r="AG101" i="24"/>
  <c r="D146" i="24"/>
  <c r="H146" i="24" s="1"/>
  <c r="J146" i="24"/>
  <c r="M146" i="24" s="1"/>
  <c r="L146" i="24"/>
  <c r="N146" i="24"/>
  <c r="R146" i="24" s="1"/>
  <c r="T146" i="24"/>
  <c r="V146" i="24"/>
  <c r="X146" i="24"/>
  <c r="AB146" i="24" s="1"/>
  <c r="AD146" i="24"/>
  <c r="AF146" i="24"/>
  <c r="AH146" i="24"/>
  <c r="AL146" i="24" s="1"/>
  <c r="H149" i="24"/>
  <c r="D150" i="24"/>
  <c r="M149" i="24"/>
  <c r="I150" i="24"/>
  <c r="R149" i="24"/>
  <c r="N150" i="24"/>
  <c r="W149" i="24"/>
  <c r="S150" i="24"/>
  <c r="AB149" i="24"/>
  <c r="X150" i="24"/>
  <c r="AG149" i="24"/>
  <c r="AC150" i="24"/>
  <c r="I55" i="24"/>
  <c r="M55" i="24" s="1"/>
  <c r="N55" i="24"/>
  <c r="R55" i="24" s="1"/>
  <c r="S55" i="24"/>
  <c r="W55" i="24" s="1"/>
  <c r="X55" i="24"/>
  <c r="AB55" i="24" s="1"/>
  <c r="AC55" i="24"/>
  <c r="AG55" i="24" s="1"/>
  <c r="AH55" i="24"/>
  <c r="AL55" i="24" s="1"/>
  <c r="E102" i="24"/>
  <c r="G102" i="24"/>
  <c r="O102" i="24"/>
  <c r="Q102" i="24"/>
  <c r="Y102" i="24"/>
  <c r="AA102" i="24"/>
  <c r="AI102" i="24"/>
  <c r="AK102" i="24"/>
  <c r="AH150" i="24"/>
  <c r="M171" i="24"/>
  <c r="M198" i="24" s="1"/>
  <c r="M181" i="24"/>
  <c r="M199" i="24" s="1"/>
  <c r="W181" i="24"/>
  <c r="W199" i="24" s="1"/>
  <c r="AL171" i="24"/>
  <c r="AL198" i="24" s="1"/>
  <c r="AL181" i="24"/>
  <c r="AL199" i="24" s="1"/>
  <c r="D198" i="24"/>
  <c r="N198" i="24"/>
  <c r="X198" i="24"/>
  <c r="D199" i="24"/>
  <c r="N199" i="24"/>
  <c r="X199" i="24"/>
  <c r="W171" i="24"/>
  <c r="W198" i="24" s="1"/>
  <c r="AG171" i="24"/>
  <c r="AG198" i="24" s="1"/>
  <c r="AG181" i="24"/>
  <c r="AG199" i="24" s="1"/>
  <c r="U29" i="29"/>
  <c r="V29" i="29" s="1"/>
  <c r="W29" i="29" s="1"/>
  <c r="X29" i="29" s="1"/>
  <c r="P29" i="29"/>
  <c r="Z29" i="29"/>
  <c r="AA29" i="29" s="1"/>
  <c r="AB29" i="29" s="1"/>
  <c r="AC29" i="29" s="1"/>
  <c r="AE29" i="29" s="1"/>
  <c r="AF29" i="29" s="1"/>
  <c r="AG29" i="29" s="1"/>
  <c r="AH29" i="29" s="1"/>
  <c r="N27" i="30"/>
  <c r="P27" i="30"/>
  <c r="P53" i="30" s="1"/>
  <c r="R27" i="30"/>
  <c r="R53" i="30" s="1"/>
  <c r="O27" i="30"/>
  <c r="O53" i="30" s="1"/>
  <c r="Q27" i="30"/>
  <c r="Q53" i="30" s="1"/>
  <c r="S27" i="30"/>
  <c r="S53" i="30" s="1"/>
  <c r="K4" i="30"/>
  <c r="L12" i="30"/>
  <c r="O16" i="30"/>
  <c r="Q16" i="30"/>
  <c r="P26" i="30"/>
  <c r="L42" i="30"/>
  <c r="O54" i="30"/>
  <c r="P52" i="30"/>
  <c r="J14" i="29"/>
  <c r="J15" i="29" s="1"/>
  <c r="J26" i="29"/>
  <c r="J36" i="29" s="1"/>
  <c r="G5" i="6" s="1"/>
  <c r="F5" i="6" s="1"/>
  <c r="F8" i="6" s="1"/>
  <c r="AA22" i="29"/>
  <c r="AB22" i="29" s="1"/>
  <c r="AC22" i="29" s="1"/>
  <c r="AB30" i="29"/>
  <c r="AA32" i="29"/>
  <c r="AA31" i="29"/>
  <c r="U28" i="29"/>
  <c r="V21" i="29"/>
  <c r="AA23" i="29"/>
  <c r="AB23" i="29" s="1"/>
  <c r="AC23" i="29" s="1"/>
  <c r="G8" i="6"/>
  <c r="U12" i="29"/>
  <c r="X31" i="29"/>
  <c r="H11" i="29"/>
  <c r="H13" i="29" s="1"/>
  <c r="G8" i="29"/>
  <c r="O11" i="29"/>
  <c r="O13" i="29" s="1"/>
  <c r="T8" i="29"/>
  <c r="P8" i="29" s="1"/>
  <c r="O7" i="29"/>
  <c r="M11" i="29"/>
  <c r="L11" i="29"/>
  <c r="AB19" i="29"/>
  <c r="A54" i="29"/>
  <c r="U53" i="29" s="1"/>
  <c r="Z18" i="29"/>
  <c r="Z20" i="29" s="1"/>
  <c r="U18" i="29"/>
  <c r="U33" i="29"/>
  <c r="AF27" i="29"/>
  <c r="W32" i="29"/>
  <c r="W31" i="29"/>
  <c r="V31" i="29"/>
  <c r="V32" i="29"/>
  <c r="Y34" i="29"/>
  <c r="S34" i="29"/>
  <c r="Q34" i="29"/>
  <c r="X62" i="29"/>
  <c r="V62" i="29"/>
  <c r="U62" i="29"/>
  <c r="AD62" i="29" s="1"/>
  <c r="W62" i="29"/>
  <c r="J7" i="29"/>
  <c r="R10" i="29"/>
  <c r="K13" i="29"/>
  <c r="K26" i="29" s="1"/>
  <c r="L12" i="29"/>
  <c r="N22" i="29"/>
  <c r="N21" i="29"/>
  <c r="Z32" i="29"/>
  <c r="Z31" i="29"/>
  <c r="X32" i="29"/>
  <c r="U31" i="29"/>
  <c r="AJ38" i="29"/>
  <c r="AF38" i="29"/>
  <c r="AH38" i="29" s="1"/>
  <c r="P40" i="29"/>
  <c r="T48" i="29"/>
  <c r="R55" i="29"/>
  <c r="R53" i="29" s="1"/>
  <c r="Q53" i="29"/>
  <c r="O45" i="29"/>
  <c r="Y45" i="29"/>
  <c r="AJ69" i="29"/>
  <c r="AK69" i="29" s="1"/>
  <c r="AL69" i="29" s="1"/>
  <c r="AM69" i="29" s="1"/>
  <c r="AF69" i="29"/>
  <c r="AH69" i="29" s="1"/>
  <c r="CF53" i="17"/>
  <c r="CF54" i="17" s="1"/>
  <c r="CF56" i="17" s="1"/>
  <c r="CA54" i="17"/>
  <c r="CA56" i="17" s="1"/>
  <c r="H36" i="17"/>
  <c r="H38" i="17" s="1"/>
  <c r="H138" i="17"/>
  <c r="AV18" i="17"/>
  <c r="AQ16" i="17"/>
  <c r="AC104" i="6"/>
  <c r="AG10" i="17"/>
  <c r="AL10" i="17"/>
  <c r="AQ10" i="17"/>
  <c r="AV10" i="17"/>
  <c r="BA10" i="17"/>
  <c r="BF10" i="17"/>
  <c r="BK10" i="17"/>
  <c r="BP10" i="17"/>
  <c r="BU10" i="17"/>
  <c r="BZ10" i="17"/>
  <c r="CE10" i="17"/>
  <c r="CM13" i="17"/>
  <c r="AL16" i="17"/>
  <c r="Q24" i="17"/>
  <c r="O27" i="17"/>
  <c r="Q27" i="17"/>
  <c r="N27" i="17"/>
  <c r="AB26" i="17"/>
  <c r="W27" i="17"/>
  <c r="S26" i="17"/>
  <c r="N36" i="17"/>
  <c r="N38" i="17" s="1"/>
  <c r="P36" i="17"/>
  <c r="P38" i="17" s="1"/>
  <c r="BZ62" i="17"/>
  <c r="BZ51" i="17"/>
  <c r="CI106" i="6"/>
  <c r="BV54" i="17"/>
  <c r="BV56" i="17" s="1"/>
  <c r="S54" i="17"/>
  <c r="S56" i="17" s="1"/>
  <c r="S58" i="17" s="1"/>
  <c r="S59" i="17" s="1"/>
  <c r="S72" i="17" s="1"/>
  <c r="O74" i="17"/>
  <c r="O76" i="17" s="1"/>
  <c r="AV94" i="17"/>
  <c r="AB113" i="17"/>
  <c r="AG1" i="17"/>
  <c r="N12" i="17"/>
  <c r="N15" i="17" s="1"/>
  <c r="Q7" i="17"/>
  <c r="P12" i="17"/>
  <c r="P15" i="17" s="1"/>
  <c r="S9" i="17"/>
  <c r="O10" i="17"/>
  <c r="O12" i="17" s="1"/>
  <c r="O15" i="17" s="1"/>
  <c r="W10" i="17"/>
  <c r="W12" i="17" s="1"/>
  <c r="AB10" i="17"/>
  <c r="AB12" i="17" s="1"/>
  <c r="AB14" i="17" s="1"/>
  <c r="AB15" i="17" s="1"/>
  <c r="AB20" i="17" s="1"/>
  <c r="M31" i="17"/>
  <c r="L29" i="17"/>
  <c r="J38" i="17"/>
  <c r="J110" i="17" s="1"/>
  <c r="L38" i="17"/>
  <c r="L110" i="17" s="1"/>
  <c r="CG53" i="17"/>
  <c r="CG54" i="17" s="1"/>
  <c r="CG56" i="17" s="1"/>
  <c r="CB54" i="17"/>
  <c r="CB56" i="17" s="1"/>
  <c r="CI53" i="17"/>
  <c r="CI54" i="17" s="1"/>
  <c r="CI56" i="17" s="1"/>
  <c r="CD54" i="17"/>
  <c r="CD56" i="17" s="1"/>
  <c r="CC54" i="17"/>
  <c r="CC56" i="17" s="1"/>
  <c r="AQ53" i="17"/>
  <c r="AL54" i="17"/>
  <c r="AL56" i="17" s="1"/>
  <c r="AL58" i="17" s="1"/>
  <c r="AL59" i="17" s="1"/>
  <c r="AG54" i="17"/>
  <c r="AG56" i="17" s="1"/>
  <c r="AG58" i="17" s="1"/>
  <c r="AG59" i="17" s="1"/>
  <c r="W74" i="17"/>
  <c r="W76" i="17" s="1"/>
  <c r="AQ64" i="17"/>
  <c r="AL65" i="17"/>
  <c r="AL67" i="17" s="1"/>
  <c r="AL69" i="17" s="1"/>
  <c r="AL70" i="17" s="1"/>
  <c r="AL72" i="17" s="1"/>
  <c r="S102" i="17"/>
  <c r="P104" i="17"/>
  <c r="P106" i="17" s="1"/>
  <c r="AL83" i="17"/>
  <c r="N104" i="17"/>
  <c r="N106" i="17" s="1"/>
  <c r="O104" i="17"/>
  <c r="O106" i="17" s="1"/>
  <c r="AG145" i="17"/>
  <c r="AG133" i="17" s="1"/>
  <c r="AL144" i="17"/>
  <c r="H130" i="17"/>
  <c r="AL157" i="17"/>
  <c r="AL135" i="17" s="1"/>
  <c r="AQ156" i="17"/>
  <c r="R10" i="17"/>
  <c r="R12" i="17" s="1"/>
  <c r="R14" i="17" s="1"/>
  <c r="R15" i="17" s="1"/>
  <c r="R21" i="17" s="1"/>
  <c r="AG11" i="17"/>
  <c r="T56" i="17"/>
  <c r="T58" i="17" s="1"/>
  <c r="T59" i="17" s="1"/>
  <c r="T72" i="17" s="1"/>
  <c r="BW54" i="17"/>
  <c r="BW56" i="17" s="1"/>
  <c r="BY54" i="17"/>
  <c r="BY56" i="17" s="1"/>
  <c r="AB67" i="17"/>
  <c r="AB69" i="17" s="1"/>
  <c r="AB70" i="17" s="1"/>
  <c r="AB72" i="17" s="1"/>
  <c r="R72" i="17"/>
  <c r="R76" i="17" s="1"/>
  <c r="T84" i="17"/>
  <c r="T86" i="17" s="1"/>
  <c r="T88" i="17" s="1"/>
  <c r="T89" i="17" s="1"/>
  <c r="T102" i="17" s="1"/>
  <c r="U83" i="17"/>
  <c r="U94" i="17" s="1"/>
  <c r="U95" i="17" s="1"/>
  <c r="U97" i="17" s="1"/>
  <c r="U99" i="17" s="1"/>
  <c r="U100" i="17" s="1"/>
  <c r="M106" i="17"/>
  <c r="H163" i="17"/>
  <c r="H106" i="17"/>
  <c r="AB159" i="17"/>
  <c r="W136" i="17"/>
  <c r="AW170" i="17"/>
  <c r="AW172" i="17" s="1"/>
  <c r="BE170" i="17"/>
  <c r="BE172" i="17" s="1"/>
  <c r="AQ151" i="17"/>
  <c r="AQ134" i="17" s="1"/>
  <c r="BA151" i="17"/>
  <c r="BA134" i="17" s="1"/>
  <c r="BK151" i="17"/>
  <c r="BK134" i="17" s="1"/>
  <c r="H28" i="16"/>
  <c r="H27" i="16"/>
  <c r="M114" i="6"/>
  <c r="Z4" i="16"/>
  <c r="O28" i="16"/>
  <c r="O29" i="16" s="1"/>
  <c r="O31" i="16" s="1"/>
  <c r="O27" i="16"/>
  <c r="T114" i="6"/>
  <c r="T116" i="6" s="1"/>
  <c r="R8" i="16"/>
  <c r="AA8" i="16"/>
  <c r="AF8" i="16" s="1"/>
  <c r="AK8" i="16" s="1"/>
  <c r="AP8" i="16" s="1"/>
  <c r="AU8" i="16" s="1"/>
  <c r="L27" i="16"/>
  <c r="Q114" i="6"/>
  <c r="L28" i="16"/>
  <c r="M19" i="16"/>
  <c r="N19" i="16" s="1"/>
  <c r="O19" i="16" s="1"/>
  <c r="P19" i="16" s="1"/>
  <c r="M23" i="16"/>
  <c r="Q23" i="16" s="1"/>
  <c r="Q20" i="16"/>
  <c r="Q19" i="16" s="1"/>
  <c r="N116" i="6"/>
  <c r="R116" i="6"/>
  <c r="AA5" i="16"/>
  <c r="P4" i="16"/>
  <c r="P6" i="16" s="1"/>
  <c r="AF4" i="16"/>
  <c r="AM28" i="16"/>
  <c r="AM29" i="16" s="1"/>
  <c r="AM31" i="16" s="1"/>
  <c r="AM11" i="16"/>
  <c r="AO28" i="16"/>
  <c r="AO11" i="16"/>
  <c r="AQ28" i="16"/>
  <c r="AQ11" i="16"/>
  <c r="AA9" i="16"/>
  <c r="H9" i="16"/>
  <c r="I10" i="16"/>
  <c r="AF10" i="16"/>
  <c r="AK10" i="16" s="1"/>
  <c r="AP10" i="16" s="1"/>
  <c r="AU10" i="16" s="1"/>
  <c r="AC11" i="16"/>
  <c r="AE11" i="16"/>
  <c r="AG11" i="16"/>
  <c r="AE27" i="16"/>
  <c r="AI27" i="16"/>
  <c r="AM27" i="16"/>
  <c r="AQ27" i="16"/>
  <c r="AY27" i="16"/>
  <c r="X35" i="16"/>
  <c r="O116" i="6"/>
  <c r="S116" i="6"/>
  <c r="K4" i="16"/>
  <c r="K6" i="16" s="1"/>
  <c r="X4" i="16"/>
  <c r="V5" i="16"/>
  <c r="J28" i="16"/>
  <c r="J27" i="16"/>
  <c r="N28" i="16"/>
  <c r="N27" i="16"/>
  <c r="AB28" i="16"/>
  <c r="AB27" i="16"/>
  <c r="AH28" i="16"/>
  <c r="AH27" i="16"/>
  <c r="AJ28" i="16"/>
  <c r="AJ27" i="16"/>
  <c r="AL28" i="16"/>
  <c r="AL27" i="16"/>
  <c r="AR28" i="16"/>
  <c r="AR27" i="16"/>
  <c r="AT28" i="16"/>
  <c r="AT27" i="16"/>
  <c r="AV34" i="16"/>
  <c r="AV27" i="16"/>
  <c r="AX34" i="16"/>
  <c r="AX27" i="16"/>
  <c r="J8" i="16"/>
  <c r="X10" i="16"/>
  <c r="Z10" i="16" s="1"/>
  <c r="AB11" i="16"/>
  <c r="AD11" i="16"/>
  <c r="AH11" i="16"/>
  <c r="AL11" i="16"/>
  <c r="AT11" i="16"/>
  <c r="J14" i="16"/>
  <c r="J13" i="16" s="1"/>
  <c r="J11" i="16" s="1"/>
  <c r="L15" i="16"/>
  <c r="I27" i="16"/>
  <c r="I29" i="16" s="1"/>
  <c r="I31" i="16" s="1"/>
  <c r="M27" i="16"/>
  <c r="M29" i="16" s="1"/>
  <c r="M31" i="16" s="1"/>
  <c r="Q27" i="16"/>
  <c r="Q29" i="16" s="1"/>
  <c r="Q31" i="16" s="1"/>
  <c r="AC27" i="16"/>
  <c r="AG27" i="16"/>
  <c r="AG29" i="16" s="1"/>
  <c r="AG31" i="16" s="1"/>
  <c r="AO27" i="16"/>
  <c r="AS27" i="16"/>
  <c r="AW27" i="16"/>
  <c r="AI28" i="16"/>
  <c r="AI29" i="16" s="1"/>
  <c r="AI31" i="16" s="1"/>
  <c r="AS28" i="16"/>
  <c r="AF1" i="6"/>
  <c r="S5" i="6"/>
  <c r="S8" i="6" s="1"/>
  <c r="AC6" i="6"/>
  <c r="AD6" i="6" s="1"/>
  <c r="AE6" i="6" s="1"/>
  <c r="AG6" i="6" s="1"/>
  <c r="BG18" i="6"/>
  <c r="BG20" i="6" s="1"/>
  <c r="BI18" i="6"/>
  <c r="BI20" i="6" s="1"/>
  <c r="O19" i="6"/>
  <c r="BP19" i="6"/>
  <c r="BB169" i="17" s="1"/>
  <c r="BB170" i="17" s="1"/>
  <c r="BB172" i="17" s="1"/>
  <c r="BK18" i="6"/>
  <c r="BK20" i="6" s="1"/>
  <c r="BR19" i="6"/>
  <c r="BD169" i="17" s="1"/>
  <c r="BD170" i="17" s="1"/>
  <c r="BD172" i="17" s="1"/>
  <c r="BM18" i="6"/>
  <c r="BM20" i="6" s="1"/>
  <c r="Z6" i="6"/>
  <c r="BF18" i="6"/>
  <c r="BF20" i="6" s="1"/>
  <c r="BH18" i="6"/>
  <c r="BH20" i="6" s="1"/>
  <c r="AA19" i="6"/>
  <c r="M169" i="17" s="1"/>
  <c r="R19" i="6"/>
  <c r="BX19" i="6"/>
  <c r="BJ169" i="17" s="1"/>
  <c r="BJ170" i="17" s="1"/>
  <c r="BJ172" i="17" s="1"/>
  <c r="K19" i="6"/>
  <c r="BL10" i="6"/>
  <c r="BN10" i="6"/>
  <c r="BP10" i="6"/>
  <c r="BR10" i="6"/>
  <c r="J14" i="6"/>
  <c r="K24" i="6"/>
  <c r="BZ25" i="6"/>
  <c r="CB25" i="6"/>
  <c r="N32" i="6"/>
  <c r="N31" i="6" s="1"/>
  <c r="N29" i="6" s="1"/>
  <c r="N28" i="6" s="1"/>
  <c r="X39" i="6"/>
  <c r="AA40" i="6"/>
  <c r="AB39" i="6" s="1"/>
  <c r="Z39" i="6"/>
  <c r="BK38" i="6"/>
  <c r="BK42" i="6" s="1"/>
  <c r="BM38" i="6"/>
  <c r="BM42" i="6" s="1"/>
  <c r="L32" i="6"/>
  <c r="K31" i="6"/>
  <c r="CA25" i="6"/>
  <c r="CC25" i="6"/>
  <c r="L25" i="6"/>
  <c r="CS33" i="6"/>
  <c r="CU33" i="6"/>
  <c r="CU32" i="6" s="1"/>
  <c r="CU34" i="6" s="1"/>
  <c r="CP32" i="6"/>
  <c r="CP34" i="6" s="1"/>
  <c r="CW33" i="6"/>
  <c r="CW32" i="6" s="1"/>
  <c r="CW34" i="6" s="1"/>
  <c r="CR32" i="6"/>
  <c r="CR34" i="6" s="1"/>
  <c r="BO33" i="6"/>
  <c r="S33" i="6"/>
  <c r="S40" i="6"/>
  <c r="S39" i="6" s="1"/>
  <c r="Q40" i="6"/>
  <c r="R39" i="6" s="1"/>
  <c r="P39" i="6"/>
  <c r="AC39" i="6"/>
  <c r="BN38" i="6"/>
  <c r="BN42" i="6" s="1"/>
  <c r="AE39" i="6"/>
  <c r="AF38" i="6"/>
  <c r="BH42" i="6"/>
  <c r="BL39" i="6"/>
  <c r="BQ39" i="6" s="1"/>
  <c r="BV39" i="6" s="1"/>
  <c r="CA39" i="6" s="1"/>
  <c r="CF39" i="6" s="1"/>
  <c r="CK39" i="6" s="1"/>
  <c r="CP39" i="6" s="1"/>
  <c r="CU39" i="6" s="1"/>
  <c r="BN39" i="6"/>
  <c r="BS39" i="6" s="1"/>
  <c r="BX39" i="6" s="1"/>
  <c r="CC39" i="6" s="1"/>
  <c r="CH39" i="6" s="1"/>
  <c r="CM39" i="6" s="1"/>
  <c r="CR39" i="6" s="1"/>
  <c r="CW39" i="6" s="1"/>
  <c r="N40" i="6"/>
  <c r="N39" i="6" s="1"/>
  <c r="V40" i="6"/>
  <c r="W39" i="6" s="1"/>
  <c r="O45" i="6"/>
  <c r="N44" i="6"/>
  <c r="N46" i="6" s="1"/>
  <c r="CU45" i="6"/>
  <c r="CW45" i="6"/>
  <c r="Q38" i="6"/>
  <c r="Q42" i="6" s="1"/>
  <c r="AA38" i="6"/>
  <c r="BG42" i="6"/>
  <c r="BI42" i="6"/>
  <c r="K44" i="6"/>
  <c r="L44" i="6" s="1"/>
  <c r="M44" i="6"/>
  <c r="M46" i="6" s="1"/>
  <c r="P71" i="6"/>
  <c r="AE111" i="6"/>
  <c r="N103" i="6"/>
  <c r="N111" i="6" s="1"/>
  <c r="P103" i="6"/>
  <c r="P111" i="6" s="1"/>
  <c r="R103" i="6"/>
  <c r="R111" i="6" s="1"/>
  <c r="T103" i="6"/>
  <c r="T111" i="6" s="1"/>
  <c r="W103" i="6"/>
  <c r="W111" i="6" s="1"/>
  <c r="Y103" i="6"/>
  <c r="Y111" i="6" s="1"/>
  <c r="AB103" i="6"/>
  <c r="AB111" i="6" s="1"/>
  <c r="AF103" i="6"/>
  <c r="AF111" i="6" s="1"/>
  <c r="AM103" i="6"/>
  <c r="AO103" i="6"/>
  <c r="AR103" i="6"/>
  <c r="AT103" i="6"/>
  <c r="AW103" i="6"/>
  <c r="AY103" i="6"/>
  <c r="BB103" i="6"/>
  <c r="BD103" i="6"/>
  <c r="W89" i="6"/>
  <c r="W72" i="6" s="1"/>
  <c r="W25" i="6" s="1"/>
  <c r="W24" i="6" s="1"/>
  <c r="AD111" i="6"/>
  <c r="AG111" i="6"/>
  <c r="M103" i="6"/>
  <c r="M111" i="6" s="1"/>
  <c r="O103" i="6"/>
  <c r="O111" i="6" s="1"/>
  <c r="Q103" i="6"/>
  <c r="Q111" i="6" s="1"/>
  <c r="S103" i="6"/>
  <c r="S111" i="6" s="1"/>
  <c r="U103" i="6"/>
  <c r="U111" i="6" s="1"/>
  <c r="X103" i="6"/>
  <c r="X111" i="6" s="1"/>
  <c r="Z103" i="6"/>
  <c r="Z111" i="6" s="1"/>
  <c r="AC103" i="6"/>
  <c r="AC111" i="6" s="1"/>
  <c r="AL103" i="6"/>
  <c r="AN103" i="6"/>
  <c r="AQ103" i="6"/>
  <c r="AS103" i="6"/>
  <c r="AV103" i="6"/>
  <c r="AX103" i="6"/>
  <c r="BA103" i="6"/>
  <c r="BC103" i="6"/>
  <c r="AD107" i="6"/>
  <c r="R7" i="22"/>
  <c r="AA7" i="22"/>
  <c r="AA11" i="22"/>
  <c r="W11" i="22"/>
  <c r="M23" i="22"/>
  <c r="M25" i="22" s="1"/>
  <c r="M10" i="22"/>
  <c r="S6" i="22"/>
  <c r="AC15" i="22"/>
  <c r="AB16" i="22"/>
  <c r="AK15" i="22"/>
  <c r="AG15" i="22"/>
  <c r="P15" i="22"/>
  <c r="T15" i="22"/>
  <c r="AD19" i="22"/>
  <c r="O5" i="22"/>
  <c r="T5" i="22"/>
  <c r="Y5" i="22"/>
  <c r="AC5" i="22"/>
  <c r="AB6" i="22"/>
  <c r="N6" i="22"/>
  <c r="R6" i="22"/>
  <c r="X6" i="22"/>
  <c r="N7" i="22"/>
  <c r="N11" i="22"/>
  <c r="R11" i="22"/>
  <c r="W16" i="22"/>
  <c r="X15" i="22"/>
  <c r="AP19" i="22"/>
  <c r="AL19" i="22"/>
  <c r="N16" i="22"/>
  <c r="N14" i="22" s="1"/>
  <c r="O16" i="22" s="1"/>
  <c r="R16" i="22"/>
  <c r="AB20" i="22"/>
  <c r="AG19" i="22"/>
  <c r="BY17" i="2"/>
  <c r="CD6" i="3"/>
  <c r="CA18" i="3"/>
  <c r="CC18" i="3"/>
  <c r="CK18" i="3"/>
  <c r="CM18" i="3"/>
  <c r="CO18" i="3"/>
  <c r="CU18" i="3"/>
  <c r="CW18" i="3"/>
  <c r="CY18" i="3"/>
  <c r="DE18" i="3"/>
  <c r="DG18" i="3"/>
  <c r="BQ38" i="3"/>
  <c r="BQ40" i="3" s="1"/>
  <c r="BV39" i="3" s="1"/>
  <c r="AZ17" i="2"/>
  <c r="BE17" i="2"/>
  <c r="BT17" i="2"/>
  <c r="BV18" i="3"/>
  <c r="BX18" i="3"/>
  <c r="BZ18" i="3"/>
  <c r="CF18" i="3"/>
  <c r="CH18" i="3"/>
  <c r="CJ18" i="3"/>
  <c r="CP18" i="3"/>
  <c r="CR18" i="3"/>
  <c r="CT18" i="3"/>
  <c r="CZ18" i="3"/>
  <c r="DB18" i="3"/>
  <c r="DD18" i="3"/>
  <c r="BJ23" i="3"/>
  <c r="BO23" i="3" s="1"/>
  <c r="BT23" i="3" s="1"/>
  <c r="BY23" i="3" s="1"/>
  <c r="CD23" i="3" s="1"/>
  <c r="CI23" i="3" s="1"/>
  <c r="CN23" i="3" s="1"/>
  <c r="CS23" i="3" s="1"/>
  <c r="CX23" i="3" s="1"/>
  <c r="DC23" i="3" s="1"/>
  <c r="DH23" i="3" s="1"/>
  <c r="BE25" i="3"/>
  <c r="I38" i="3"/>
  <c r="K22" i="3"/>
  <c r="BU21" i="3"/>
  <c r="BW21" i="3"/>
  <c r="BY21" i="3"/>
  <c r="CA21" i="3"/>
  <c r="CC21" i="3"/>
  <c r="K21" i="3"/>
  <c r="K24" i="3"/>
  <c r="AU25" i="3"/>
  <c r="BJ25" i="3"/>
  <c r="BQ36" i="3"/>
  <c r="BV28" i="3"/>
  <c r="BS36" i="3"/>
  <c r="BS38" i="3" s="1"/>
  <c r="BS40" i="3" s="1"/>
  <c r="BX39" i="3" s="1"/>
  <c r="BX28" i="3"/>
  <c r="BW36" i="3"/>
  <c r="CB28" i="3"/>
  <c r="Q39" i="3"/>
  <c r="Q40" i="3" s="1"/>
  <c r="V39" i="3" s="1"/>
  <c r="V40" i="3" s="1"/>
  <c r="M39" i="3"/>
  <c r="M40" i="3" s="1"/>
  <c r="N39" i="3" s="1"/>
  <c r="N40" i="3" s="1"/>
  <c r="O39" i="3" s="1"/>
  <c r="AZ25" i="3"/>
  <c r="BU36" i="3"/>
  <c r="BZ28" i="3"/>
  <c r="BY31" i="3"/>
  <c r="J34" i="3"/>
  <c r="J36" i="3" s="1"/>
  <c r="J38" i="3" s="1"/>
  <c r="O34" i="3"/>
  <c r="O36" i="3" s="1"/>
  <c r="O38" i="3" s="1"/>
  <c r="O40" i="3" s="1"/>
  <c r="P39" i="3" s="1"/>
  <c r="P40" i="3" s="1"/>
  <c r="AU36" i="3"/>
  <c r="AZ35" i="3"/>
  <c r="BE35" i="3" s="1"/>
  <c r="BJ35" i="3" s="1"/>
  <c r="BO35" i="3" s="1"/>
  <c r="BT35" i="3" s="1"/>
  <c r="BY35" i="3" s="1"/>
  <c r="CD35" i="3" s="1"/>
  <c r="CI35" i="3" s="1"/>
  <c r="CN35" i="3" s="1"/>
  <c r="CS35" i="3" s="1"/>
  <c r="CX35" i="3" s="1"/>
  <c r="DC35" i="3" s="1"/>
  <c r="DH35" i="3" s="1"/>
  <c r="BE28" i="3"/>
  <c r="K34" i="3"/>
  <c r="K36" i="3" s="1"/>
  <c r="BW63" i="2"/>
  <c r="BW62" i="2"/>
  <c r="BG48" i="2"/>
  <c r="CB21" i="2"/>
  <c r="BQ63" i="2"/>
  <c r="BQ62" i="2"/>
  <c r="BX61" i="2"/>
  <c r="CC15" i="2"/>
  <c r="CB15" i="2"/>
  <c r="BW21" i="2"/>
  <c r="BJ28" i="2"/>
  <c r="BE28" i="2"/>
  <c r="BE35" i="2"/>
  <c r="BO30" i="2"/>
  <c r="AK62" i="2"/>
  <c r="L48" i="2"/>
  <c r="V48" i="2"/>
  <c r="AF48" i="2"/>
  <c r="AL48" i="2"/>
  <c r="AN48" i="2"/>
  <c r="AP48" i="2"/>
  <c r="AR48" i="2"/>
  <c r="AT48" i="2"/>
  <c r="AV48" i="2"/>
  <c r="AX48" i="2"/>
  <c r="BU15" i="2"/>
  <c r="AZ28" i="2"/>
  <c r="G36" i="2"/>
  <c r="G46" i="2" s="1"/>
  <c r="G48" i="2" s="1"/>
  <c r="Q36" i="2"/>
  <c r="Q46" i="2" s="1"/>
  <c r="Q48" i="2" s="1"/>
  <c r="AA36" i="2"/>
  <c r="AA46" i="2" s="1"/>
  <c r="AA48" i="2" s="1"/>
  <c r="AU28" i="2"/>
  <c r="BO23" i="2"/>
  <c r="BO16" i="3" s="1"/>
  <c r="AZ35" i="2"/>
  <c r="AU35" i="2"/>
  <c r="BS63" i="2"/>
  <c r="BS62" i="2"/>
  <c r="BR62" i="2"/>
  <c r="BV15" i="2"/>
  <c r="BE38" i="2"/>
  <c r="AA62" i="2"/>
  <c r="V65" i="2"/>
  <c r="AA65" i="2" s="1"/>
  <c r="AA63" i="2" s="1"/>
  <c r="AF33" i="13"/>
  <c r="X33" i="13"/>
  <c r="X48" i="13" s="1"/>
  <c r="X53" i="13" s="1"/>
  <c r="AZ37" i="13"/>
  <c r="BE37" i="13" s="1"/>
  <c r="BJ37" i="13" s="1"/>
  <c r="BO37" i="13" s="1"/>
  <c r="BT37" i="13" s="1"/>
  <c r="BY37" i="13" s="1"/>
  <c r="CD37" i="13" s="1"/>
  <c r="CI37" i="13" s="1"/>
  <c r="CN37" i="13" s="1"/>
  <c r="CS37" i="13" s="1"/>
  <c r="CX37" i="13" s="1"/>
  <c r="DC37" i="13" s="1"/>
  <c r="DH37" i="13" s="1"/>
  <c r="AF4" i="13"/>
  <c r="AF7" i="13" s="1"/>
  <c r="AA4" i="13"/>
  <c r="AP6" i="13"/>
  <c r="Z14" i="13"/>
  <c r="Z16" i="13" s="1"/>
  <c r="AZ14" i="13"/>
  <c r="BE14" i="13" s="1"/>
  <c r="BJ14" i="13" s="1"/>
  <c r="BO14" i="13" s="1"/>
  <c r="BT14" i="13" s="1"/>
  <c r="BY14" i="13" s="1"/>
  <c r="CD14" i="13" s="1"/>
  <c r="CI14" i="13" s="1"/>
  <c r="CN14" i="13" s="1"/>
  <c r="CS14" i="13" s="1"/>
  <c r="CX14" i="13" s="1"/>
  <c r="DC14" i="13" s="1"/>
  <c r="DH14" i="13" s="1"/>
  <c r="AM26" i="13"/>
  <c r="AM33" i="13" s="1"/>
  <c r="AP19" i="13"/>
  <c r="Z25" i="13"/>
  <c r="Z26" i="13" s="1"/>
  <c r="AA48" i="13"/>
  <c r="AE48" i="13"/>
  <c r="AE53" i="13" s="1"/>
  <c r="AN48" i="13"/>
  <c r="AN53" i="13" s="1"/>
  <c r="AL53" i="13"/>
  <c r="AP50" i="13"/>
  <c r="AZ51" i="13"/>
  <c r="AK6" i="13"/>
  <c r="AK7" i="13" s="1"/>
  <c r="AI33" i="13"/>
  <c r="AI48" i="13" s="1"/>
  <c r="AO26" i="13"/>
  <c r="AO33" i="13" s="1"/>
  <c r="AO48" i="13" s="1"/>
  <c r="AO53" i="13" s="1"/>
  <c r="AP24" i="13"/>
  <c r="C26" i="13"/>
  <c r="C33" i="13" s="1"/>
  <c r="C48" i="13" s="1"/>
  <c r="C53" i="13" s="1"/>
  <c r="F25" i="13"/>
  <c r="F26" i="13" s="1"/>
  <c r="F33" i="13" s="1"/>
  <c r="F48" i="13" s="1"/>
  <c r="F53" i="13" s="1"/>
  <c r="E33" i="13"/>
  <c r="E48" i="13" s="1"/>
  <c r="E53" i="13" s="1"/>
  <c r="W33" i="13"/>
  <c r="W48" i="13" s="1"/>
  <c r="W53" i="13" s="1"/>
  <c r="Y33" i="13"/>
  <c r="Y48" i="13" s="1"/>
  <c r="Y53" i="13" s="1"/>
  <c r="G33" i="13"/>
  <c r="G48" i="13" s="1"/>
  <c r="G53" i="13" s="1"/>
  <c r="Q33" i="13"/>
  <c r="Q48" i="13" s="1"/>
  <c r="AZ31" i="13"/>
  <c r="AZ36" i="13"/>
  <c r="AP40" i="13"/>
  <c r="AB48" i="13"/>
  <c r="D48" i="13"/>
  <c r="D53" i="13" s="1"/>
  <c r="L48" i="13"/>
  <c r="AG48" i="13"/>
  <c r="AG53" i="13" s="1"/>
  <c r="AM48" i="13"/>
  <c r="AM53" i="13" s="1"/>
  <c r="AH51" i="13"/>
  <c r="AI51" i="13"/>
  <c r="Z37" i="13"/>
  <c r="Z40" i="13" s="1"/>
  <c r="AF39" i="13"/>
  <c r="AF40" i="13" s="1"/>
  <c r="AB53" i="13"/>
  <c r="AD53" i="13"/>
  <c r="AF50" i="13"/>
  <c r="AZ55" i="1"/>
  <c r="AY55" i="1" s="1"/>
  <c r="AR44" i="1"/>
  <c r="AS13" i="1"/>
  <c r="AU44" i="1"/>
  <c r="AZ58" i="1"/>
  <c r="Q44" i="1"/>
  <c r="AA44" i="1"/>
  <c r="V44" i="1"/>
  <c r="AG65" i="1"/>
  <c r="AK65" i="1" s="1"/>
  <c r="V70" i="1"/>
  <c r="BO25" i="3" l="1"/>
  <c r="AZ16" i="3"/>
  <c r="AA67" i="17"/>
  <c r="AA69" i="17" s="1"/>
  <c r="AA70" i="17" s="1"/>
  <c r="AA72" i="17" s="1"/>
  <c r="AA65" i="17"/>
  <c r="AO106" i="6"/>
  <c r="BI95" i="35"/>
  <c r="AV51" i="13"/>
  <c r="AZ25" i="1"/>
  <c r="AY36" i="13"/>
  <c r="AY25" i="1" s="1"/>
  <c r="AY26" i="1" s="1"/>
  <c r="AY31" i="13"/>
  <c r="AY32" i="13" s="1"/>
  <c r="AZ32" i="13"/>
  <c r="AI11" i="6"/>
  <c r="AX92" i="1"/>
  <c r="AX62" i="1"/>
  <c r="AX44" i="1" s="1"/>
  <c r="AV62" i="1"/>
  <c r="AV44" i="1" s="1"/>
  <c r="AW62" i="1"/>
  <c r="AW44" i="1" s="1"/>
  <c r="BE58" i="1"/>
  <c r="BJ58" i="1" s="1"/>
  <c r="BO58" i="1" s="1"/>
  <c r="BT58" i="1" s="1"/>
  <c r="BY58" i="1" s="1"/>
  <c r="CD58" i="1" s="1"/>
  <c r="CI58" i="1" s="1"/>
  <c r="CN58" i="1" s="1"/>
  <c r="CS58" i="1" s="1"/>
  <c r="CX58" i="1" s="1"/>
  <c r="DC58" i="1" s="1"/>
  <c r="DH58" i="1" s="1"/>
  <c r="AY58" i="1"/>
  <c r="M10" i="17"/>
  <c r="U54" i="17"/>
  <c r="U56" i="17" s="1"/>
  <c r="U58" i="17" s="1"/>
  <c r="U59" i="17" s="1"/>
  <c r="U72" i="17" s="1"/>
  <c r="O110" i="17"/>
  <c r="O15" i="30"/>
  <c r="M8" i="44"/>
  <c r="Z23" i="35"/>
  <c r="AJ33" i="13"/>
  <c r="AJ48" i="13" s="1"/>
  <c r="BT25" i="3"/>
  <c r="AO29" i="16"/>
  <c r="AO31" i="16" s="1"/>
  <c r="AG146" i="24"/>
  <c r="M27" i="35"/>
  <c r="AL25" i="35"/>
  <c r="N27" i="35"/>
  <c r="AD81" i="35"/>
  <c r="AJ95" i="35"/>
  <c r="I88" i="35"/>
  <c r="BP18" i="3"/>
  <c r="BP38" i="3" s="1"/>
  <c r="BP40" i="3" s="1"/>
  <c r="BU39" i="3" s="1"/>
  <c r="BA95" i="35"/>
  <c r="AQ95" i="35"/>
  <c r="G12" i="44"/>
  <c r="BJ16" i="3"/>
  <c r="AD29" i="29"/>
  <c r="AD22" i="29"/>
  <c r="AE22" i="29" s="1"/>
  <c r="BE91" i="35"/>
  <c r="BE95" i="35" s="1"/>
  <c r="I40" i="3"/>
  <c r="J39" i="3" s="1"/>
  <c r="AG72" i="17"/>
  <c r="AV88" i="35"/>
  <c r="BJ91" i="35"/>
  <c r="BF95" i="35"/>
  <c r="AS95" i="35"/>
  <c r="M32" i="6"/>
  <c r="M31" i="6" s="1"/>
  <c r="M29" i="6" s="1"/>
  <c r="M24" i="6"/>
  <c r="AQ48" i="13"/>
  <c r="AQ53" i="13" s="1"/>
  <c r="G23" i="35"/>
  <c r="L27" i="35" s="1"/>
  <c r="G80" i="35"/>
  <c r="G88" i="35" s="1"/>
  <c r="L25" i="35"/>
  <c r="L80" i="35"/>
  <c r="L88" i="35" s="1"/>
  <c r="AO95" i="35"/>
  <c r="J88" i="35"/>
  <c r="AU95" i="35"/>
  <c r="R21" i="16"/>
  <c r="S21" i="16" s="1"/>
  <c r="T21" i="16" s="1"/>
  <c r="U21" i="16" s="1"/>
  <c r="AA21" i="16"/>
  <c r="CG23" i="2"/>
  <c r="CB16" i="3"/>
  <c r="J40" i="3"/>
  <c r="K39" i="3" s="1"/>
  <c r="H29" i="16"/>
  <c r="H31" i="16" s="1"/>
  <c r="T34" i="17"/>
  <c r="O28" i="30"/>
  <c r="W146" i="24"/>
  <c r="BL42" i="6"/>
  <c r="AW95" i="35"/>
  <c r="N88" i="35"/>
  <c r="AV95" i="35"/>
  <c r="H88" i="35"/>
  <c r="AL95" i="35"/>
  <c r="BI88" i="35"/>
  <c r="K88" i="35"/>
  <c r="AP92" i="35"/>
  <c r="AP95" i="35" s="1"/>
  <c r="H40" i="3"/>
  <c r="I39" i="3" s="1"/>
  <c r="BR18" i="3"/>
  <c r="BR38" i="3" s="1"/>
  <c r="BR40" i="3" s="1"/>
  <c r="BW39" i="3" s="1"/>
  <c r="G81" i="35"/>
  <c r="AK95" i="35"/>
  <c r="AU26" i="35"/>
  <c r="BE8" i="3"/>
  <c r="BJ33" i="2"/>
  <c r="BJ79" i="1"/>
  <c r="BO79" i="1" s="1"/>
  <c r="BH95" i="35"/>
  <c r="BH88" i="35"/>
  <c r="S15" i="30"/>
  <c r="N15" i="30"/>
  <c r="AS32" i="13"/>
  <c r="AF48" i="13"/>
  <c r="R23" i="35"/>
  <c r="R27" i="35" s="1"/>
  <c r="BA25" i="35"/>
  <c r="BA80" i="35"/>
  <c r="AY11" i="35"/>
  <c r="AY12" i="35" s="1"/>
  <c r="BF88" i="35"/>
  <c r="AH81" i="35"/>
  <c r="AH88" i="35" s="1"/>
  <c r="BC81" i="35"/>
  <c r="BA81" i="35"/>
  <c r="BC16" i="35"/>
  <c r="AN25" i="35"/>
  <c r="AD23" i="35"/>
  <c r="AN81" i="35"/>
  <c r="AN88" i="35" s="1"/>
  <c r="BC88" i="35"/>
  <c r="AR81" i="35"/>
  <c r="BB81" i="35"/>
  <c r="AR88" i="35"/>
  <c r="BB88" i="35"/>
  <c r="BF81" i="35"/>
  <c r="BG95" i="35"/>
  <c r="BG88" i="35"/>
  <c r="AA7" i="13"/>
  <c r="T39" i="29"/>
  <c r="P110" i="17"/>
  <c r="AF53" i="13"/>
  <c r="AW79" i="1"/>
  <c r="AV78" i="1"/>
  <c r="P15" i="30"/>
  <c r="R15" i="30"/>
  <c r="Q15" i="30"/>
  <c r="BQ19" i="6"/>
  <c r="AX169" i="17"/>
  <c r="AX170" i="17" s="1"/>
  <c r="AX172" i="17" s="1"/>
  <c r="AB107" i="6"/>
  <c r="AF6" i="6"/>
  <c r="BE62" i="1"/>
  <c r="AZ7" i="3"/>
  <c r="AZ41" i="2" s="1"/>
  <c r="AA39" i="6"/>
  <c r="AI81" i="35"/>
  <c r="AC25" i="35"/>
  <c r="AC80" i="35"/>
  <c r="AC88" i="35" s="1"/>
  <c r="AH23" i="35"/>
  <c r="AI88" i="35"/>
  <c r="AQ25" i="35"/>
  <c r="AQ80" i="35"/>
  <c r="AQ88" i="35" s="1"/>
  <c r="AS25" i="35"/>
  <c r="AS80" i="35"/>
  <c r="T25" i="35"/>
  <c r="T80" i="35"/>
  <c r="T88" i="35" s="1"/>
  <c r="AS81" i="35"/>
  <c r="Z81" i="35"/>
  <c r="Z88" i="35" s="1"/>
  <c r="S81" i="35"/>
  <c r="S88" i="35" s="1"/>
  <c r="AO81" i="35"/>
  <c r="AO88" i="35" s="1"/>
  <c r="R25" i="35"/>
  <c r="R80" i="35"/>
  <c r="R88" i="35" s="1"/>
  <c r="U25" i="35"/>
  <c r="U80" i="35"/>
  <c r="AK21" i="35"/>
  <c r="AK81" i="35" s="1"/>
  <c r="W81" i="35"/>
  <c r="W88" i="35" s="1"/>
  <c r="AL81" i="35"/>
  <c r="AL88" i="35" s="1"/>
  <c r="AE81" i="35"/>
  <c r="AM81" i="35"/>
  <c r="AM88" i="35" s="1"/>
  <c r="Y25" i="35"/>
  <c r="Y80" i="35"/>
  <c r="Y88" i="35" s="1"/>
  <c r="AE88" i="35"/>
  <c r="AJ23" i="35"/>
  <c r="AJ80" i="35"/>
  <c r="AJ88" i="35" s="1"/>
  <c r="AK14" i="35"/>
  <c r="AB23" i="35"/>
  <c r="AB80" i="35"/>
  <c r="X23" i="35"/>
  <c r="X80" i="35"/>
  <c r="X88" i="35" s="1"/>
  <c r="AL23" i="35"/>
  <c r="AB81" i="35"/>
  <c r="U81" i="35"/>
  <c r="AG81" i="35"/>
  <c r="AG88" i="35" s="1"/>
  <c r="AD88" i="35"/>
  <c r="M9" i="44"/>
  <c r="M12" i="26"/>
  <c r="N14" i="26"/>
  <c r="O11" i="26"/>
  <c r="M13" i="26"/>
  <c r="BG27" i="35"/>
  <c r="BE11" i="35"/>
  <c r="BA23" i="35"/>
  <c r="BA27" i="35" s="1"/>
  <c r="AC23" i="35"/>
  <c r="AC27" i="35" s="1"/>
  <c r="U23" i="35"/>
  <c r="U27" i="35" s="1"/>
  <c r="AO25" i="35"/>
  <c r="AS27" i="35"/>
  <c r="AH25" i="35"/>
  <c r="AG25" i="35"/>
  <c r="Z25" i="35"/>
  <c r="BE21" i="35"/>
  <c r="AY16" i="35"/>
  <c r="AY14" i="35"/>
  <c r="AY21" i="35"/>
  <c r="AY80" i="35" s="1"/>
  <c r="AM25" i="35"/>
  <c r="AM23" i="35"/>
  <c r="AE25" i="35"/>
  <c r="AE23" i="35"/>
  <c r="AE27" i="35" s="1"/>
  <c r="AZ12" i="35"/>
  <c r="AP21" i="35"/>
  <c r="AP80" i="35" s="1"/>
  <c r="AP14" i="35"/>
  <c r="AW14" i="35"/>
  <c r="AW21" i="35"/>
  <c r="AW80" i="35" s="1"/>
  <c r="AZ11" i="35"/>
  <c r="AT21" i="35"/>
  <c r="AT80" i="35" s="1"/>
  <c r="AT14" i="35"/>
  <c r="W25" i="35"/>
  <c r="W23" i="35"/>
  <c r="BH27" i="35"/>
  <c r="P27" i="35"/>
  <c r="BD21" i="35"/>
  <c r="BD80" i="35" s="1"/>
  <c r="BD14" i="35"/>
  <c r="BD16" i="35"/>
  <c r="AO23" i="35"/>
  <c r="AG23" i="35"/>
  <c r="Y23" i="35"/>
  <c r="Y27" i="35" s="1"/>
  <c r="Q27" i="35"/>
  <c r="BB16" i="35"/>
  <c r="AQ23" i="35"/>
  <c r="BF27" i="35"/>
  <c r="AI25" i="35"/>
  <c r="AI23" i="35"/>
  <c r="S25" i="35"/>
  <c r="S23" i="35"/>
  <c r="S27" i="35" s="1"/>
  <c r="BJ14" i="35"/>
  <c r="BE14" i="35"/>
  <c r="AR25" i="35"/>
  <c r="AD25" i="35"/>
  <c r="V21" i="35"/>
  <c r="V80" i="35" s="1"/>
  <c r="V14" i="35"/>
  <c r="BF25" i="35"/>
  <c r="AX21" i="35"/>
  <c r="AX80" i="35" s="1"/>
  <c r="AX16" i="35"/>
  <c r="AX14" i="35"/>
  <c r="AV25" i="35"/>
  <c r="AF21" i="35"/>
  <c r="AF80" i="35" s="1"/>
  <c r="AF14" i="35"/>
  <c r="AB25" i="35"/>
  <c r="AJ25" i="35"/>
  <c r="X25" i="35"/>
  <c r="AU12" i="35"/>
  <c r="AA14" i="35"/>
  <c r="AA21" i="35"/>
  <c r="AA80" i="35" s="1"/>
  <c r="K8" i="44"/>
  <c r="K9" i="44" s="1"/>
  <c r="F4" i="26"/>
  <c r="F6" i="26" s="1"/>
  <c r="F8" i="26" s="1"/>
  <c r="F10" i="26" s="1"/>
  <c r="G2" i="26"/>
  <c r="P12" i="25"/>
  <c r="O14" i="25"/>
  <c r="L17" i="25"/>
  <c r="M17" i="25" s="1"/>
  <c r="N17" i="25" s="1"/>
  <c r="O17" i="25" s="1"/>
  <c r="P17" i="25" s="1"/>
  <c r="Q17" i="25" s="1"/>
  <c r="R17" i="25" s="1"/>
  <c r="S17" i="25" s="1"/>
  <c r="AI44" i="25"/>
  <c r="M16" i="25"/>
  <c r="M15" i="25"/>
  <c r="M13" i="25"/>
  <c r="H4" i="25"/>
  <c r="H6" i="25" s="1"/>
  <c r="H9" i="25" s="1"/>
  <c r="H11" i="25" s="1"/>
  <c r="I2" i="25"/>
  <c r="AC195" i="24"/>
  <c r="AC4" i="24" s="1"/>
  <c r="AC6" i="24" s="1"/>
  <c r="AC9" i="24" s="1"/>
  <c r="AG150" i="24"/>
  <c r="AG195" i="24" s="1"/>
  <c r="AG4" i="24" s="1"/>
  <c r="X195" i="24"/>
  <c r="X4" i="24" s="1"/>
  <c r="X6" i="24" s="1"/>
  <c r="X9" i="24" s="1"/>
  <c r="AB150" i="24"/>
  <c r="AB195" i="24" s="1"/>
  <c r="AB4" i="24" s="1"/>
  <c r="S195" i="24"/>
  <c r="S4" i="24" s="1"/>
  <c r="S6" i="24" s="1"/>
  <c r="S9" i="24" s="1"/>
  <c r="W150" i="24"/>
  <c r="W195" i="24" s="1"/>
  <c r="W4" i="24" s="1"/>
  <c r="N195" i="24"/>
  <c r="N4" i="24" s="1"/>
  <c r="N6" i="24" s="1"/>
  <c r="N9" i="24" s="1"/>
  <c r="R150" i="24"/>
  <c r="R195" i="24" s="1"/>
  <c r="R4" i="24" s="1"/>
  <c r="I195" i="24"/>
  <c r="I4" i="24" s="1"/>
  <c r="I6" i="24" s="1"/>
  <c r="I9" i="24" s="1"/>
  <c r="M150" i="24"/>
  <c r="M195" i="24" s="1"/>
  <c r="M4" i="24" s="1"/>
  <c r="D195" i="24"/>
  <c r="D4" i="24" s="1"/>
  <c r="D6" i="24" s="1"/>
  <c r="D9" i="24" s="1"/>
  <c r="H150" i="24"/>
  <c r="H195" i="24" s="1"/>
  <c r="H4" i="24" s="1"/>
  <c r="H6" i="24" s="1"/>
  <c r="H9" i="24" s="1"/>
  <c r="CA18" i="24"/>
  <c r="BQ24" i="24"/>
  <c r="BQ22" i="24"/>
  <c r="BQ20" i="24"/>
  <c r="BQ23" i="24"/>
  <c r="BQ21" i="24"/>
  <c r="AQ6" i="24"/>
  <c r="AP9" i="24"/>
  <c r="AP8" i="24" s="1"/>
  <c r="AH195" i="24"/>
  <c r="AH4" i="24" s="1"/>
  <c r="AH6" i="24" s="1"/>
  <c r="AH9" i="24" s="1"/>
  <c r="AL150" i="24"/>
  <c r="AL195" i="24" s="1"/>
  <c r="AL4" i="24" s="1"/>
  <c r="AQ5" i="24" s="1"/>
  <c r="AL102" i="24"/>
  <c r="AG102" i="24"/>
  <c r="AB102" i="24"/>
  <c r="W102" i="24"/>
  <c r="R102" i="24"/>
  <c r="M102" i="24"/>
  <c r="H102" i="24"/>
  <c r="CA17" i="24"/>
  <c r="BV19" i="24"/>
  <c r="BV5" i="24"/>
  <c r="BL5" i="24"/>
  <c r="BB5" i="24"/>
  <c r="CA5" i="24"/>
  <c r="BQ5" i="24"/>
  <c r="BG5" i="24"/>
  <c r="AW5" i="24"/>
  <c r="AW4" i="24" s="1"/>
  <c r="N53" i="30"/>
  <c r="N54" i="30" s="1"/>
  <c r="N28" i="30"/>
  <c r="Q29" i="29"/>
  <c r="P28" i="29"/>
  <c r="P33" i="29" s="1"/>
  <c r="J49" i="30"/>
  <c r="N46" i="30"/>
  <c r="P54" i="30"/>
  <c r="Q52" i="30"/>
  <c r="Q26" i="30"/>
  <c r="P28" i="30"/>
  <c r="K6" i="30"/>
  <c r="K9" i="30" s="1"/>
  <c r="K11" i="30" s="1"/>
  <c r="K13" i="30" s="1"/>
  <c r="L4" i="30"/>
  <c r="M42" i="30"/>
  <c r="M12" i="30"/>
  <c r="P11" i="29"/>
  <c r="Q8" i="29"/>
  <c r="O48" i="29"/>
  <c r="J45" i="29"/>
  <c r="T47" i="29"/>
  <c r="V53" i="29"/>
  <c r="N28" i="29"/>
  <c r="N33" i="29" s="1"/>
  <c r="K36" i="29"/>
  <c r="H5" i="6" s="1"/>
  <c r="AB62" i="29"/>
  <c r="Z62" i="29"/>
  <c r="AC62" i="29"/>
  <c r="AI62" i="29"/>
  <c r="AA62" i="29"/>
  <c r="W34" i="29"/>
  <c r="U34" i="29"/>
  <c r="AD34" i="29" s="1"/>
  <c r="V34" i="29"/>
  <c r="X34" i="29"/>
  <c r="AG27" i="29"/>
  <c r="AA18" i="29"/>
  <c r="AC19" i="29"/>
  <c r="O14" i="29"/>
  <c r="O15" i="29" s="1"/>
  <c r="V12" i="29"/>
  <c r="AD23" i="29"/>
  <c r="AE23" i="29" s="1"/>
  <c r="V28" i="29"/>
  <c r="V33" i="29" s="1"/>
  <c r="W21" i="29"/>
  <c r="AI29" i="29"/>
  <c r="AB32" i="29"/>
  <c r="AB31" i="29"/>
  <c r="AC30" i="29"/>
  <c r="AD45" i="29"/>
  <c r="AK38" i="29"/>
  <c r="M12" i="29"/>
  <c r="L13" i="29"/>
  <c r="L26" i="29" s="1"/>
  <c r="L36" i="29" s="1"/>
  <c r="I5" i="6" s="1"/>
  <c r="I8" i="6" s="1"/>
  <c r="I16" i="6" s="1"/>
  <c r="I18" i="6" s="1"/>
  <c r="I20" i="6" s="1"/>
  <c r="I48" i="6" s="1"/>
  <c r="S10" i="29"/>
  <c r="U20" i="29"/>
  <c r="V18" i="29"/>
  <c r="Y8" i="29"/>
  <c r="T7" i="29"/>
  <c r="G11" i="29"/>
  <c r="G13" i="29" s="1"/>
  <c r="F8" i="29"/>
  <c r="AG74" i="17"/>
  <c r="AG76" i="17" s="1"/>
  <c r="H110" i="17"/>
  <c r="H114" i="17" s="1"/>
  <c r="U84" i="17"/>
  <c r="U86" i="17" s="1"/>
  <c r="U88" i="17" s="1"/>
  <c r="U89" i="17" s="1"/>
  <c r="U102" i="17" s="1"/>
  <c r="U34" i="17" s="1"/>
  <c r="V83" i="17"/>
  <c r="V94" i="17" s="1"/>
  <c r="V95" i="17" s="1"/>
  <c r="V97" i="17" s="1"/>
  <c r="V99" i="17" s="1"/>
  <c r="V100" i="17" s="1"/>
  <c r="W100" i="17" s="1"/>
  <c r="W99" i="17" s="1"/>
  <c r="AL11" i="17"/>
  <c r="AQ157" i="17"/>
  <c r="AQ135" i="17" s="1"/>
  <c r="AV156" i="17"/>
  <c r="S104" i="17"/>
  <c r="S106" i="17" s="1"/>
  <c r="AL74" i="17"/>
  <c r="AL76" i="17" s="1"/>
  <c r="L28" i="17"/>
  <c r="O32" i="17"/>
  <c r="O29" i="17" s="1"/>
  <c r="O28" i="17" s="1"/>
  <c r="O21" i="17"/>
  <c r="AE104" i="6"/>
  <c r="AG113" i="17"/>
  <c r="AL1" i="17"/>
  <c r="BA94" i="17"/>
  <c r="CE62" i="17"/>
  <c r="CN106" i="6"/>
  <c r="CE51" i="17"/>
  <c r="BA18" i="17"/>
  <c r="AV16" i="17"/>
  <c r="Q10" i="17"/>
  <c r="Q12" i="17" s="1"/>
  <c r="Q14" i="17" s="1"/>
  <c r="Q15" i="17" s="1"/>
  <c r="AG159" i="17"/>
  <c r="AB136" i="17"/>
  <c r="T104" i="17"/>
  <c r="T106" i="17" s="1"/>
  <c r="AB76" i="17"/>
  <c r="AB74" i="17"/>
  <c r="AL145" i="17"/>
  <c r="AL133" i="17" s="1"/>
  <c r="AQ144" i="17"/>
  <c r="N110" i="17"/>
  <c r="AQ83" i="17"/>
  <c r="AV64" i="17"/>
  <c r="AQ65" i="17"/>
  <c r="AQ67" i="17" s="1"/>
  <c r="AQ69" i="17" s="1"/>
  <c r="AQ70" i="17" s="1"/>
  <c r="AV53" i="17"/>
  <c r="AQ54" i="17"/>
  <c r="AQ56" i="17" s="1"/>
  <c r="AQ58" i="17" s="1"/>
  <c r="AQ59" i="17" s="1"/>
  <c r="M32" i="17"/>
  <c r="I31" i="17"/>
  <c r="AB21" i="17"/>
  <c r="T9" i="17"/>
  <c r="S10" i="17"/>
  <c r="S12" i="17" s="1"/>
  <c r="S14" i="17" s="1"/>
  <c r="S15" i="17" s="1"/>
  <c r="P32" i="17"/>
  <c r="P29" i="17" s="1"/>
  <c r="P28" i="17" s="1"/>
  <c r="P21" i="17"/>
  <c r="N32" i="17"/>
  <c r="N29" i="17" s="1"/>
  <c r="N28" i="17" s="1"/>
  <c r="N21" i="17"/>
  <c r="S27" i="17"/>
  <c r="T26" i="17"/>
  <c r="AG26" i="17"/>
  <c r="AB27" i="17"/>
  <c r="AB29" i="17" s="1"/>
  <c r="AB31" i="17" s="1"/>
  <c r="AG12" i="17"/>
  <c r="AG14" i="17" s="1"/>
  <c r="AG15" i="17" s="1"/>
  <c r="P27" i="16"/>
  <c r="P28" i="16"/>
  <c r="V6" i="16"/>
  <c r="T5" i="16"/>
  <c r="R5" i="16"/>
  <c r="V14" i="16"/>
  <c r="S5" i="16"/>
  <c r="K28" i="16"/>
  <c r="K27" i="16"/>
  <c r="P114" i="6"/>
  <c r="P116" i="6" s="1"/>
  <c r="Y35" i="16"/>
  <c r="AQ29" i="16"/>
  <c r="AQ31" i="16" s="1"/>
  <c r="AF9" i="16"/>
  <c r="AF5" i="16"/>
  <c r="AK4" i="16"/>
  <c r="AA14" i="16"/>
  <c r="X5" i="16"/>
  <c r="AA6" i="16"/>
  <c r="Y5" i="16"/>
  <c r="W5" i="16"/>
  <c r="R9" i="16"/>
  <c r="S8" i="16"/>
  <c r="AS29" i="16"/>
  <c r="AS31" i="16" s="1"/>
  <c r="Q15" i="16"/>
  <c r="V15" i="16" s="1"/>
  <c r="M15" i="16"/>
  <c r="J9" i="16"/>
  <c r="J10" i="16" s="1"/>
  <c r="K8" i="16"/>
  <c r="K9" i="16" s="1"/>
  <c r="K10" i="16" s="1"/>
  <c r="AT29" i="16"/>
  <c r="AT31" i="16" s="1"/>
  <c r="AR29" i="16"/>
  <c r="AR31" i="16" s="1"/>
  <c r="AL29" i="16"/>
  <c r="AL31" i="16" s="1"/>
  <c r="AJ29" i="16"/>
  <c r="AJ31" i="16" s="1"/>
  <c r="AH29" i="16"/>
  <c r="AH31" i="16" s="1"/>
  <c r="N29" i="16"/>
  <c r="N31" i="16" s="1"/>
  <c r="J29" i="16"/>
  <c r="J31" i="16" s="1"/>
  <c r="L29" i="16"/>
  <c r="L31" i="16" s="1"/>
  <c r="L14" i="16"/>
  <c r="BA111" i="6"/>
  <c r="BA107" i="6"/>
  <c r="AV111" i="6"/>
  <c r="AV107" i="6"/>
  <c r="AQ111" i="6"/>
  <c r="AQ107" i="6"/>
  <c r="AL111" i="6"/>
  <c r="AL107" i="6"/>
  <c r="AC107" i="6"/>
  <c r="BB111" i="6"/>
  <c r="BB107" i="6"/>
  <c r="AW111" i="6"/>
  <c r="AW107" i="6"/>
  <c r="AR111" i="6"/>
  <c r="AR107" i="6"/>
  <c r="AM111" i="6"/>
  <c r="AM107" i="6"/>
  <c r="BG44" i="6"/>
  <c r="BG46" i="6" s="1"/>
  <c r="BH44" i="6"/>
  <c r="BH46" i="6" s="1"/>
  <c r="BN40" i="6"/>
  <c r="BL40" i="6"/>
  <c r="AF39" i="6"/>
  <c r="AF40" i="6" s="1"/>
  <c r="BT33" i="6"/>
  <c r="CX33" i="6"/>
  <c r="CA32" i="6"/>
  <c r="CA34" i="6" s="1"/>
  <c r="CF25" i="6"/>
  <c r="BM40" i="6"/>
  <c r="BK40" i="6"/>
  <c r="T39" i="6"/>
  <c r="V39" i="6" s="1"/>
  <c r="BZ32" i="6"/>
  <c r="BZ34" i="6" s="1"/>
  <c r="CE25" i="6"/>
  <c r="BW10" i="6"/>
  <c r="BR11" i="6"/>
  <c r="BR16" i="6" s="1"/>
  <c r="BR18" i="6" s="1"/>
  <c r="BS10" i="6"/>
  <c r="BN11" i="6"/>
  <c r="BN16" i="6" s="1"/>
  <c r="S19" i="6"/>
  <c r="W19" i="6"/>
  <c r="AF19" i="6"/>
  <c r="R169" i="17" s="1"/>
  <c r="BW19" i="6"/>
  <c r="BI169" i="17" s="1"/>
  <c r="BI170" i="17" s="1"/>
  <c r="BI172" i="17" s="1"/>
  <c r="BU19" i="6"/>
  <c r="BG169" i="17" s="1"/>
  <c r="BG170" i="17" s="1"/>
  <c r="BG172" i="17" s="1"/>
  <c r="P19" i="6"/>
  <c r="BC111" i="6"/>
  <c r="BC107" i="6"/>
  <c r="AX111" i="6"/>
  <c r="AX107" i="6"/>
  <c r="AS111" i="6"/>
  <c r="AS107" i="6"/>
  <c r="AN111" i="6"/>
  <c r="AN107" i="6"/>
  <c r="BD111" i="6"/>
  <c r="BD107" i="6"/>
  <c r="AY111" i="6"/>
  <c r="AY107" i="6"/>
  <c r="AT111" i="6"/>
  <c r="AT107" i="6"/>
  <c r="AO111" i="6"/>
  <c r="AO107" i="6"/>
  <c r="P72" i="6"/>
  <c r="P25" i="6" s="1"/>
  <c r="R71" i="6"/>
  <c r="R72" i="6" s="1"/>
  <c r="R25" i="6" s="1"/>
  <c r="BI44" i="6"/>
  <c r="BI46" i="6" s="1"/>
  <c r="P45" i="6"/>
  <c r="O44" i="6"/>
  <c r="O46" i="6" s="1"/>
  <c r="K46" i="6"/>
  <c r="BF44" i="6"/>
  <c r="BF46" i="6" s="1"/>
  <c r="BN44" i="6"/>
  <c r="BN46" i="6" s="1"/>
  <c r="BL44" i="6"/>
  <c r="BL46" i="6" s="1"/>
  <c r="S32" i="6"/>
  <c r="S31" i="6" s="1"/>
  <c r="S29" i="6" s="1"/>
  <c r="S28" i="6" s="1"/>
  <c r="T33" i="6"/>
  <c r="CC32" i="6"/>
  <c r="CC34" i="6" s="1"/>
  <c r="CH25" i="6"/>
  <c r="L31" i="6"/>
  <c r="K29" i="6"/>
  <c r="L29" i="6" s="1"/>
  <c r="BM44" i="6"/>
  <c r="BM46" i="6" s="1"/>
  <c r="BK44" i="6"/>
  <c r="BK46" i="6" s="1"/>
  <c r="O39" i="6"/>
  <c r="Q39" i="6" s="1"/>
  <c r="CB32" i="6"/>
  <c r="CB34" i="6" s="1"/>
  <c r="CG25" i="6"/>
  <c r="L24" i="6"/>
  <c r="BU10" i="6"/>
  <c r="BP11" i="6"/>
  <c r="BP16" i="6" s="1"/>
  <c r="BP18" i="6" s="1"/>
  <c r="BQ10" i="6"/>
  <c r="BL11" i="6"/>
  <c r="BL16" i="6" s="1"/>
  <c r="CC19" i="6"/>
  <c r="BO169" i="17" s="1"/>
  <c r="BO170" i="17" s="1"/>
  <c r="BO172" i="17" s="1"/>
  <c r="K14" i="6"/>
  <c r="AF51" i="6"/>
  <c r="AK1" i="6"/>
  <c r="R14" i="22"/>
  <c r="AM19" i="22"/>
  <c r="Y15" i="22"/>
  <c r="N12" i="22"/>
  <c r="N23" i="22" s="1"/>
  <c r="O11" i="22"/>
  <c r="AC24" i="22"/>
  <c r="AC6" i="22"/>
  <c r="AD5" i="22"/>
  <c r="AP15" i="22"/>
  <c r="AL15" i="22"/>
  <c r="AD15" i="22"/>
  <c r="W12" i="22"/>
  <c r="X11" i="22"/>
  <c r="AF7" i="22"/>
  <c r="W7" i="22"/>
  <c r="AH19" i="22"/>
  <c r="AB18" i="22"/>
  <c r="O14" i="22"/>
  <c r="AU19" i="22"/>
  <c r="AQ19" i="22"/>
  <c r="W14" i="22"/>
  <c r="R12" i="22"/>
  <c r="S11" i="22"/>
  <c r="N8" i="22"/>
  <c r="N22" i="22" s="1"/>
  <c r="N25" i="22" s="1"/>
  <c r="O7" i="22"/>
  <c r="Y24" i="22"/>
  <c r="Y6" i="22"/>
  <c r="Z5" i="22"/>
  <c r="T24" i="22"/>
  <c r="T6" i="22"/>
  <c r="U5" i="22"/>
  <c r="O24" i="22"/>
  <c r="O6" i="22"/>
  <c r="P5" i="22"/>
  <c r="AE19" i="22"/>
  <c r="U15" i="22"/>
  <c r="P16" i="22"/>
  <c r="Q16" i="22" s="1"/>
  <c r="Q12" i="22" s="1"/>
  <c r="AH15" i="22"/>
  <c r="AB14" i="22"/>
  <c r="AF11" i="22"/>
  <c r="AB11" i="22"/>
  <c r="R8" i="22"/>
  <c r="R22" i="22" s="1"/>
  <c r="S7" i="22"/>
  <c r="BO46" i="3"/>
  <c r="BY46" i="3"/>
  <c r="CD31" i="3"/>
  <c r="BZ36" i="3"/>
  <c r="CE28" i="3"/>
  <c r="CB36" i="3"/>
  <c r="CG28" i="3"/>
  <c r="BX36" i="3"/>
  <c r="CC28" i="3"/>
  <c r="BV36" i="3"/>
  <c r="BV38" i="3" s="1"/>
  <c r="BV40" i="3" s="1"/>
  <c r="CA39" i="3" s="1"/>
  <c r="CA28" i="3"/>
  <c r="CH21" i="3"/>
  <c r="CC25" i="3"/>
  <c r="CD21" i="3"/>
  <c r="BY25" i="3"/>
  <c r="BZ21" i="3"/>
  <c r="BU25" i="3"/>
  <c r="BU38" i="3" s="1"/>
  <c r="BX38" i="3"/>
  <c r="BX40" i="3" s="1"/>
  <c r="CC39" i="3" s="1"/>
  <c r="BE46" i="3"/>
  <c r="BJ28" i="3"/>
  <c r="BE36" i="3"/>
  <c r="AZ46" i="3"/>
  <c r="AZ36" i="3"/>
  <c r="BJ46" i="3"/>
  <c r="BT46" i="3"/>
  <c r="K25" i="3"/>
  <c r="K38" i="3" s="1"/>
  <c r="K40" i="3" s="1"/>
  <c r="CF21" i="3"/>
  <c r="CA25" i="3"/>
  <c r="CB21" i="3"/>
  <c r="BW25" i="3"/>
  <c r="BW38" i="3" s="1"/>
  <c r="BW40" i="3" s="1"/>
  <c r="CB39" i="3" s="1"/>
  <c r="AZ18" i="2"/>
  <c r="BE18" i="2" s="1"/>
  <c r="BJ18" i="2" s="1"/>
  <c r="BO18" i="2" s="1"/>
  <c r="BT18" i="2" s="1"/>
  <c r="BY18" i="2" s="1"/>
  <c r="CI6" i="3"/>
  <c r="CD17" i="2"/>
  <c r="BJ38" i="2"/>
  <c r="BV61" i="2"/>
  <c r="CA15" i="2"/>
  <c r="BO28" i="2"/>
  <c r="BT23" i="2"/>
  <c r="BT16" i="3" s="1"/>
  <c r="BU61" i="2"/>
  <c r="BZ15" i="2"/>
  <c r="BE36" i="2"/>
  <c r="CC61" i="2"/>
  <c r="CH15" i="2"/>
  <c r="BV21" i="2"/>
  <c r="BU21" i="2"/>
  <c r="AU36" i="2"/>
  <c r="AZ36" i="2"/>
  <c r="BT30" i="2"/>
  <c r="CB61" i="2"/>
  <c r="CG15" i="2"/>
  <c r="BX62" i="2"/>
  <c r="BX63" i="2"/>
  <c r="CC21" i="2"/>
  <c r="AH50" i="13"/>
  <c r="AH53" i="13" s="1"/>
  <c r="BE36" i="13"/>
  <c r="BE25" i="1" s="1"/>
  <c r="BE31" i="13"/>
  <c r="BE32" i="13" s="1"/>
  <c r="Z33" i="13"/>
  <c r="Z48" i="13" s="1"/>
  <c r="Z53" i="13" s="1"/>
  <c r="AP26" i="13"/>
  <c r="AP33" i="13" s="1"/>
  <c r="AP48" i="13" s="1"/>
  <c r="AT32" i="13"/>
  <c r="AI50" i="13"/>
  <c r="AI53" i="13" s="1"/>
  <c r="AJ51" i="13"/>
  <c r="BE51" i="13"/>
  <c r="AP7" i="13"/>
  <c r="AS44" i="1"/>
  <c r="AT44" i="1"/>
  <c r="AV77" i="1"/>
  <c r="AZ44" i="1"/>
  <c r="BE55" i="1"/>
  <c r="BU40" i="3" l="1"/>
  <c r="BZ39" i="3" s="1"/>
  <c r="AA76" i="17"/>
  <c r="AA74" i="17"/>
  <c r="AW51" i="13"/>
  <c r="AV10" i="1"/>
  <c r="AB32" i="17"/>
  <c r="AB34" i="17" s="1"/>
  <c r="X31" i="17"/>
  <c r="AY62" i="1"/>
  <c r="AY44" i="1" s="1"/>
  <c r="M28" i="6"/>
  <c r="AO27" i="35"/>
  <c r="AF22" i="29"/>
  <c r="AG22" i="29" s="1"/>
  <c r="AH22" i="29" s="1"/>
  <c r="CB12" i="3"/>
  <c r="CB18" i="3"/>
  <c r="BJ92" i="35"/>
  <c r="BK91" i="35"/>
  <c r="W27" i="35"/>
  <c r="AM27" i="35"/>
  <c r="CL23" i="2"/>
  <c r="CG16" i="3"/>
  <c r="AI27" i="35"/>
  <c r="AS88" i="35"/>
  <c r="BO33" i="2"/>
  <c r="BJ8" i="3"/>
  <c r="BJ35" i="2"/>
  <c r="BJ36" i="2" s="1"/>
  <c r="AF21" i="16"/>
  <c r="AK21" i="16" s="1"/>
  <c r="AP21" i="16" s="1"/>
  <c r="AU21" i="16" s="1"/>
  <c r="AZ21" i="16" s="1"/>
  <c r="BE21" i="16" s="1"/>
  <c r="BJ21" i="16" s="1"/>
  <c r="BO21" i="16" s="1"/>
  <c r="BT21" i="16" s="1"/>
  <c r="BY21" i="16" s="1"/>
  <c r="W21" i="16"/>
  <c r="X21" i="16" s="1"/>
  <c r="Y21" i="16" s="1"/>
  <c r="Z21" i="16" s="1"/>
  <c r="BJ78" i="1"/>
  <c r="AQ27" i="35"/>
  <c r="BJ21" i="35"/>
  <c r="BK21" i="35" s="1"/>
  <c r="BL21" i="35" s="1"/>
  <c r="BM21" i="35" s="1"/>
  <c r="BN21" i="35" s="1"/>
  <c r="BO21" i="35" s="1"/>
  <c r="BP21" i="35" s="1"/>
  <c r="BQ21" i="35" s="1"/>
  <c r="BR21" i="35" s="1"/>
  <c r="BS21" i="35" s="1"/>
  <c r="BT21" i="35" s="1"/>
  <c r="BU21" i="35" s="1"/>
  <c r="BV21" i="35" s="1"/>
  <c r="BE80" i="35"/>
  <c r="AW81" i="35"/>
  <c r="AW88" i="35" s="1"/>
  <c r="BA88" i="35"/>
  <c r="BD81" i="35"/>
  <c r="BD88" i="35" s="1"/>
  <c r="BJ88" i="35"/>
  <c r="BK80" i="35"/>
  <c r="AX81" i="35"/>
  <c r="AX88" i="35" s="1"/>
  <c r="AY81" i="35"/>
  <c r="AY88" i="35" s="1"/>
  <c r="BE81" i="35"/>
  <c r="AX79" i="1"/>
  <c r="AW78" i="1"/>
  <c r="AW77" i="1" s="1"/>
  <c r="BC169" i="17"/>
  <c r="BC170" i="17" s="1"/>
  <c r="BC172" i="17" s="1"/>
  <c r="BV19" i="6"/>
  <c r="BJ62" i="1"/>
  <c r="BE7" i="3"/>
  <c r="BE41" i="2" s="1"/>
  <c r="K28" i="6"/>
  <c r="L28" i="6" s="1"/>
  <c r="AK25" i="35"/>
  <c r="AB88" i="35"/>
  <c r="U88" i="35"/>
  <c r="AK80" i="35"/>
  <c r="AK88" i="35" s="1"/>
  <c r="AK23" i="35"/>
  <c r="AT81" i="35"/>
  <c r="AT88" i="35" s="1"/>
  <c r="V81" i="35"/>
  <c r="V88" i="35" s="1"/>
  <c r="AP81" i="35"/>
  <c r="AP88" i="35" s="1"/>
  <c r="AA81" i="35"/>
  <c r="AA88" i="35" s="1"/>
  <c r="AF81" i="35"/>
  <c r="AF88" i="35" s="1"/>
  <c r="M14" i="26"/>
  <c r="L12" i="26"/>
  <c r="M15" i="26"/>
  <c r="P11" i="26"/>
  <c r="O13" i="26"/>
  <c r="Z27" i="35"/>
  <c r="AH27" i="35"/>
  <c r="AN27" i="35"/>
  <c r="AB27" i="35"/>
  <c r="AR27" i="35"/>
  <c r="AU21" i="35"/>
  <c r="AU80" i="35" s="1"/>
  <c r="AU14" i="35"/>
  <c r="V25" i="35"/>
  <c r="V23" i="35"/>
  <c r="V27" i="35" s="1"/>
  <c r="AT25" i="35"/>
  <c r="AT23" i="35"/>
  <c r="AT27" i="35" s="1"/>
  <c r="AP25" i="35"/>
  <c r="AP23" i="35"/>
  <c r="BE23" i="35"/>
  <c r="AA25" i="35"/>
  <c r="AA23" i="35"/>
  <c r="AF25" i="35"/>
  <c r="AF23" i="35"/>
  <c r="AX25" i="35"/>
  <c r="BC25" i="35"/>
  <c r="AX23" i="35"/>
  <c r="L9" i="44"/>
  <c r="AG27" i="35"/>
  <c r="AL27" i="35"/>
  <c r="BD25" i="35"/>
  <c r="BI25" i="35"/>
  <c r="BD23" i="35"/>
  <c r="X27" i="35"/>
  <c r="AV27" i="35"/>
  <c r="AW25" i="35"/>
  <c r="BB25" i="35"/>
  <c r="AW23" i="35"/>
  <c r="AZ21" i="35"/>
  <c r="AZ80" i="35" s="1"/>
  <c r="AZ14" i="35"/>
  <c r="AZ16" i="35"/>
  <c r="AD27" i="35"/>
  <c r="AY25" i="35"/>
  <c r="AY23" i="35"/>
  <c r="BE16" i="35"/>
  <c r="AJ27" i="35"/>
  <c r="G4" i="26"/>
  <c r="G6" i="26" s="1"/>
  <c r="G8" i="26" s="1"/>
  <c r="G10" i="26" s="1"/>
  <c r="H2" i="26"/>
  <c r="P14" i="25"/>
  <c r="Q12" i="25"/>
  <c r="I4" i="25"/>
  <c r="I6" i="25" s="1"/>
  <c r="I9" i="25" s="1"/>
  <c r="I11" i="25" s="1"/>
  <c r="J2" i="25"/>
  <c r="O13" i="25"/>
  <c r="O16" i="25"/>
  <c r="O15" i="25"/>
  <c r="AW6" i="24"/>
  <c r="AW8" i="24" s="1"/>
  <c r="AW11" i="24" s="1"/>
  <c r="AW13" i="24" s="1"/>
  <c r="BB4" i="24"/>
  <c r="CA19" i="24"/>
  <c r="M6" i="24"/>
  <c r="M9" i="24" s="1"/>
  <c r="M5" i="24"/>
  <c r="R6" i="24"/>
  <c r="R9" i="24" s="1"/>
  <c r="R5" i="24"/>
  <c r="W6" i="24"/>
  <c r="W9" i="24" s="1"/>
  <c r="W5" i="24"/>
  <c r="AB6" i="24"/>
  <c r="AB9" i="24" s="1"/>
  <c r="AB5" i="24"/>
  <c r="AG6" i="24"/>
  <c r="AG9" i="24" s="1"/>
  <c r="AG5" i="24"/>
  <c r="BV24" i="24"/>
  <c r="BV22" i="24"/>
  <c r="BV20" i="24"/>
  <c r="BV23" i="24"/>
  <c r="BV21" i="24"/>
  <c r="AL6" i="24"/>
  <c r="AL9" i="24" s="1"/>
  <c r="AL5" i="24"/>
  <c r="AP11" i="24"/>
  <c r="AP13" i="24" s="1"/>
  <c r="AQ8" i="24"/>
  <c r="Q28" i="29"/>
  <c r="Q33" i="29" s="1"/>
  <c r="R29" i="29"/>
  <c r="L6" i="30"/>
  <c r="L9" i="30" s="1"/>
  <c r="L11" i="30" s="1"/>
  <c r="L13" i="30" s="1"/>
  <c r="M4" i="30"/>
  <c r="Q54" i="30"/>
  <c r="R52" i="30"/>
  <c r="N47" i="30"/>
  <c r="N45" i="30"/>
  <c r="N48" i="30"/>
  <c r="N42" i="30"/>
  <c r="N12" i="30"/>
  <c r="O12" i="30" s="1"/>
  <c r="P12" i="30" s="1"/>
  <c r="Q12" i="30" s="1"/>
  <c r="R12" i="30" s="1"/>
  <c r="S12" i="30" s="1"/>
  <c r="Q28" i="30"/>
  <c r="R26" i="30"/>
  <c r="F11" i="29"/>
  <c r="F13" i="29" s="1"/>
  <c r="E8" i="29"/>
  <c r="AD8" i="29"/>
  <c r="Z8" i="29" s="1"/>
  <c r="AA8" i="29" s="1"/>
  <c r="AB8" i="29" s="1"/>
  <c r="AC8" i="29" s="1"/>
  <c r="Y7" i="29"/>
  <c r="Y48" i="29"/>
  <c r="AE30" i="29"/>
  <c r="AC32" i="29"/>
  <c r="AC31" i="29"/>
  <c r="W28" i="29"/>
  <c r="X21" i="29"/>
  <c r="AF23" i="29"/>
  <c r="AG23" i="29" s="1"/>
  <c r="AH23" i="29" s="1"/>
  <c r="AD19" i="29"/>
  <c r="AH27" i="29"/>
  <c r="AI34" i="29"/>
  <c r="AC34" i="29"/>
  <c r="AA34" i="29"/>
  <c r="Z34" i="29"/>
  <c r="AB34" i="29"/>
  <c r="H8" i="6"/>
  <c r="H16" i="6" s="1"/>
  <c r="H18" i="6" s="1"/>
  <c r="H20" i="6" s="1"/>
  <c r="H48" i="6" s="1"/>
  <c r="W53" i="29"/>
  <c r="J48" i="29"/>
  <c r="I45" i="29"/>
  <c r="I34" i="30" s="1"/>
  <c r="J34" i="30" s="1"/>
  <c r="P13" i="29"/>
  <c r="U8" i="29"/>
  <c r="V8" i="29" s="1"/>
  <c r="W8" i="29" s="1"/>
  <c r="X8" i="29" s="1"/>
  <c r="W18" i="29"/>
  <c r="V20" i="29"/>
  <c r="U10" i="29"/>
  <c r="M13" i="29"/>
  <c r="M26" i="29" s="1"/>
  <c r="M36" i="29" s="1"/>
  <c r="J5" i="6" s="1"/>
  <c r="J8" i="6" s="1"/>
  <c r="J16" i="6" s="1"/>
  <c r="J18" i="6" s="1"/>
  <c r="J20" i="6" s="1"/>
  <c r="J48" i="6" s="1"/>
  <c r="N12" i="29"/>
  <c r="N13" i="29" s="1"/>
  <c r="N26" i="29" s="1"/>
  <c r="N36" i="29" s="1"/>
  <c r="N38" i="29" s="1"/>
  <c r="AL38" i="29"/>
  <c r="AD48" i="29"/>
  <c r="AI45" i="29"/>
  <c r="W12" i="29"/>
  <c r="AB18" i="29"/>
  <c r="AA20" i="29"/>
  <c r="AJ62" i="29"/>
  <c r="AK62" i="29" s="1"/>
  <c r="AL62" i="29" s="1"/>
  <c r="AM62" i="29" s="1"/>
  <c r="AH62" i="29"/>
  <c r="AG62" i="29" s="1"/>
  <c r="AF62" i="29" s="1"/>
  <c r="AE62" i="29" s="1"/>
  <c r="O33" i="29"/>
  <c r="O28" i="29" s="1"/>
  <c r="O26" i="29"/>
  <c r="P48" i="29"/>
  <c r="O47" i="29"/>
  <c r="R8" i="29"/>
  <c r="Q11" i="29"/>
  <c r="Q13" i="29" s="1"/>
  <c r="Q26" i="29" s="1"/>
  <c r="Q36" i="29" s="1"/>
  <c r="U26" i="17"/>
  <c r="T27" i="17"/>
  <c r="S32" i="17"/>
  <c r="S29" i="17" s="1"/>
  <c r="S28" i="17" s="1"/>
  <c r="S21" i="17"/>
  <c r="S20" i="17"/>
  <c r="BA53" i="17"/>
  <c r="AV54" i="17"/>
  <c r="AV56" i="17" s="1"/>
  <c r="AV58" i="17" s="1"/>
  <c r="AV59" i="17" s="1"/>
  <c r="BA64" i="17"/>
  <c r="AV65" i="17"/>
  <c r="AV67" i="17" s="1"/>
  <c r="AV69" i="17" s="1"/>
  <c r="AV70" i="17" s="1"/>
  <c r="BF18" i="17"/>
  <c r="BA16" i="17"/>
  <c r="CJ51" i="17"/>
  <c r="CS106" i="6"/>
  <c r="CJ62" i="17"/>
  <c r="AE107" i="6"/>
  <c r="U104" i="17"/>
  <c r="U106" i="17" s="1"/>
  <c r="AG20" i="17"/>
  <c r="AG21" i="17" s="1"/>
  <c r="AL26" i="17"/>
  <c r="AG27" i="17"/>
  <c r="AG29" i="17" s="1"/>
  <c r="AG31" i="17" s="1"/>
  <c r="AG32" i="17" s="1"/>
  <c r="T10" i="17"/>
  <c r="T12" i="17" s="1"/>
  <c r="T14" i="17" s="1"/>
  <c r="T15" i="17" s="1"/>
  <c r="T32" i="17" s="1"/>
  <c r="U9" i="17"/>
  <c r="I32" i="17"/>
  <c r="I15" i="17" s="1"/>
  <c r="I12" i="17" s="1"/>
  <c r="J31" i="17"/>
  <c r="AQ72" i="17"/>
  <c r="AV83" i="17"/>
  <c r="AQ145" i="17"/>
  <c r="AQ133" i="17" s="1"/>
  <c r="AV144" i="17"/>
  <c r="AL159" i="17"/>
  <c r="AG136" i="17"/>
  <c r="BF94" i="17"/>
  <c r="AL113" i="17"/>
  <c r="AQ1" i="17"/>
  <c r="Q32" i="17"/>
  <c r="Q29" i="17" s="1"/>
  <c r="Q28" i="17" s="1"/>
  <c r="R28" i="17" s="1"/>
  <c r="R29" i="17" s="1"/>
  <c r="R32" i="17" s="1"/>
  <c r="R34" i="17" s="1"/>
  <c r="Q21" i="17"/>
  <c r="AV157" i="17"/>
  <c r="AV135" i="17" s="1"/>
  <c r="BA156" i="17"/>
  <c r="AQ11" i="17"/>
  <c r="AL12" i="17"/>
  <c r="AL14" i="17" s="1"/>
  <c r="AL15" i="17" s="1"/>
  <c r="L10" i="16"/>
  <c r="AA15" i="16"/>
  <c r="R15" i="16"/>
  <c r="S15" i="16" s="1"/>
  <c r="T15" i="16" s="1"/>
  <c r="U15" i="16" s="1"/>
  <c r="T8" i="16"/>
  <c r="S9" i="16"/>
  <c r="W6" i="16"/>
  <c r="AA28" i="16"/>
  <c r="AA27" i="16"/>
  <c r="AA11" i="16"/>
  <c r="AA13" i="16" s="1"/>
  <c r="Z5" i="16"/>
  <c r="AK5" i="16"/>
  <c r="AK9" i="16"/>
  <c r="AP4" i="16"/>
  <c r="Z35" i="16"/>
  <c r="S14" i="16"/>
  <c r="S6" i="16"/>
  <c r="T6" i="16"/>
  <c r="L9" i="16"/>
  <c r="M14" i="16"/>
  <c r="M13" i="16" s="1"/>
  <c r="M11" i="16" s="1"/>
  <c r="N15" i="16"/>
  <c r="Y6" i="16"/>
  <c r="X6" i="16"/>
  <c r="AA16" i="16"/>
  <c r="AF6" i="16"/>
  <c r="AF14" i="16"/>
  <c r="K29" i="16"/>
  <c r="K31" i="16" s="1"/>
  <c r="U5" i="16"/>
  <c r="R6" i="16"/>
  <c r="V28" i="16"/>
  <c r="V27" i="16"/>
  <c r="V11" i="16"/>
  <c r="V13" i="16" s="1"/>
  <c r="V16" i="16" s="1"/>
  <c r="V20" i="16" s="1"/>
  <c r="V34" i="16"/>
  <c r="P29" i="16"/>
  <c r="P31" i="16" s="1"/>
  <c r="AK51" i="6"/>
  <c r="AP1" i="6"/>
  <c r="CH19" i="6"/>
  <c r="BT169" i="17" s="1"/>
  <c r="BT170" i="17" s="1"/>
  <c r="BT172" i="17" s="1"/>
  <c r="BQ11" i="6"/>
  <c r="BQ16" i="6" s="1"/>
  <c r="BV10" i="6"/>
  <c r="BU11" i="6"/>
  <c r="BU16" i="6" s="1"/>
  <c r="BU18" i="6" s="1"/>
  <c r="BZ10" i="6"/>
  <c r="CH32" i="6"/>
  <c r="CH34" i="6" s="1"/>
  <c r="CM25" i="6"/>
  <c r="CM32" i="6" s="1"/>
  <c r="CM34" i="6" s="1"/>
  <c r="U33" i="6"/>
  <c r="T32" i="6"/>
  <c r="T31" i="6" s="1"/>
  <c r="T29" i="6" s="1"/>
  <c r="T28" i="6" s="1"/>
  <c r="P32" i="6"/>
  <c r="P24" i="6"/>
  <c r="Q25" i="6"/>
  <c r="Q24" i="6" s="1"/>
  <c r="AK19" i="6"/>
  <c r="W169" i="17" s="1"/>
  <c r="AB19" i="6"/>
  <c r="BN18" i="6"/>
  <c r="BN20" i="6" s="1"/>
  <c r="BR20" i="6"/>
  <c r="AK38" i="6"/>
  <c r="BR38" i="6"/>
  <c r="BR42" i="6" s="1"/>
  <c r="BQ38" i="6"/>
  <c r="BQ42" i="6" s="1"/>
  <c r="BL18" i="6"/>
  <c r="BL20" i="6" s="1"/>
  <c r="BP20" i="6"/>
  <c r="CG32" i="6"/>
  <c r="CG34" i="6" s="1"/>
  <c r="CL25" i="6"/>
  <c r="CL32" i="6" s="1"/>
  <c r="CL34" i="6" s="1"/>
  <c r="L46" i="6"/>
  <c r="Q45" i="6"/>
  <c r="P44" i="6"/>
  <c r="P46" i="6" s="1"/>
  <c r="V25" i="6"/>
  <c r="R24" i="6"/>
  <c r="R32" i="6"/>
  <c r="BZ19" i="6"/>
  <c r="BL169" i="17" s="1"/>
  <c r="BL170" i="17" s="1"/>
  <c r="BL172" i="17" s="1"/>
  <c r="CB19" i="6"/>
  <c r="BN169" i="17" s="1"/>
  <c r="BN170" i="17" s="1"/>
  <c r="BN172" i="17" s="1"/>
  <c r="X19" i="6"/>
  <c r="T19" i="6"/>
  <c r="BS11" i="6"/>
  <c r="BS16" i="6" s="1"/>
  <c r="BX10" i="6"/>
  <c r="BW11" i="6"/>
  <c r="BW16" i="6" s="1"/>
  <c r="CB10" i="6"/>
  <c r="CE32" i="6"/>
  <c r="CE34" i="6" s="1"/>
  <c r="CJ25" i="6"/>
  <c r="CJ32" i="6" s="1"/>
  <c r="CJ34" i="6" s="1"/>
  <c r="BP38" i="6"/>
  <c r="BP42" i="6" s="1"/>
  <c r="CF32" i="6"/>
  <c r="CF34" i="6" s="1"/>
  <c r="CK25" i="6"/>
  <c r="CK32" i="6" s="1"/>
  <c r="CK34" i="6" s="1"/>
  <c r="BS38" i="6"/>
  <c r="BS42" i="6" s="1"/>
  <c r="T7" i="22"/>
  <c r="S8" i="22"/>
  <c r="S22" i="22" s="1"/>
  <c r="AB12" i="22"/>
  <c r="AC11" i="22"/>
  <c r="AI15" i="22"/>
  <c r="U24" i="22"/>
  <c r="U6" i="22"/>
  <c r="O8" i="22"/>
  <c r="O22" i="22" s="1"/>
  <c r="P7" i="22"/>
  <c r="P8" i="22" s="1"/>
  <c r="P22" i="22" s="1"/>
  <c r="T11" i="22"/>
  <c r="AR19" i="22"/>
  <c r="P14" i="22"/>
  <c r="AC20" i="22"/>
  <c r="AI19" i="22"/>
  <c r="W23" i="22"/>
  <c r="W10" i="22"/>
  <c r="AE15" i="22"/>
  <c r="AM15" i="22"/>
  <c r="AE24" i="22"/>
  <c r="AD24" i="22"/>
  <c r="AD6" i="22"/>
  <c r="Z15" i="22"/>
  <c r="AN19" i="22"/>
  <c r="AK11" i="22"/>
  <c r="AG11" i="22"/>
  <c r="P24" i="22"/>
  <c r="P6" i="22"/>
  <c r="O25" i="22"/>
  <c r="Z24" i="22"/>
  <c r="Z6" i="22"/>
  <c r="R23" i="22"/>
  <c r="R25" i="22" s="1"/>
  <c r="R10" i="22"/>
  <c r="AZ19" i="22"/>
  <c r="AV19" i="22"/>
  <c r="W8" i="22"/>
  <c r="W22" i="22" s="1"/>
  <c r="W25" i="22" s="1"/>
  <c r="X7" i="22"/>
  <c r="X12" i="22"/>
  <c r="Y11" i="22"/>
  <c r="N10" i="22"/>
  <c r="AC16" i="22"/>
  <c r="AU15" i="22"/>
  <c r="AQ15" i="22"/>
  <c r="O12" i="22"/>
  <c r="O23" i="22" s="1"/>
  <c r="P11" i="22"/>
  <c r="X16" i="22"/>
  <c r="S14" i="22"/>
  <c r="S16" i="22"/>
  <c r="BJ36" i="3"/>
  <c r="BO28" i="3"/>
  <c r="CA36" i="3"/>
  <c r="CA38" i="3" s="1"/>
  <c r="CA40" i="3" s="1"/>
  <c r="CF39" i="3" s="1"/>
  <c r="CF28" i="3"/>
  <c r="CC36" i="3"/>
  <c r="CC38" i="3" s="1"/>
  <c r="CC40" i="3" s="1"/>
  <c r="CH39" i="3" s="1"/>
  <c r="CH28" i="3"/>
  <c r="CG36" i="3"/>
  <c r="CL28" i="3"/>
  <c r="CE36" i="3"/>
  <c r="CJ28" i="3"/>
  <c r="CD46" i="3"/>
  <c r="CI31" i="3"/>
  <c r="CN6" i="3"/>
  <c r="CI17" i="2"/>
  <c r="CD18" i="2"/>
  <c r="CB25" i="3"/>
  <c r="CG21" i="3"/>
  <c r="CF25" i="3"/>
  <c r="CK21" i="3"/>
  <c r="BZ25" i="3"/>
  <c r="BZ38" i="3" s="1"/>
  <c r="CE21" i="3"/>
  <c r="CD25" i="3"/>
  <c r="CI21" i="3"/>
  <c r="CH25" i="3"/>
  <c r="CM21" i="3"/>
  <c r="CG61" i="2"/>
  <c r="CL15" i="2"/>
  <c r="CG21" i="2"/>
  <c r="CC63" i="2"/>
  <c r="CC62" i="2"/>
  <c r="BZ61" i="2"/>
  <c r="CE15" i="2"/>
  <c r="BZ21" i="2"/>
  <c r="BT28" i="2"/>
  <c r="BY23" i="2"/>
  <c r="BY16" i="3" s="1"/>
  <c r="CF15" i="2"/>
  <c r="CA61" i="2"/>
  <c r="CA21" i="2"/>
  <c r="CB63" i="2"/>
  <c r="CB62" i="2"/>
  <c r="BY30" i="2"/>
  <c r="CH61" i="2"/>
  <c r="CM15" i="2"/>
  <c r="CH21" i="2"/>
  <c r="BU63" i="2"/>
  <c r="BU62" i="2"/>
  <c r="BV63" i="2"/>
  <c r="BV62" i="2"/>
  <c r="BO38" i="2"/>
  <c r="BJ51" i="13"/>
  <c r="AP53" i="13"/>
  <c r="BJ31" i="13"/>
  <c r="BJ32" i="13" s="1"/>
  <c r="BJ36" i="13"/>
  <c r="BJ25" i="1" s="1"/>
  <c r="AS7" i="13"/>
  <c r="AZ6" i="13"/>
  <c r="AY6" i="13" s="1"/>
  <c r="AR7" i="13"/>
  <c r="AJ50" i="13"/>
  <c r="AK50" i="13" s="1"/>
  <c r="BJ55" i="1"/>
  <c r="BE44" i="1"/>
  <c r="AU77" i="1"/>
  <c r="BT79" i="1"/>
  <c r="BO78" i="1"/>
  <c r="CB38" i="3" l="1"/>
  <c r="CB40" i="3" s="1"/>
  <c r="CG39" i="3" s="1"/>
  <c r="BZ40" i="3"/>
  <c r="CE39" i="3" s="1"/>
  <c r="AW10" i="1"/>
  <c r="AX51" i="13"/>
  <c r="AX10" i="1" s="1"/>
  <c r="Y31" i="17"/>
  <c r="X32" i="17"/>
  <c r="BL91" i="35"/>
  <c r="BK92" i="35"/>
  <c r="BK95" i="35" s="1"/>
  <c r="AJ53" i="13"/>
  <c r="V29" i="16"/>
  <c r="V31" i="16" s="1"/>
  <c r="AV72" i="17"/>
  <c r="AV74" i="17" s="1"/>
  <c r="AV76" i="17" s="1"/>
  <c r="CG12" i="3"/>
  <c r="CG18" i="3"/>
  <c r="K34" i="30"/>
  <c r="J36" i="30"/>
  <c r="J39" i="30" s="1"/>
  <c r="J41" i="30" s="1"/>
  <c r="J43" i="30" s="1"/>
  <c r="BT33" i="2"/>
  <c r="BO8" i="3"/>
  <c r="BO35" i="2"/>
  <c r="BO36" i="2" s="1"/>
  <c r="CQ23" i="2"/>
  <c r="CL16" i="3"/>
  <c r="AI22" i="29"/>
  <c r="CI18" i="2"/>
  <c r="AZ81" i="35"/>
  <c r="AZ88" i="35" s="1"/>
  <c r="BE88" i="35"/>
  <c r="BK5" i="35"/>
  <c r="BL80" i="35"/>
  <c r="BK81" i="35"/>
  <c r="BK88" i="35" s="1"/>
  <c r="AX78" i="1"/>
  <c r="AX77" i="1" s="1"/>
  <c r="AY79" i="1"/>
  <c r="BH169" i="17"/>
  <c r="BH170" i="17" s="1"/>
  <c r="BH172" i="17" s="1"/>
  <c r="CA19" i="6"/>
  <c r="AB36" i="17"/>
  <c r="AB38" i="17" s="1"/>
  <c r="BO62" i="1"/>
  <c r="BJ7" i="3"/>
  <c r="BJ41" i="2" s="1"/>
  <c r="BS40" i="6"/>
  <c r="BQ40" i="6"/>
  <c r="BV38" i="6" s="1"/>
  <c r="BV42" i="6" s="1"/>
  <c r="AP27" i="35"/>
  <c r="AA27" i="35"/>
  <c r="AU81" i="35"/>
  <c r="AU88" i="35" s="1"/>
  <c r="N12" i="26"/>
  <c r="O14" i="26"/>
  <c r="O15" i="26"/>
  <c r="P13" i="26"/>
  <c r="Q11" i="26"/>
  <c r="BW21" i="35"/>
  <c r="AY27" i="35"/>
  <c r="AZ25" i="35"/>
  <c r="AZ23" i="35"/>
  <c r="BD27" i="35"/>
  <c r="BI27" i="35"/>
  <c r="AX27" i="35"/>
  <c r="BC27" i="35"/>
  <c r="BE25" i="35"/>
  <c r="AU25" i="35"/>
  <c r="AU23" i="35"/>
  <c r="AU27" i="35" s="1"/>
  <c r="AW27" i="35"/>
  <c r="BB27" i="35"/>
  <c r="AF27" i="35"/>
  <c r="AK27" i="35"/>
  <c r="BE27" i="35"/>
  <c r="H4" i="26"/>
  <c r="H6" i="26" s="1"/>
  <c r="H8" i="26" s="1"/>
  <c r="H10" i="26" s="1"/>
  <c r="I2" i="26"/>
  <c r="P16" i="25"/>
  <c r="P15" i="25"/>
  <c r="P13" i="25"/>
  <c r="K2" i="25"/>
  <c r="J4" i="25"/>
  <c r="J6" i="25" s="1"/>
  <c r="J9" i="25" s="1"/>
  <c r="J11" i="25" s="1"/>
  <c r="R12" i="25"/>
  <c r="Q14" i="25"/>
  <c r="CA24" i="24"/>
  <c r="CA22" i="24"/>
  <c r="CA20" i="24"/>
  <c r="CA23" i="24"/>
  <c r="CA21" i="24"/>
  <c r="BG4" i="24"/>
  <c r="BB6" i="24"/>
  <c r="BB8" i="24" s="1"/>
  <c r="BB11" i="24" s="1"/>
  <c r="BB13" i="24" s="1"/>
  <c r="AQ11" i="24"/>
  <c r="AQ13" i="24" s="1"/>
  <c r="AQ9" i="24"/>
  <c r="S29" i="29"/>
  <c r="S28" i="29" s="1"/>
  <c r="S33" i="29" s="1"/>
  <c r="R28" i="29"/>
  <c r="R33" i="29" s="1"/>
  <c r="R28" i="30"/>
  <c r="S26" i="30"/>
  <c r="S28" i="30" s="1"/>
  <c r="L49" i="30"/>
  <c r="M50" i="30"/>
  <c r="O42" i="30"/>
  <c r="R54" i="30"/>
  <c r="S52" i="30"/>
  <c r="S54" i="30" s="1"/>
  <c r="M6" i="30"/>
  <c r="M9" i="30" s="1"/>
  <c r="M11" i="30" s="1"/>
  <c r="M13" i="30" s="1"/>
  <c r="M25" i="30" s="1"/>
  <c r="M30" i="30" s="1"/>
  <c r="V7" i="6" s="1"/>
  <c r="U7" i="6" s="1"/>
  <c r="X39" i="29" s="1"/>
  <c r="N4" i="30"/>
  <c r="S8" i="29"/>
  <c r="S11" i="29" s="1"/>
  <c r="S13" i="29" s="1"/>
  <c r="S26" i="29" s="1"/>
  <c r="R11" i="29"/>
  <c r="R13" i="29" s="1"/>
  <c r="R26" i="29" s="1"/>
  <c r="R36" i="29" s="1"/>
  <c r="P50" i="29"/>
  <c r="Q48" i="29"/>
  <c r="AC18" i="29"/>
  <c r="AD18" i="29" s="1"/>
  <c r="AB20" i="29"/>
  <c r="X12" i="29"/>
  <c r="AD47" i="29"/>
  <c r="AM38" i="29"/>
  <c r="T11" i="29"/>
  <c r="T10" i="29" s="1"/>
  <c r="H45" i="29"/>
  <c r="I48" i="29"/>
  <c r="O35" i="29"/>
  <c r="AI19" i="29"/>
  <c r="AJ19" i="29" s="1"/>
  <c r="AK19" i="29" s="1"/>
  <c r="AL19" i="29" s="1"/>
  <c r="AM19" i="29" s="1"/>
  <c r="AG19" i="29"/>
  <c r="AE19" i="29"/>
  <c r="AF19" i="29"/>
  <c r="AH19" i="29"/>
  <c r="Z21" i="29"/>
  <c r="X28" i="29"/>
  <c r="X33" i="29" s="1"/>
  <c r="AE32" i="29"/>
  <c r="AE31" i="29"/>
  <c r="AF30" i="29"/>
  <c r="AI8" i="29"/>
  <c r="AI48" i="29" s="1"/>
  <c r="AD7" i="29"/>
  <c r="AE8" i="29"/>
  <c r="Q38" i="29"/>
  <c r="N6" i="6" s="1"/>
  <c r="N5" i="6"/>
  <c r="O36" i="29"/>
  <c r="AJ45" i="29"/>
  <c r="U11" i="29"/>
  <c r="V10" i="29"/>
  <c r="W20" i="29"/>
  <c r="Y20" i="29" s="1"/>
  <c r="Y18" i="29"/>
  <c r="P26" i="29"/>
  <c r="K48" i="29"/>
  <c r="J49" i="29"/>
  <c r="J47" i="29"/>
  <c r="X53" i="29"/>
  <c r="AH34" i="29"/>
  <c r="AG34" i="29" s="1"/>
  <c r="AF34" i="29" s="1"/>
  <c r="AE34" i="29" s="1"/>
  <c r="AJ34" i="29"/>
  <c r="AK34" i="29" s="1"/>
  <c r="AL34" i="29" s="1"/>
  <c r="AM34" i="29" s="1"/>
  <c r="AI23" i="29"/>
  <c r="W33" i="29"/>
  <c r="Y28" i="29"/>
  <c r="Z48" i="29"/>
  <c r="Y47" i="29"/>
  <c r="U48" i="29"/>
  <c r="E11" i="29"/>
  <c r="E13" i="29" s="1"/>
  <c r="D8" i="29"/>
  <c r="R36" i="17"/>
  <c r="R38" i="17" s="1"/>
  <c r="AV11" i="17"/>
  <c r="AQ12" i="17"/>
  <c r="AQ14" i="17" s="1"/>
  <c r="AQ15" i="17" s="1"/>
  <c r="BA157" i="17"/>
  <c r="BA135" i="17" s="1"/>
  <c r="BF156" i="17"/>
  <c r="AV145" i="17"/>
  <c r="AV133" i="17" s="1"/>
  <c r="BA144" i="17"/>
  <c r="AQ74" i="17"/>
  <c r="AQ76" i="17" s="1"/>
  <c r="I11" i="17"/>
  <c r="T20" i="17"/>
  <c r="T21" i="17" s="1"/>
  <c r="AG34" i="17"/>
  <c r="BK18" i="17"/>
  <c r="BF16" i="17"/>
  <c r="BF64" i="17"/>
  <c r="BA65" i="17"/>
  <c r="BA67" i="17" s="1"/>
  <c r="BA69" i="17" s="1"/>
  <c r="BA70" i="17" s="1"/>
  <c r="BF53" i="17"/>
  <c r="BA54" i="17"/>
  <c r="BA56" i="17" s="1"/>
  <c r="BA58" i="17" s="1"/>
  <c r="BA59" i="17" s="1"/>
  <c r="AL20" i="17"/>
  <c r="AL21" i="17" s="1"/>
  <c r="AQ113" i="17"/>
  <c r="AV1" i="17"/>
  <c r="BK94" i="17"/>
  <c r="AL136" i="17"/>
  <c r="AQ159" i="17"/>
  <c r="BA83" i="17"/>
  <c r="K31" i="17"/>
  <c r="J32" i="17"/>
  <c r="J15" i="17" s="1"/>
  <c r="J12" i="17" s="1"/>
  <c r="J11" i="17" s="1"/>
  <c r="V9" i="17"/>
  <c r="U10" i="17"/>
  <c r="U12" i="17" s="1"/>
  <c r="U14" i="17" s="1"/>
  <c r="U15" i="17" s="1"/>
  <c r="U32" i="17" s="1"/>
  <c r="AQ26" i="17"/>
  <c r="AL27" i="17"/>
  <c r="AL29" i="17" s="1"/>
  <c r="AL31" i="17" s="1"/>
  <c r="AL32" i="17" s="1"/>
  <c r="CX106" i="6"/>
  <c r="U27" i="17"/>
  <c r="V26" i="17"/>
  <c r="V27" i="17" s="1"/>
  <c r="V23" i="16"/>
  <c r="V19" i="16"/>
  <c r="AA20" i="16" s="1"/>
  <c r="AA23" i="16" s="1"/>
  <c r="R28" i="16"/>
  <c r="R27" i="16"/>
  <c r="R11" i="16"/>
  <c r="R13" i="16" s="1"/>
  <c r="AF27" i="16"/>
  <c r="AF29" i="16" s="1"/>
  <c r="AF11" i="16"/>
  <c r="AF13" i="16" s="1"/>
  <c r="X27" i="16"/>
  <c r="X28" i="16"/>
  <c r="X34" i="16"/>
  <c r="Y27" i="16"/>
  <c r="Y29" i="16" s="1"/>
  <c r="Y31" i="16" s="1"/>
  <c r="O15" i="16"/>
  <c r="N14" i="16"/>
  <c r="N13" i="16" s="1"/>
  <c r="N11" i="16" s="1"/>
  <c r="L8" i="16"/>
  <c r="M8" i="16" s="1"/>
  <c r="L11" i="16"/>
  <c r="L13" i="16" s="1"/>
  <c r="L16" i="16" s="1"/>
  <c r="L23" i="16" s="1"/>
  <c r="T34" i="16"/>
  <c r="T27" i="16"/>
  <c r="T28" i="16"/>
  <c r="T29" i="16" s="1"/>
  <c r="T31" i="16" s="1"/>
  <c r="AA35" i="16"/>
  <c r="Z6" i="16"/>
  <c r="W28" i="16"/>
  <c r="W27" i="16"/>
  <c r="W34" i="16"/>
  <c r="R14" i="16"/>
  <c r="U14" i="16"/>
  <c r="U6" i="16"/>
  <c r="AF16" i="16"/>
  <c r="T14" i="16"/>
  <c r="S28" i="16"/>
  <c r="S34" i="16"/>
  <c r="S27" i="16"/>
  <c r="S11" i="16"/>
  <c r="S13" i="16" s="1"/>
  <c r="S16" i="16" s="1"/>
  <c r="Y34" i="16"/>
  <c r="AP9" i="16"/>
  <c r="AP5" i="16"/>
  <c r="AU4" i="16"/>
  <c r="AK14" i="16"/>
  <c r="AK6" i="16"/>
  <c r="AA29" i="16"/>
  <c r="AA31" i="16" s="1"/>
  <c r="T9" i="16"/>
  <c r="T11" i="16" s="1"/>
  <c r="T13" i="16" s="1"/>
  <c r="U8" i="16"/>
  <c r="AF15" i="16"/>
  <c r="AK15" i="16" s="1"/>
  <c r="AP15" i="16" s="1"/>
  <c r="AU15" i="16" s="1"/>
  <c r="W15" i="16"/>
  <c r="BX38" i="6"/>
  <c r="BX42" i="6" s="1"/>
  <c r="BP44" i="6"/>
  <c r="BP46" i="6" s="1"/>
  <c r="BS18" i="6"/>
  <c r="BS20" i="6" s="1"/>
  <c r="U19" i="6"/>
  <c r="Y19" i="6"/>
  <c r="CB18" i="6"/>
  <c r="CG19" i="6"/>
  <c r="BS169" i="17" s="1"/>
  <c r="BS170" i="17" s="1"/>
  <c r="BS172" i="17" s="1"/>
  <c r="CE19" i="6"/>
  <c r="BQ169" i="17" s="1"/>
  <c r="BQ170" i="17" s="1"/>
  <c r="BQ172" i="17" s="1"/>
  <c r="BR44" i="6"/>
  <c r="BR46" i="6" s="1"/>
  <c r="P31" i="6"/>
  <c r="P29" i="6" s="1"/>
  <c r="P28" i="6" s="1"/>
  <c r="Q32" i="6"/>
  <c r="CE10" i="6"/>
  <c r="BZ11" i="6"/>
  <c r="BZ16" i="6" s="1"/>
  <c r="CA10" i="6"/>
  <c r="BV11" i="6"/>
  <c r="BV16" i="6" s="1"/>
  <c r="AP51" i="6"/>
  <c r="AU1" i="6"/>
  <c r="BS44" i="6"/>
  <c r="BS46" i="6" s="1"/>
  <c r="BP40" i="6"/>
  <c r="CG10" i="6"/>
  <c r="CB11" i="6"/>
  <c r="CB16" i="6" s="1"/>
  <c r="CC10" i="6"/>
  <c r="BX11" i="6"/>
  <c r="BX16" i="6" s="1"/>
  <c r="BW18" i="6"/>
  <c r="BW20" i="6" s="1"/>
  <c r="R31" i="6"/>
  <c r="AA25" i="6"/>
  <c r="R45" i="6"/>
  <c r="Q44" i="6"/>
  <c r="Q46" i="6" s="1"/>
  <c r="BQ44" i="6"/>
  <c r="BQ46" i="6" s="1"/>
  <c r="BR40" i="6"/>
  <c r="AK40" i="6"/>
  <c r="AC19" i="6"/>
  <c r="AB169" i="17"/>
  <c r="AG19" i="6"/>
  <c r="AA33" i="6"/>
  <c r="U32" i="6"/>
  <c r="U31" i="6" s="1"/>
  <c r="U29" i="6" s="1"/>
  <c r="U28" i="6" s="1"/>
  <c r="BU20" i="6"/>
  <c r="BQ18" i="6"/>
  <c r="BQ20" i="6" s="1"/>
  <c r="CM19" i="6"/>
  <c r="BY169" i="17" s="1"/>
  <c r="BY170" i="17" s="1"/>
  <c r="BY172" i="17" s="1"/>
  <c r="T16" i="22"/>
  <c r="T14" i="22" s="1"/>
  <c r="AR15" i="22"/>
  <c r="Z11" i="22"/>
  <c r="X8" i="22"/>
  <c r="X22" i="22" s="1"/>
  <c r="Y7" i="22"/>
  <c r="AW19" i="22"/>
  <c r="AH11" i="22"/>
  <c r="AN15" i="22"/>
  <c r="U11" i="22"/>
  <c r="AJ15" i="22"/>
  <c r="AB23" i="22"/>
  <c r="AB10" i="22"/>
  <c r="T8" i="22"/>
  <c r="T22" i="22" s="1"/>
  <c r="U7" i="22"/>
  <c r="U8" i="22" s="1"/>
  <c r="U22" i="22" s="1"/>
  <c r="AZ15" i="22"/>
  <c r="AV15" i="22"/>
  <c r="O10" i="22"/>
  <c r="X23" i="22"/>
  <c r="AC14" i="22"/>
  <c r="AP11" i="22"/>
  <c r="AL11" i="22"/>
  <c r="AO19" i="22"/>
  <c r="X10" i="22"/>
  <c r="AJ19" i="22"/>
  <c r="AC18" i="22"/>
  <c r="AS19" i="22"/>
  <c r="X14" i="22"/>
  <c r="S12" i="22"/>
  <c r="AC12" i="22"/>
  <c r="AC23" i="22" s="1"/>
  <c r="AD11" i="22"/>
  <c r="CS6" i="3"/>
  <c r="CN17" i="2"/>
  <c r="CM25" i="3"/>
  <c r="CR21" i="3"/>
  <c r="CI25" i="3"/>
  <c r="CN21" i="3"/>
  <c r="CJ21" i="3"/>
  <c r="CE25" i="3"/>
  <c r="CE38" i="3" s="1"/>
  <c r="CE40" i="3" s="1"/>
  <c r="CJ39" i="3" s="1"/>
  <c r="CP21" i="3"/>
  <c r="CK25" i="3"/>
  <c r="CL21" i="3"/>
  <c r="CG25" i="3"/>
  <c r="CI46" i="3"/>
  <c r="CN31" i="3"/>
  <c r="CJ36" i="3"/>
  <c r="CO28" i="3"/>
  <c r="CL36" i="3"/>
  <c r="CQ28" i="3"/>
  <c r="CH36" i="3"/>
  <c r="CH38" i="3" s="1"/>
  <c r="CH40" i="3" s="1"/>
  <c r="CM39" i="3" s="1"/>
  <c r="CM28" i="3"/>
  <c r="CF36" i="3"/>
  <c r="CF38" i="3" s="1"/>
  <c r="CF40" i="3" s="1"/>
  <c r="CK39" i="3" s="1"/>
  <c r="CK28" i="3"/>
  <c r="BO36" i="3"/>
  <c r="BT28" i="3"/>
  <c r="CR15" i="2"/>
  <c r="CM61" i="2"/>
  <c r="CM21" i="2"/>
  <c r="CD30" i="2"/>
  <c r="CF61" i="2"/>
  <c r="CK15" i="2"/>
  <c r="CF21" i="2"/>
  <c r="CJ15" i="2"/>
  <c r="CE61" i="2"/>
  <c r="CE21" i="2"/>
  <c r="CL61" i="2"/>
  <c r="CQ15" i="2"/>
  <c r="CL21" i="2"/>
  <c r="BT38" i="2"/>
  <c r="CH63" i="2"/>
  <c r="CH62" i="2"/>
  <c r="CA63" i="2"/>
  <c r="CA62" i="2"/>
  <c r="BY28" i="2"/>
  <c r="CD23" i="2"/>
  <c r="CD16" i="3" s="1"/>
  <c r="BZ63" i="2"/>
  <c r="BZ62" i="2"/>
  <c r="CG63" i="2"/>
  <c r="CG62" i="2"/>
  <c r="BO31" i="13"/>
  <c r="BO32" i="13" s="1"/>
  <c r="BE6" i="13"/>
  <c r="BO36" i="13"/>
  <c r="BO25" i="1" s="1"/>
  <c r="BO51" i="13"/>
  <c r="BT78" i="1"/>
  <c r="BY79" i="1"/>
  <c r="BJ44" i="1"/>
  <c r="BO55" i="1"/>
  <c r="Z36" i="1"/>
  <c r="U36" i="1"/>
  <c r="V36" i="1" s="1"/>
  <c r="Q36" i="1"/>
  <c r="L36" i="1"/>
  <c r="G36" i="1"/>
  <c r="AQ36" i="1"/>
  <c r="AO36" i="1"/>
  <c r="AN36" i="1"/>
  <c r="AM36" i="1"/>
  <c r="AL36" i="1"/>
  <c r="AJ36" i="1"/>
  <c r="AI36" i="1"/>
  <c r="AH36" i="1"/>
  <c r="AG36" i="1"/>
  <c r="AE36" i="1"/>
  <c r="AD36" i="1"/>
  <c r="AC36" i="1"/>
  <c r="DH30" i="1"/>
  <c r="DH29" i="1"/>
  <c r="DC30" i="1"/>
  <c r="DC29" i="1"/>
  <c r="CX30" i="1"/>
  <c r="CX29" i="1"/>
  <c r="CS30" i="1"/>
  <c r="CS29" i="1"/>
  <c r="CN30" i="1"/>
  <c r="CN29" i="1"/>
  <c r="CI30" i="1"/>
  <c r="CI29" i="1"/>
  <c r="CI31" i="1" s="1"/>
  <c r="CD30" i="1"/>
  <c r="CD29" i="1"/>
  <c r="BY30" i="1"/>
  <c r="BY29" i="1"/>
  <c r="BY31" i="1" s="1"/>
  <c r="BT30" i="1"/>
  <c r="BT29" i="1"/>
  <c r="BO30" i="1"/>
  <c r="BO29" i="1"/>
  <c r="BO31" i="1" s="1"/>
  <c r="BJ32" i="1"/>
  <c r="BJ29" i="1"/>
  <c r="BE32" i="1"/>
  <c r="BE29" i="1"/>
  <c r="AZ32" i="1"/>
  <c r="AZ29" i="1"/>
  <c r="AU32" i="1"/>
  <c r="AP32" i="1"/>
  <c r="AJ32" i="1"/>
  <c r="AI32" i="1"/>
  <c r="AH32" i="1"/>
  <c r="AG32" i="1"/>
  <c r="AF32" i="1"/>
  <c r="AA32" i="1"/>
  <c r="AA29" i="1"/>
  <c r="V32" i="1"/>
  <c r="V29" i="1"/>
  <c r="Q32" i="1"/>
  <c r="Q29" i="1"/>
  <c r="L32" i="1"/>
  <c r="L30" i="1"/>
  <c r="L29" i="1"/>
  <c r="AQ31" i="1"/>
  <c r="AQ33" i="1" s="1"/>
  <c r="O31" i="1"/>
  <c r="O33" i="1" s="1"/>
  <c r="N31" i="1"/>
  <c r="N33" i="1" s="1"/>
  <c r="M31" i="1"/>
  <c r="M33" i="1" s="1"/>
  <c r="K31" i="1"/>
  <c r="K33" i="1" s="1"/>
  <c r="J31" i="1"/>
  <c r="J33" i="1" s="1"/>
  <c r="I31" i="1"/>
  <c r="I33" i="1" s="1"/>
  <c r="H31" i="1"/>
  <c r="H33" i="1" s="1"/>
  <c r="F31" i="1"/>
  <c r="F33" i="1" s="1"/>
  <c r="E31" i="1"/>
  <c r="E33" i="1" s="1"/>
  <c r="D31" i="1"/>
  <c r="D33" i="1" s="1"/>
  <c r="C31" i="1"/>
  <c r="C33" i="1" s="1"/>
  <c r="AO30" i="1"/>
  <c r="AN30" i="1"/>
  <c r="AM30" i="1"/>
  <c r="AL30" i="1"/>
  <c r="AJ30" i="1"/>
  <c r="AJ31" i="1" s="1"/>
  <c r="AI30" i="1"/>
  <c r="AI31" i="1" s="1"/>
  <c r="AH30" i="1"/>
  <c r="AH31" i="1" s="1"/>
  <c r="AG30" i="1"/>
  <c r="AG31" i="1" s="1"/>
  <c r="AE30" i="1"/>
  <c r="AE31" i="1" s="1"/>
  <c r="AE33" i="1" s="1"/>
  <c r="AD30" i="1"/>
  <c r="AC30" i="1"/>
  <c r="AB30" i="1"/>
  <c r="Z30" i="1"/>
  <c r="Y30" i="1"/>
  <c r="O27" i="22" s="1"/>
  <c r="O28" i="22" s="1"/>
  <c r="X30" i="1"/>
  <c r="W30" i="1"/>
  <c r="U30" i="1"/>
  <c r="U31" i="1" s="1"/>
  <c r="U33" i="1" s="1"/>
  <c r="T30" i="1"/>
  <c r="T31" i="1" s="1"/>
  <c r="T33" i="1" s="1"/>
  <c r="S30" i="1"/>
  <c r="S31" i="1" s="1"/>
  <c r="S33" i="1" s="1"/>
  <c r="R30" i="1"/>
  <c r="P30" i="1"/>
  <c r="Q30" i="1" s="1"/>
  <c r="G30" i="1"/>
  <c r="G29" i="1"/>
  <c r="AO29" i="1"/>
  <c r="AK29" i="1"/>
  <c r="AK63" i="2" s="1"/>
  <c r="AK65" i="2" s="1"/>
  <c r="AF29" i="1"/>
  <c r="AQ26" i="1"/>
  <c r="AO26" i="1"/>
  <c r="AN26" i="1"/>
  <c r="AM26" i="1"/>
  <c r="AL26" i="1"/>
  <c r="AJ26" i="1"/>
  <c r="AI26" i="1"/>
  <c r="AH26" i="1"/>
  <c r="AG26" i="1"/>
  <c r="AE26" i="1"/>
  <c r="AD26" i="1"/>
  <c r="AC26" i="1"/>
  <c r="AB26" i="1"/>
  <c r="Z26" i="1"/>
  <c r="Y26" i="1"/>
  <c r="X26" i="1"/>
  <c r="W26" i="1"/>
  <c r="U26" i="1"/>
  <c r="T26" i="1"/>
  <c r="S26" i="1"/>
  <c r="R26" i="1"/>
  <c r="P26" i="1"/>
  <c r="O26" i="1"/>
  <c r="N26" i="1"/>
  <c r="M26" i="1"/>
  <c r="K26" i="1"/>
  <c r="AO25" i="1"/>
  <c r="AN25" i="1"/>
  <c r="AM25" i="1"/>
  <c r="AL25" i="1"/>
  <c r="AJ25" i="1"/>
  <c r="AI25" i="1"/>
  <c r="AH25" i="1"/>
  <c r="AG25" i="1"/>
  <c r="AE25" i="1"/>
  <c r="AD25" i="1"/>
  <c r="AC25" i="1"/>
  <c r="AB25" i="1"/>
  <c r="Z25" i="1"/>
  <c r="Y25" i="1"/>
  <c r="X25" i="1"/>
  <c r="W25" i="1"/>
  <c r="CW23" i="1"/>
  <c r="DB23" i="1" s="1"/>
  <c r="CV23" i="1"/>
  <c r="DA23" i="1" s="1"/>
  <c r="CU23" i="1"/>
  <c r="CZ23" i="1" s="1"/>
  <c r="CT23" i="1"/>
  <c r="CY23" i="1" s="1"/>
  <c r="BO17" i="1"/>
  <c r="BO20" i="13" s="1"/>
  <c r="BJ17" i="1"/>
  <c r="BJ20" i="13" s="1"/>
  <c r="BE17" i="1"/>
  <c r="BE20" i="13" s="1"/>
  <c r="AZ17" i="1"/>
  <c r="AZ20" i="13" s="1"/>
  <c r="AQ21" i="1"/>
  <c r="AU21" i="1" s="1"/>
  <c r="AO21" i="1"/>
  <c r="AN21" i="1"/>
  <c r="AM21" i="1"/>
  <c r="AL21" i="1"/>
  <c r="AJ21" i="1"/>
  <c r="AI21" i="1"/>
  <c r="AH21" i="1"/>
  <c r="AG21" i="1"/>
  <c r="AE21" i="1"/>
  <c r="AD21" i="1"/>
  <c r="AC21" i="1"/>
  <c r="AB21" i="1"/>
  <c r="Z21" i="1"/>
  <c r="Y21" i="1"/>
  <c r="Y19" i="1" s="1"/>
  <c r="O13" i="6" s="1"/>
  <c r="X21" i="1"/>
  <c r="W21" i="1"/>
  <c r="U21" i="1"/>
  <c r="T21" i="1"/>
  <c r="S21" i="1"/>
  <c r="R21" i="1"/>
  <c r="P21" i="1"/>
  <c r="O21" i="1"/>
  <c r="N21" i="1"/>
  <c r="M21" i="1"/>
  <c r="K21" i="1"/>
  <c r="L21" i="1" s="1"/>
  <c r="AP20" i="1"/>
  <c r="AT20" i="1" s="1"/>
  <c r="AJ20" i="1"/>
  <c r="AJ17" i="1"/>
  <c r="AC20" i="1"/>
  <c r="AD20" i="1" s="1"/>
  <c r="AE20" i="1" s="1"/>
  <c r="V20" i="1"/>
  <c r="AA20" i="1" s="1"/>
  <c r="Z20" i="1" s="1"/>
  <c r="AQ17" i="1"/>
  <c r="W19" i="1"/>
  <c r="M13" i="6" s="1"/>
  <c r="AO17" i="1"/>
  <c r="AN17" i="1"/>
  <c r="AM17" i="1"/>
  <c r="AL17" i="1"/>
  <c r="AI17" i="1"/>
  <c r="AH17" i="1"/>
  <c r="AG17" i="1"/>
  <c r="CN18" i="2" l="1"/>
  <c r="AV94" i="1"/>
  <c r="AU26" i="1"/>
  <c r="CS31" i="1"/>
  <c r="DC31" i="1"/>
  <c r="AW29" i="1"/>
  <c r="AW31" i="1" s="1"/>
  <c r="AW33" i="1" s="1"/>
  <c r="AX29" i="1"/>
  <c r="AX31" i="1" s="1"/>
  <c r="AX33" i="1" s="1"/>
  <c r="AV29" i="1"/>
  <c r="AV31" i="1" s="1"/>
  <c r="AV33" i="1" s="1"/>
  <c r="AY51" i="13"/>
  <c r="AY10" i="1" s="1"/>
  <c r="Z31" i="17"/>
  <c r="Y32" i="17"/>
  <c r="CG38" i="3"/>
  <c r="CG40" i="3" s="1"/>
  <c r="CL39" i="3" s="1"/>
  <c r="V10" i="17"/>
  <c r="V12" i="17" s="1"/>
  <c r="V14" i="17" s="1"/>
  <c r="V15" i="17" s="1"/>
  <c r="V20" i="17" s="1"/>
  <c r="V21" i="17" s="1"/>
  <c r="CV23" i="2"/>
  <c r="CQ16" i="3"/>
  <c r="R16" i="16"/>
  <c r="R20" i="16" s="1"/>
  <c r="L34" i="30"/>
  <c r="K36" i="30"/>
  <c r="K39" i="30" s="1"/>
  <c r="K41" i="30" s="1"/>
  <c r="K43" i="30" s="1"/>
  <c r="K49" i="30" s="1"/>
  <c r="BL92" i="35"/>
  <c r="BL95" i="35" s="1"/>
  <c r="BM91" i="35"/>
  <c r="T13" i="29"/>
  <c r="T12" i="29" s="1"/>
  <c r="CL12" i="3"/>
  <c r="CL18" i="3"/>
  <c r="BY33" i="2"/>
  <c r="BT8" i="3"/>
  <c r="BT35" i="2"/>
  <c r="BT36" i="2" s="1"/>
  <c r="AI19" i="1"/>
  <c r="Y13" i="6" s="1"/>
  <c r="AI33" i="1"/>
  <c r="AN19" i="1"/>
  <c r="AD13" i="6" s="1"/>
  <c r="Z23" i="1"/>
  <c r="AJ23" i="1"/>
  <c r="Z14" i="6" s="1"/>
  <c r="AN31" i="1"/>
  <c r="AN33" i="1" s="1"/>
  <c r="AC23" i="1"/>
  <c r="AG33" i="1"/>
  <c r="BT31" i="1"/>
  <c r="CN31" i="1"/>
  <c r="DH31" i="1"/>
  <c r="AC19" i="1"/>
  <c r="S13" i="6" s="1"/>
  <c r="BT17" i="1"/>
  <c r="BT20" i="13" s="1"/>
  <c r="AF36" i="1"/>
  <c r="AM23" i="1"/>
  <c r="AC14" i="6" s="1"/>
  <c r="BL5" i="35"/>
  <c r="BM80" i="35"/>
  <c r="BL81" i="35"/>
  <c r="BL88" i="35" s="1"/>
  <c r="AP8" i="6"/>
  <c r="AK17" i="1"/>
  <c r="Y23" i="1"/>
  <c r="AI23" i="1"/>
  <c r="Y14" i="6" s="1"/>
  <c r="AG19" i="1"/>
  <c r="W13" i="6" s="1"/>
  <c r="AQ19" i="1"/>
  <c r="AG13" i="6" s="1"/>
  <c r="AA25" i="1"/>
  <c r="AE23" i="1"/>
  <c r="AY78" i="1"/>
  <c r="AY77" i="1" s="1"/>
  <c r="AZ77" i="1" s="1"/>
  <c r="BA79" i="1"/>
  <c r="AB23" i="1"/>
  <c r="AL23" i="1"/>
  <c r="AB14" i="6" s="1"/>
  <c r="AQ23" i="1"/>
  <c r="AM31" i="1"/>
  <c r="AM33" i="1" s="1"/>
  <c r="BM169" i="17"/>
  <c r="BM170" i="17" s="1"/>
  <c r="BM172" i="17" s="1"/>
  <c r="CF19" i="6"/>
  <c r="BX40" i="6"/>
  <c r="AF20" i="1"/>
  <c r="AE19" i="1"/>
  <c r="U13" i="6" s="1"/>
  <c r="AC31" i="1"/>
  <c r="AC33" i="1" s="1"/>
  <c r="S27" i="22"/>
  <c r="AM19" i="1"/>
  <c r="AC13" i="6" s="1"/>
  <c r="AJ19" i="1"/>
  <c r="Z13" i="6" s="1"/>
  <c r="X31" i="1"/>
  <c r="X33" i="1" s="1"/>
  <c r="N27" i="22"/>
  <c r="N28" i="22" s="1"/>
  <c r="AF30" i="1"/>
  <c r="AF31" i="1" s="1"/>
  <c r="AF33" i="1" s="1"/>
  <c r="R27" i="22"/>
  <c r="R28" i="22" s="1"/>
  <c r="AP30" i="1"/>
  <c r="AB31" i="1"/>
  <c r="AB33" i="1" s="1"/>
  <c r="AK36" i="1"/>
  <c r="AO19" i="1"/>
  <c r="AE13" i="6" s="1"/>
  <c r="X23" i="1"/>
  <c r="AH23" i="1"/>
  <c r="X14" i="6" s="1"/>
  <c r="AO31" i="1"/>
  <c r="AO33" i="1" s="1"/>
  <c r="V30" i="1"/>
  <c r="L27" i="22" s="1"/>
  <c r="L28" i="22" s="1"/>
  <c r="Z31" i="1"/>
  <c r="Z33" i="1" s="1"/>
  <c r="P27" i="22"/>
  <c r="AD31" i="1"/>
  <c r="AD33" i="1" s="1"/>
  <c r="T27" i="22"/>
  <c r="AD23" i="1"/>
  <c r="AN23" i="1"/>
  <c r="AD14" i="6" s="1"/>
  <c r="AA30" i="1"/>
  <c r="Q27" i="22" s="1"/>
  <c r="M27" i="22"/>
  <c r="M28" i="22" s="1"/>
  <c r="Y31" i="1"/>
  <c r="Y33" i="1" s="1"/>
  <c r="BT62" i="1"/>
  <c r="BO7" i="3"/>
  <c r="BO41" i="2" s="1"/>
  <c r="L31" i="1"/>
  <c r="L33" i="1" s="1"/>
  <c r="G31" i="1"/>
  <c r="G33" i="1" s="1"/>
  <c r="Q31" i="1"/>
  <c r="Q33" i="1" s="1"/>
  <c r="G27" i="22"/>
  <c r="AP29" i="1"/>
  <c r="AP63" i="2" s="1"/>
  <c r="AP65" i="2" s="1"/>
  <c r="T36" i="17"/>
  <c r="T38" i="17" s="1"/>
  <c r="P15" i="26"/>
  <c r="O12" i="26"/>
  <c r="P14" i="26"/>
  <c r="Q13" i="26"/>
  <c r="R11" i="26"/>
  <c r="AZ27" i="35"/>
  <c r="I4" i="26"/>
  <c r="I6" i="26" s="1"/>
  <c r="I8" i="26" s="1"/>
  <c r="I10" i="26" s="1"/>
  <c r="J2" i="26"/>
  <c r="Q16" i="25"/>
  <c r="Q15" i="25"/>
  <c r="Q13" i="25"/>
  <c r="R14" i="25"/>
  <c r="S12" i="25"/>
  <c r="S14" i="25" s="1"/>
  <c r="K4" i="25"/>
  <c r="K6" i="25" s="1"/>
  <c r="K9" i="25" s="1"/>
  <c r="K11" i="25" s="1"/>
  <c r="L2" i="25"/>
  <c r="BG6" i="24"/>
  <c r="BG8" i="24" s="1"/>
  <c r="BG11" i="24" s="1"/>
  <c r="BG13" i="24" s="1"/>
  <c r="BL4" i="24"/>
  <c r="BB28" i="24"/>
  <c r="BB40" i="24" s="1"/>
  <c r="BB27" i="24"/>
  <c r="BB39" i="24" s="1"/>
  <c r="BB29" i="24"/>
  <c r="BB41" i="24" s="1"/>
  <c r="BB30" i="24"/>
  <c r="BB42" i="24" s="1"/>
  <c r="BB32" i="24"/>
  <c r="BB44" i="24" s="1"/>
  <c r="BB34" i="24"/>
  <c r="BB46" i="24" s="1"/>
  <c r="BB31" i="24"/>
  <c r="BB43" i="24" s="1"/>
  <c r="BB33" i="24"/>
  <c r="BB45" i="24" s="1"/>
  <c r="S36" i="29"/>
  <c r="S38" i="29" s="1"/>
  <c r="P6" i="6" s="1"/>
  <c r="N6" i="30"/>
  <c r="N9" i="30" s="1"/>
  <c r="N11" i="30" s="1"/>
  <c r="N13" i="30" s="1"/>
  <c r="N25" i="30" s="1"/>
  <c r="N30" i="30" s="1"/>
  <c r="O4" i="30"/>
  <c r="P42" i="30"/>
  <c r="N50" i="30"/>
  <c r="M49" i="30"/>
  <c r="D11" i="29"/>
  <c r="D13" i="29" s="1"/>
  <c r="C8" i="29"/>
  <c r="C11" i="29" s="1"/>
  <c r="C13" i="29" s="1"/>
  <c r="V48" i="29"/>
  <c r="U50" i="29"/>
  <c r="AA48" i="29"/>
  <c r="Z53" i="29"/>
  <c r="L48" i="29"/>
  <c r="K50" i="29"/>
  <c r="P36" i="29"/>
  <c r="T33" i="29"/>
  <c r="T28" i="29" s="1"/>
  <c r="T26" i="29"/>
  <c r="U13" i="29"/>
  <c r="AI47" i="29"/>
  <c r="AF8" i="29"/>
  <c r="AE11" i="29"/>
  <c r="AI7" i="29"/>
  <c r="AJ8" i="29"/>
  <c r="H48" i="29"/>
  <c r="G45" i="29"/>
  <c r="R48" i="29"/>
  <c r="Q50" i="29"/>
  <c r="Q58" i="29" s="1"/>
  <c r="Q64" i="29" s="1"/>
  <c r="R38" i="29"/>
  <c r="O6" i="6" s="1"/>
  <c r="O5" i="6"/>
  <c r="T14" i="29"/>
  <c r="V11" i="29"/>
  <c r="V13" i="29" s="1"/>
  <c r="V26" i="29" s="1"/>
  <c r="V36" i="29" s="1"/>
  <c r="W10" i="29"/>
  <c r="AJ48" i="29"/>
  <c r="AK45" i="29"/>
  <c r="O38" i="29"/>
  <c r="L6" i="6" s="1"/>
  <c r="L5" i="6"/>
  <c r="K5" i="6" s="1"/>
  <c r="N8" i="6"/>
  <c r="AG30" i="29"/>
  <c r="AF32" i="29"/>
  <c r="AF31" i="29"/>
  <c r="AA21" i="29"/>
  <c r="Z28" i="29"/>
  <c r="I47" i="29"/>
  <c r="I49" i="29"/>
  <c r="AE48" i="29"/>
  <c r="Z12" i="29"/>
  <c r="AE18" i="29"/>
  <c r="AC20" i="29"/>
  <c r="AD20" i="29" s="1"/>
  <c r="P58" i="29"/>
  <c r="AL34" i="17"/>
  <c r="U20" i="17"/>
  <c r="U21" i="17" s="1"/>
  <c r="BF83" i="17"/>
  <c r="BA72" i="17"/>
  <c r="AG36" i="17"/>
  <c r="AG38" i="17" s="1"/>
  <c r="BA145" i="17"/>
  <c r="BA133" i="17" s="1"/>
  <c r="BF144" i="17"/>
  <c r="BF157" i="17"/>
  <c r="BF135" i="17" s="1"/>
  <c r="BK156" i="17"/>
  <c r="AQ20" i="17"/>
  <c r="AQ21" i="17" s="1"/>
  <c r="AV26" i="17"/>
  <c r="AQ27" i="17"/>
  <c r="AQ29" i="17" s="1"/>
  <c r="AQ31" i="17" s="1"/>
  <c r="AQ32" i="17" s="1"/>
  <c r="K32" i="17"/>
  <c r="K15" i="17" s="1"/>
  <c r="K12" i="17" s="1"/>
  <c r="K11" i="17" s="1"/>
  <c r="L31" i="17"/>
  <c r="L32" i="17" s="1"/>
  <c r="L15" i="17" s="1"/>
  <c r="L12" i="17" s="1"/>
  <c r="L11" i="17" s="1"/>
  <c r="AV159" i="17"/>
  <c r="AQ136" i="17"/>
  <c r="BP94" i="17"/>
  <c r="AV113" i="17"/>
  <c r="BA1" i="17"/>
  <c r="BK53" i="17"/>
  <c r="BF54" i="17"/>
  <c r="BF56" i="17" s="1"/>
  <c r="BF58" i="17" s="1"/>
  <c r="BF59" i="17" s="1"/>
  <c r="BK64" i="17"/>
  <c r="BF65" i="17"/>
  <c r="BF67" i="17" s="1"/>
  <c r="BF69" i="17" s="1"/>
  <c r="BF70" i="17" s="1"/>
  <c r="BP18" i="17"/>
  <c r="BK16" i="17"/>
  <c r="BA11" i="17"/>
  <c r="AV12" i="17"/>
  <c r="AV14" i="17" s="1"/>
  <c r="AV15" i="17" s="1"/>
  <c r="AK11" i="16"/>
  <c r="AK13" i="16" s="1"/>
  <c r="AK27" i="16"/>
  <c r="AK29" i="16" s="1"/>
  <c r="AK31" i="16" s="1"/>
  <c r="AU5" i="16"/>
  <c r="AU9" i="16"/>
  <c r="T16" i="16"/>
  <c r="AB35" i="16"/>
  <c r="AA34" i="16"/>
  <c r="M9" i="16"/>
  <c r="N8" i="16"/>
  <c r="O14" i="16"/>
  <c r="O13" i="16" s="1"/>
  <c r="O11" i="16" s="1"/>
  <c r="P15" i="16"/>
  <c r="P14" i="16" s="1"/>
  <c r="P13" i="16" s="1"/>
  <c r="P11" i="16" s="1"/>
  <c r="AE29" i="16"/>
  <c r="AE31" i="16" s="1"/>
  <c r="AC29" i="16"/>
  <c r="AC31" i="16" s="1"/>
  <c r="AF31" i="16"/>
  <c r="AB29" i="16"/>
  <c r="AB31" i="16" s="1"/>
  <c r="AD29" i="16"/>
  <c r="AD31" i="16" s="1"/>
  <c r="X15" i="16"/>
  <c r="W14" i="16"/>
  <c r="U9" i="16"/>
  <c r="U11" i="16" s="1"/>
  <c r="U13" i="16" s="1"/>
  <c r="U16" i="16" s="1"/>
  <c r="W8" i="16"/>
  <c r="AK16" i="16"/>
  <c r="AP6" i="16"/>
  <c r="AP14" i="16"/>
  <c r="S29" i="16"/>
  <c r="S31" i="16" s="1"/>
  <c r="U28" i="16"/>
  <c r="U27" i="16"/>
  <c r="U34" i="16"/>
  <c r="R23" i="16"/>
  <c r="R19" i="16"/>
  <c r="S20" i="16" s="1"/>
  <c r="S23" i="16" s="1"/>
  <c r="W29" i="16"/>
  <c r="W31" i="16" s="1"/>
  <c r="Z27" i="16"/>
  <c r="Z29" i="16" s="1"/>
  <c r="Z31" i="16" s="1"/>
  <c r="Z34" i="16"/>
  <c r="X29" i="16"/>
  <c r="X31" i="16" s="1"/>
  <c r="R29" i="16"/>
  <c r="R31" i="16" s="1"/>
  <c r="AA19" i="16"/>
  <c r="AH19" i="6"/>
  <c r="AP38" i="6"/>
  <c r="AP40" i="6" s="1"/>
  <c r="V31" i="6"/>
  <c r="R29" i="6"/>
  <c r="R28" i="6" s="1"/>
  <c r="V28" i="6" s="1"/>
  <c r="CC11" i="6"/>
  <c r="CC16" i="6" s="1"/>
  <c r="CH10" i="6"/>
  <c r="CG11" i="6"/>
  <c r="CG16" i="6" s="1"/>
  <c r="CL10" i="6"/>
  <c r="AU51" i="6"/>
  <c r="AZ1" i="6"/>
  <c r="BV18" i="6"/>
  <c r="BV20" i="6" s="1"/>
  <c r="Q33" i="6"/>
  <c r="Q31" i="6"/>
  <c r="Q29" i="6" s="1"/>
  <c r="Q28" i="6" s="1"/>
  <c r="AI40" i="6"/>
  <c r="AJ40" i="6"/>
  <c r="BV44" i="6"/>
  <c r="BV46" i="6" s="1"/>
  <c r="BZ18" i="6"/>
  <c r="BZ20" i="6" s="1"/>
  <c r="Z19" i="6"/>
  <c r="CC38" i="6"/>
  <c r="CC42" i="6" s="1"/>
  <c r="CR19" i="6"/>
  <c r="CD169" i="17" s="1"/>
  <c r="CD170" i="17" s="1"/>
  <c r="CD172" i="17" s="1"/>
  <c r="AF33" i="6"/>
  <c r="AB33" i="6"/>
  <c r="W33" i="6"/>
  <c r="AU19" i="6"/>
  <c r="AG169" i="17" s="1"/>
  <c r="AD19" i="6"/>
  <c r="BW38" i="6"/>
  <c r="BW42" i="6" s="1"/>
  <c r="S45" i="6"/>
  <c r="R44" i="6"/>
  <c r="R46" i="6" s="1"/>
  <c r="AF25" i="6"/>
  <c r="Z25" i="6"/>
  <c r="Z24" i="6" s="1"/>
  <c r="V32" i="6"/>
  <c r="BX18" i="6"/>
  <c r="BX20" i="6" s="1"/>
  <c r="CB20" i="6"/>
  <c r="BU38" i="6"/>
  <c r="BU42" i="6" s="1"/>
  <c r="CA11" i="6"/>
  <c r="CA16" i="6" s="1"/>
  <c r="CF10" i="6"/>
  <c r="CE11" i="6"/>
  <c r="CE16" i="6" s="1"/>
  <c r="CE18" i="6" s="1"/>
  <c r="CJ10" i="6"/>
  <c r="BV40" i="6"/>
  <c r="CJ19" i="6"/>
  <c r="BV169" i="17" s="1"/>
  <c r="BV170" i="17" s="1"/>
  <c r="BV172" i="17" s="1"/>
  <c r="CL19" i="6"/>
  <c r="BX169" i="17" s="1"/>
  <c r="BX170" i="17" s="1"/>
  <c r="BX172" i="17" s="1"/>
  <c r="BX44" i="6"/>
  <c r="BX46" i="6" s="1"/>
  <c r="AE11" i="22"/>
  <c r="S23" i="22"/>
  <c r="S25" i="22" s="1"/>
  <c r="AD20" i="22"/>
  <c r="AD18" i="22" s="1"/>
  <c r="AM11" i="22"/>
  <c r="AD14" i="22"/>
  <c r="AD16" i="22"/>
  <c r="S10" i="22"/>
  <c r="AW15" i="22"/>
  <c r="AO15" i="22"/>
  <c r="Y8" i="22"/>
  <c r="Y22" i="22" s="1"/>
  <c r="Z7" i="22"/>
  <c r="U16" i="22"/>
  <c r="V16" i="22" s="1"/>
  <c r="Y16" i="22"/>
  <c r="AT19" i="22"/>
  <c r="AU11" i="22"/>
  <c r="AQ11" i="22"/>
  <c r="P10" i="22"/>
  <c r="P12" i="22"/>
  <c r="P23" i="22" s="1"/>
  <c r="P25" i="22" s="1"/>
  <c r="AC10" i="22"/>
  <c r="AD12" i="22" s="1"/>
  <c r="AI11" i="22"/>
  <c r="AX19" i="22"/>
  <c r="X25" i="22"/>
  <c r="Y12" i="22"/>
  <c r="AS15" i="22"/>
  <c r="CN25" i="3"/>
  <c r="CS21" i="3"/>
  <c r="CR25" i="3"/>
  <c r="CW21" i="3"/>
  <c r="CS17" i="2"/>
  <c r="CS18" i="2" s="1"/>
  <c r="CX6" i="3"/>
  <c r="BT36" i="3"/>
  <c r="BY28" i="3"/>
  <c r="CK36" i="3"/>
  <c r="CK38" i="3" s="1"/>
  <c r="CK40" i="3" s="1"/>
  <c r="CP39" i="3" s="1"/>
  <c r="CP28" i="3"/>
  <c r="CM36" i="3"/>
  <c r="CM38" i="3" s="1"/>
  <c r="CM40" i="3" s="1"/>
  <c r="CR39" i="3" s="1"/>
  <c r="CR28" i="3"/>
  <c r="CQ36" i="3"/>
  <c r="CV28" i="3"/>
  <c r="CO36" i="3"/>
  <c r="CT28" i="3"/>
  <c r="CN46" i="3"/>
  <c r="CS31" i="3"/>
  <c r="CL25" i="3"/>
  <c r="CQ21" i="3"/>
  <c r="CP25" i="3"/>
  <c r="CU21" i="3"/>
  <c r="CJ25" i="3"/>
  <c r="CJ38" i="3" s="1"/>
  <c r="CJ40" i="3" s="1"/>
  <c r="CO39" i="3" s="1"/>
  <c r="CO21" i="3"/>
  <c r="CD28" i="2"/>
  <c r="CI23" i="2"/>
  <c r="CI16" i="3" s="1"/>
  <c r="BY38" i="2"/>
  <c r="CQ61" i="2"/>
  <c r="CQ21" i="2"/>
  <c r="CV15" i="2"/>
  <c r="CJ61" i="2"/>
  <c r="CO15" i="2"/>
  <c r="CJ21" i="2"/>
  <c r="CF62" i="2"/>
  <c r="CF63" i="2"/>
  <c r="CM63" i="2"/>
  <c r="CM62" i="2"/>
  <c r="CL62" i="2"/>
  <c r="CL63" i="2"/>
  <c r="CE63" i="2"/>
  <c r="CE62" i="2"/>
  <c r="CK61" i="2"/>
  <c r="CP15" i="2"/>
  <c r="CK21" i="2"/>
  <c r="CI30" i="2"/>
  <c r="CR61" i="2"/>
  <c r="CW15" i="2"/>
  <c r="CR21" i="2"/>
  <c r="BT51" i="13"/>
  <c r="BT31" i="13"/>
  <c r="BT32" i="13" s="1"/>
  <c r="W23" i="1"/>
  <c r="BT36" i="13"/>
  <c r="BT25" i="1" s="1"/>
  <c r="BJ6" i="13"/>
  <c r="AS93" i="1"/>
  <c r="R93" i="1"/>
  <c r="R45" i="1"/>
  <c r="V21" i="1"/>
  <c r="Z93" i="1"/>
  <c r="Z45" i="1"/>
  <c r="Z19" i="1"/>
  <c r="P13" i="6" s="1"/>
  <c r="AL93" i="1"/>
  <c r="AL45" i="1"/>
  <c r="AR93" i="1"/>
  <c r="AF25" i="1"/>
  <c r="M94" i="1"/>
  <c r="O94" i="1"/>
  <c r="Q26" i="1"/>
  <c r="S94" i="1"/>
  <c r="U94" i="1"/>
  <c r="AG94" i="1"/>
  <c r="AI94" i="1"/>
  <c r="AK26" i="1"/>
  <c r="AM94" i="1"/>
  <c r="AO94" i="1"/>
  <c r="AH33" i="1"/>
  <c r="AJ33" i="1"/>
  <c r="AP17" i="1"/>
  <c r="T93" i="1"/>
  <c r="T45" i="1"/>
  <c r="X93" i="1"/>
  <c r="X45" i="1"/>
  <c r="X19" i="1"/>
  <c r="N13" i="6" s="1"/>
  <c r="AN93" i="1"/>
  <c r="AN45" i="1"/>
  <c r="AL19" i="1"/>
  <c r="L93" i="1"/>
  <c r="N93" i="1"/>
  <c r="N45" i="1"/>
  <c r="P93" i="1"/>
  <c r="P45" i="1"/>
  <c r="AB93" i="1"/>
  <c r="AB45" i="1"/>
  <c r="AB19" i="1"/>
  <c r="R13" i="6" s="1"/>
  <c r="AD93" i="1"/>
  <c r="AD45" i="1"/>
  <c r="AD19" i="1"/>
  <c r="T13" i="6" s="1"/>
  <c r="AH93" i="1"/>
  <c r="AH45" i="1"/>
  <c r="AH19" i="1"/>
  <c r="X13" i="6" s="1"/>
  <c r="AJ93" i="1"/>
  <c r="AJ45" i="1"/>
  <c r="AG23" i="1"/>
  <c r="AO23" i="1"/>
  <c r="AE14" i="6" s="1"/>
  <c r="AK25" i="1"/>
  <c r="AP25" i="1"/>
  <c r="K94" i="1"/>
  <c r="L26" i="1"/>
  <c r="W94" i="1"/>
  <c r="Y94" i="1"/>
  <c r="AA26" i="1"/>
  <c r="AC94" i="1"/>
  <c r="AE94" i="1"/>
  <c r="AQ94" i="1"/>
  <c r="R31" i="1"/>
  <c r="R33" i="1" s="1"/>
  <c r="W31" i="1"/>
  <c r="W33" i="1" s="1"/>
  <c r="AL31" i="1"/>
  <c r="AL33" i="1" s="1"/>
  <c r="AK32" i="1"/>
  <c r="BO32" i="1"/>
  <c r="CD31" i="1"/>
  <c r="CX31" i="1"/>
  <c r="BT55" i="1"/>
  <c r="BO44" i="1"/>
  <c r="CD79" i="1"/>
  <c r="BY78" i="1"/>
  <c r="K93" i="1"/>
  <c r="M93" i="1"/>
  <c r="M45" i="1"/>
  <c r="O93" i="1"/>
  <c r="O45" i="1"/>
  <c r="Q21" i="1"/>
  <c r="S93" i="1"/>
  <c r="S45" i="1"/>
  <c r="U93" i="1"/>
  <c r="U45" i="1"/>
  <c r="W93" i="1"/>
  <c r="W45" i="1"/>
  <c r="Y93" i="1"/>
  <c r="Y45" i="1"/>
  <c r="AA21" i="1"/>
  <c r="AC93" i="1"/>
  <c r="AC45" i="1"/>
  <c r="AE93" i="1"/>
  <c r="AE45" i="1"/>
  <c r="AG93" i="1"/>
  <c r="AG45" i="1"/>
  <c r="AI93" i="1"/>
  <c r="AI45" i="1"/>
  <c r="AK21" i="1"/>
  <c r="AM93" i="1"/>
  <c r="AM45" i="1"/>
  <c r="AO93" i="1"/>
  <c r="AO45" i="1"/>
  <c r="AQ93" i="1"/>
  <c r="AQ45" i="1"/>
  <c r="N94" i="1"/>
  <c r="P94" i="1"/>
  <c r="R94" i="1"/>
  <c r="T94" i="1"/>
  <c r="V26" i="1"/>
  <c r="X94" i="1"/>
  <c r="Z94" i="1"/>
  <c r="AB94" i="1"/>
  <c r="AD94" i="1"/>
  <c r="AF26" i="1"/>
  <c r="AH94" i="1"/>
  <c r="AJ94" i="1"/>
  <c r="AL94" i="1"/>
  <c r="AN94" i="1"/>
  <c r="AP26" i="1"/>
  <c r="AK30" i="1"/>
  <c r="P31" i="1"/>
  <c r="P33" i="1" s="1"/>
  <c r="AP36" i="1"/>
  <c r="BJ10" i="1"/>
  <c r="AG14" i="6" l="1"/>
  <c r="CL38" i="3"/>
  <c r="CL40" i="3" s="1"/>
  <c r="CQ39" i="3" s="1"/>
  <c r="AY29" i="1"/>
  <c r="W15" i="17"/>
  <c r="W14" i="17" s="1"/>
  <c r="AA31" i="17"/>
  <c r="AA32" i="17" s="1"/>
  <c r="Z32" i="17"/>
  <c r="X10" i="17"/>
  <c r="X12" i="17" s="1"/>
  <c r="X14" i="17" s="1"/>
  <c r="X15" i="17" s="1"/>
  <c r="Y9" i="17"/>
  <c r="BF72" i="17"/>
  <c r="L36" i="30"/>
  <c r="L39" i="30" s="1"/>
  <c r="L41" i="30" s="1"/>
  <c r="L43" i="30" s="1"/>
  <c r="M34" i="30"/>
  <c r="U29" i="16"/>
  <c r="U31" i="16" s="1"/>
  <c r="CQ12" i="3"/>
  <c r="CQ18" i="3"/>
  <c r="BW40" i="6"/>
  <c r="CC40" i="6"/>
  <c r="CD33" i="2"/>
  <c r="BY8" i="3"/>
  <c r="BY35" i="2"/>
  <c r="BY36" i="2" s="1"/>
  <c r="BM92" i="35"/>
  <c r="BM95" i="35" s="1"/>
  <c r="BN91" i="35"/>
  <c r="DA23" i="2"/>
  <c r="CV16" i="3"/>
  <c r="P28" i="22"/>
  <c r="Q28" i="22" s="1"/>
  <c r="AP33" i="1"/>
  <c r="AP31" i="1"/>
  <c r="S28" i="22"/>
  <c r="V27" i="22"/>
  <c r="V28" i="22" s="1"/>
  <c r="M11" i="17"/>
  <c r="AF23" i="1"/>
  <c r="V14" i="6" s="1"/>
  <c r="AA23" i="1"/>
  <c r="C166" i="17" s="1"/>
  <c r="AU8" i="6"/>
  <c r="BM5" i="35"/>
  <c r="BM81" i="35"/>
  <c r="BM88" i="35" s="1"/>
  <c r="BA75" i="1"/>
  <c r="BB79" i="1"/>
  <c r="BA78" i="1"/>
  <c r="BA77" i="1" s="1"/>
  <c r="AA31" i="1"/>
  <c r="AA33" i="1" s="1"/>
  <c r="V31" i="1"/>
  <c r="V33" i="1" s="1"/>
  <c r="BU40" i="6"/>
  <c r="BR169" i="17"/>
  <c r="BR170" i="17" s="1"/>
  <c r="BR172" i="17" s="1"/>
  <c r="CK19" i="6"/>
  <c r="AP23" i="1"/>
  <c r="BY62" i="1"/>
  <c r="BT7" i="3"/>
  <c r="BT41" i="2" s="1"/>
  <c r="AP19" i="1"/>
  <c r="AU19" i="1" s="1"/>
  <c r="AZ19" i="1" s="1"/>
  <c r="AZ21" i="1" s="1"/>
  <c r="AB13" i="6"/>
  <c r="AK19" i="1"/>
  <c r="AA13" i="6" s="1"/>
  <c r="AK23" i="1"/>
  <c r="W14" i="6"/>
  <c r="AK31" i="1"/>
  <c r="AK33" i="1" s="1"/>
  <c r="AA27" i="22"/>
  <c r="BB48" i="24"/>
  <c r="R13" i="26"/>
  <c r="S11" i="26"/>
  <c r="S13" i="26" s="1"/>
  <c r="Q14" i="26"/>
  <c r="P12" i="26"/>
  <c r="Q15" i="26"/>
  <c r="J4" i="26"/>
  <c r="J6" i="26" s="1"/>
  <c r="J8" i="26" s="1"/>
  <c r="J10" i="26" s="1"/>
  <c r="J18" i="26" s="1"/>
  <c r="K2" i="26"/>
  <c r="R16" i="25"/>
  <c r="R15" i="25"/>
  <c r="R13" i="25"/>
  <c r="L4" i="25"/>
  <c r="L6" i="25" s="1"/>
  <c r="L9" i="25" s="1"/>
  <c r="L11" i="25" s="1"/>
  <c r="L19" i="25" s="1"/>
  <c r="M2" i="25"/>
  <c r="S13" i="25"/>
  <c r="S16" i="25"/>
  <c r="S15" i="25"/>
  <c r="BQ4" i="24"/>
  <c r="BL6" i="24"/>
  <c r="BL8" i="24" s="1"/>
  <c r="BL11" i="24" s="1"/>
  <c r="BL13" i="24" s="1"/>
  <c r="BG28" i="24"/>
  <c r="BG40" i="24" s="1"/>
  <c r="BG27" i="24"/>
  <c r="BG39" i="24" s="1"/>
  <c r="BG29" i="24"/>
  <c r="BG41" i="24" s="1"/>
  <c r="BG30" i="24"/>
  <c r="BG42" i="24" s="1"/>
  <c r="BG32" i="24"/>
  <c r="BG44" i="24" s="1"/>
  <c r="BG34" i="24"/>
  <c r="BG46" i="24" s="1"/>
  <c r="BG33" i="24"/>
  <c r="BG45" i="24" s="1"/>
  <c r="BG31" i="24"/>
  <c r="BG43" i="24" s="1"/>
  <c r="O6" i="30"/>
  <c r="O9" i="30" s="1"/>
  <c r="O11" i="30" s="1"/>
  <c r="O13" i="30" s="1"/>
  <c r="O25" i="30" s="1"/>
  <c r="O30" i="30" s="1"/>
  <c r="P4" i="30"/>
  <c r="N49" i="30"/>
  <c r="O50" i="30"/>
  <c r="Q42" i="30"/>
  <c r="P64" i="29"/>
  <c r="Q66" i="29" s="1"/>
  <c r="AE20" i="29"/>
  <c r="AF18" i="29"/>
  <c r="Z33" i="29"/>
  <c r="AG32" i="29"/>
  <c r="AG31" i="29"/>
  <c r="AH30" i="29"/>
  <c r="AL45" i="29"/>
  <c r="W11" i="29"/>
  <c r="W13" i="29" s="1"/>
  <c r="W26" i="29" s="1"/>
  <c r="W36" i="29" s="1"/>
  <c r="X10" i="29"/>
  <c r="X14" i="29"/>
  <c r="V14" i="29"/>
  <c r="R14" i="29"/>
  <c r="P14" i="29"/>
  <c r="W14" i="29"/>
  <c r="S14" i="29"/>
  <c r="U14" i="29"/>
  <c r="Q14" i="29"/>
  <c r="H49" i="29"/>
  <c r="H47" i="29"/>
  <c r="AF11" i="29"/>
  <c r="AG8" i="29"/>
  <c r="AA53" i="29"/>
  <c r="AB48" i="29"/>
  <c r="AA12" i="29"/>
  <c r="AF48" i="29"/>
  <c r="AA28" i="29"/>
  <c r="AA33" i="29" s="1"/>
  <c r="AB21" i="29"/>
  <c r="K6" i="6"/>
  <c r="K8" i="6" s="1"/>
  <c r="L8" i="6"/>
  <c r="AJ47" i="29"/>
  <c r="T15" i="29"/>
  <c r="O8" i="6"/>
  <c r="R50" i="29"/>
  <c r="S48" i="29"/>
  <c r="S50" i="29" s="1"/>
  <c r="S58" i="29" s="1"/>
  <c r="S64" i="29" s="1"/>
  <c r="G48" i="29"/>
  <c r="F45" i="29"/>
  <c r="F48" i="29" s="1"/>
  <c r="AK8" i="29"/>
  <c r="AK48" i="29" s="1"/>
  <c r="AJ11" i="29"/>
  <c r="AJ7" i="29"/>
  <c r="U26" i="29"/>
  <c r="T36" i="29"/>
  <c r="Q5" i="6" s="1"/>
  <c r="M5" i="6"/>
  <c r="P38" i="29"/>
  <c r="L50" i="29"/>
  <c r="M48" i="29"/>
  <c r="V50" i="29"/>
  <c r="W48" i="29"/>
  <c r="AV20" i="17"/>
  <c r="AV21" i="17" s="1"/>
  <c r="BF74" i="17"/>
  <c r="BF76" i="17" s="1"/>
  <c r="BA159" i="17"/>
  <c r="AV136" i="17"/>
  <c r="AQ34" i="17"/>
  <c r="BK157" i="17"/>
  <c r="BK135" i="17" s="1"/>
  <c r="BP156" i="17"/>
  <c r="BP157" i="17" s="1"/>
  <c r="BP135" i="17" s="1"/>
  <c r="BF145" i="17"/>
  <c r="BF133" i="17" s="1"/>
  <c r="BK144" i="17"/>
  <c r="M12" i="17"/>
  <c r="M15" i="17" s="1"/>
  <c r="M34" i="17" s="1"/>
  <c r="BA74" i="17"/>
  <c r="BA76" i="17" s="1"/>
  <c r="BK83" i="17"/>
  <c r="BF11" i="17"/>
  <c r="BA12" i="17"/>
  <c r="BA14" i="17" s="1"/>
  <c r="BA15" i="17" s="1"/>
  <c r="BY17" i="1"/>
  <c r="BY20" i="13" s="1"/>
  <c r="BU18" i="17"/>
  <c r="BP16" i="17"/>
  <c r="BP64" i="17"/>
  <c r="BK65" i="17"/>
  <c r="BK67" i="17" s="1"/>
  <c r="BK69" i="17" s="1"/>
  <c r="BK70" i="17" s="1"/>
  <c r="BP53" i="17"/>
  <c r="BK54" i="17"/>
  <c r="BK56" i="17" s="1"/>
  <c r="BK58" i="17" s="1"/>
  <c r="BK59" i="17" s="1"/>
  <c r="BA113" i="17"/>
  <c r="BF1" i="17"/>
  <c r="BU94" i="17"/>
  <c r="BA26" i="17"/>
  <c r="AV27" i="17"/>
  <c r="AV29" i="17" s="1"/>
  <c r="AV31" i="17" s="1"/>
  <c r="AV32" i="17" s="1"/>
  <c r="W20" i="17"/>
  <c r="AL36" i="17"/>
  <c r="AL38" i="17" s="1"/>
  <c r="Y15" i="16"/>
  <c r="X14" i="16"/>
  <c r="N9" i="16"/>
  <c r="N10" i="16" s="1"/>
  <c r="O8" i="16"/>
  <c r="AU14" i="16"/>
  <c r="AU6" i="16"/>
  <c r="S19" i="16"/>
  <c r="AP27" i="16"/>
  <c r="AP29" i="16" s="1"/>
  <c r="AP11" i="16"/>
  <c r="AP13" i="16" s="1"/>
  <c r="AP16" i="16" s="1"/>
  <c r="X8" i="16"/>
  <c r="W9" i="16"/>
  <c r="W11" i="16" s="1"/>
  <c r="W13" i="16" s="1"/>
  <c r="W16" i="16" s="1"/>
  <c r="W20" i="16" s="1"/>
  <c r="M10" i="16"/>
  <c r="AB34" i="16"/>
  <c r="AC35" i="16"/>
  <c r="AF20" i="16"/>
  <c r="AF23" i="16" s="1"/>
  <c r="CQ19" i="6"/>
  <c r="CC169" i="17" s="1"/>
  <c r="CC170" i="17" s="1"/>
  <c r="CC172" i="17" s="1"/>
  <c r="CO19" i="6"/>
  <c r="CA169" i="17" s="1"/>
  <c r="CA170" i="17" s="1"/>
  <c r="CA172" i="17" s="1"/>
  <c r="CA38" i="6"/>
  <c r="CA42" i="6" s="1"/>
  <c r="CO10" i="6"/>
  <c r="CJ11" i="6"/>
  <c r="CJ16" i="6" s="1"/>
  <c r="CK10" i="6"/>
  <c r="CF11" i="6"/>
  <c r="CF16" i="6" s="1"/>
  <c r="BZ38" i="6"/>
  <c r="BZ42" i="6" s="1"/>
  <c r="AK25" i="6"/>
  <c r="T45" i="6"/>
  <c r="S44" i="6"/>
  <c r="S46" i="6" s="1"/>
  <c r="CB38" i="6"/>
  <c r="CB42" i="6" s="1"/>
  <c r="AE19" i="6"/>
  <c r="AZ19" i="6"/>
  <c r="AL169" i="17" s="1"/>
  <c r="W32" i="6"/>
  <c r="X33" i="6"/>
  <c r="AK33" i="6"/>
  <c r="AF32" i="6"/>
  <c r="CW19" i="6"/>
  <c r="CI169" i="17" s="1"/>
  <c r="CI170" i="17" s="1"/>
  <c r="CI172" i="17" s="1"/>
  <c r="CH38" i="6"/>
  <c r="CH42" i="6" s="1"/>
  <c r="CC18" i="6"/>
  <c r="CC20" i="6" s="1"/>
  <c r="AU38" i="6"/>
  <c r="AI19" i="6"/>
  <c r="CG18" i="6"/>
  <c r="CG20" i="6" s="1"/>
  <c r="CE20" i="6"/>
  <c r="CA18" i="6"/>
  <c r="CA20" i="6" s="1"/>
  <c r="BU44" i="6"/>
  <c r="BU46" i="6" s="1"/>
  <c r="V34" i="6"/>
  <c r="V42" i="6" s="1"/>
  <c r="V33" i="6"/>
  <c r="BW44" i="6"/>
  <c r="BW46" i="6" s="1"/>
  <c r="AC33" i="6"/>
  <c r="AB32" i="6"/>
  <c r="AB31" i="6" s="1"/>
  <c r="AB29" i="6" s="1"/>
  <c r="AB28" i="6" s="1"/>
  <c r="CC44" i="6"/>
  <c r="CC46" i="6" s="1"/>
  <c r="AZ51" i="6"/>
  <c r="BE1" i="6"/>
  <c r="CQ10" i="6"/>
  <c r="CL11" i="6"/>
  <c r="CL16" i="6" s="1"/>
  <c r="CM10" i="6"/>
  <c r="CH11" i="6"/>
  <c r="CH16" i="6" s="1"/>
  <c r="AD23" i="22"/>
  <c r="Y23" i="22"/>
  <c r="Y25" i="22" s="1"/>
  <c r="AY19" i="22"/>
  <c r="AJ11" i="22"/>
  <c r="AZ11" i="22"/>
  <c r="AV11" i="22"/>
  <c r="Y10" i="22"/>
  <c r="T12" i="22"/>
  <c r="AE16" i="22"/>
  <c r="AE14" i="22" s="1"/>
  <c r="AF14" i="22" s="1"/>
  <c r="AE20" i="22"/>
  <c r="AE18" i="22" s="1"/>
  <c r="AF18" i="22" s="1"/>
  <c r="AT15" i="22"/>
  <c r="AD10" i="22"/>
  <c r="AE12" i="22" s="1"/>
  <c r="AE23" i="22" s="1"/>
  <c r="AE25" i="22" s="1"/>
  <c r="AR11" i="22"/>
  <c r="Y14" i="22"/>
  <c r="U14" i="22"/>
  <c r="Z8" i="22"/>
  <c r="Z22" i="22" s="1"/>
  <c r="AB7" i="22"/>
  <c r="AX15" i="22"/>
  <c r="AF16" i="22"/>
  <c r="AN11" i="22"/>
  <c r="CT21" i="3"/>
  <c r="CO25" i="3"/>
  <c r="CO38" i="3" s="1"/>
  <c r="CO40" i="3" s="1"/>
  <c r="CT39" i="3" s="1"/>
  <c r="CU25" i="3"/>
  <c r="CZ21" i="3"/>
  <c r="CQ25" i="3"/>
  <c r="CV21" i="3"/>
  <c r="DC6" i="3"/>
  <c r="CX17" i="2"/>
  <c r="CX18" i="2" s="1"/>
  <c r="CS46" i="3"/>
  <c r="CX31" i="3"/>
  <c r="CT36" i="3"/>
  <c r="CY28" i="3"/>
  <c r="CV36" i="3"/>
  <c r="DA28" i="3"/>
  <c r="CR36" i="3"/>
  <c r="CR38" i="3" s="1"/>
  <c r="CR40" i="3" s="1"/>
  <c r="CW39" i="3" s="1"/>
  <c r="CW28" i="3"/>
  <c r="CP36" i="3"/>
  <c r="CP38" i="3" s="1"/>
  <c r="CP40" i="3" s="1"/>
  <c r="CU39" i="3" s="1"/>
  <c r="CU28" i="3"/>
  <c r="BY36" i="3"/>
  <c r="CD28" i="3"/>
  <c r="DB21" i="3"/>
  <c r="CW25" i="3"/>
  <c r="CX21" i="3"/>
  <c r="CS25" i="3"/>
  <c r="DB15" i="2"/>
  <c r="CW61" i="2"/>
  <c r="CW21" i="2"/>
  <c r="CN30" i="2"/>
  <c r="CK63" i="2"/>
  <c r="CK62" i="2"/>
  <c r="CJ62" i="2"/>
  <c r="CJ63" i="2"/>
  <c r="CD38" i="2"/>
  <c r="CI28" i="2"/>
  <c r="CN23" i="2"/>
  <c r="CN16" i="3" s="1"/>
  <c r="CR63" i="2"/>
  <c r="CR62" i="2"/>
  <c r="CP61" i="2"/>
  <c r="CU15" i="2"/>
  <c r="CP21" i="2"/>
  <c r="CO61" i="2"/>
  <c r="CT15" i="2"/>
  <c r="CO21" i="2"/>
  <c r="CV61" i="2"/>
  <c r="DA15" i="2"/>
  <c r="CV21" i="2"/>
  <c r="CQ63" i="2"/>
  <c r="CQ62" i="2"/>
  <c r="BO6" i="13"/>
  <c r="BY51" i="13"/>
  <c r="BY36" i="13"/>
  <c r="BY25" i="1" s="1"/>
  <c r="BY31" i="13"/>
  <c r="BY32" i="13" s="1"/>
  <c r="AF94" i="1"/>
  <c r="AA93" i="1"/>
  <c r="AA19" i="1"/>
  <c r="Q13" i="6" s="1"/>
  <c r="BO33" i="1"/>
  <c r="BT32" i="1"/>
  <c r="AA94" i="1"/>
  <c r="AA45" i="1"/>
  <c r="AK94" i="1"/>
  <c r="V93" i="1"/>
  <c r="V19" i="1"/>
  <c r="AP94" i="1"/>
  <c r="V94" i="1"/>
  <c r="V45" i="1"/>
  <c r="V25" i="1"/>
  <c r="AK45" i="1"/>
  <c r="Q93" i="1"/>
  <c r="Q19" i="1"/>
  <c r="CI79" i="1"/>
  <c r="CD78" i="1"/>
  <c r="BY55" i="1"/>
  <c r="BT44" i="1"/>
  <c r="L94" i="1"/>
  <c r="BE20" i="1"/>
  <c r="AF19" i="1"/>
  <c r="L45" i="1"/>
  <c r="Q94" i="1"/>
  <c r="Q45" i="1"/>
  <c r="BE10" i="1"/>
  <c r="W21" i="17" l="1"/>
  <c r="AW19" i="1"/>
  <c r="AW21" i="1" s="1"/>
  <c r="AV19" i="1"/>
  <c r="AV21" i="1" s="1"/>
  <c r="AX19" i="1"/>
  <c r="AX21" i="1" s="1"/>
  <c r="X20" i="17"/>
  <c r="X21" i="17" s="1"/>
  <c r="X34" i="17" s="1"/>
  <c r="Y10" i="17"/>
  <c r="Y12" i="17" s="1"/>
  <c r="Y14" i="17" s="1"/>
  <c r="Y15" i="17" s="1"/>
  <c r="Z9" i="17"/>
  <c r="CQ38" i="3"/>
  <c r="CQ40" i="3" s="1"/>
  <c r="CV39" i="3" s="1"/>
  <c r="CV12" i="3"/>
  <c r="CV18" i="3"/>
  <c r="CI33" i="2"/>
  <c r="CD8" i="3"/>
  <c r="CD35" i="2"/>
  <c r="CD36" i="2" s="1"/>
  <c r="DF23" i="2"/>
  <c r="DF16" i="3" s="1"/>
  <c r="DA16" i="3"/>
  <c r="N34" i="30"/>
  <c r="M36" i="30"/>
  <c r="M39" i="30" s="1"/>
  <c r="M41" i="30" s="1"/>
  <c r="M43" i="30" s="1"/>
  <c r="BN92" i="35"/>
  <c r="BN95" i="35" s="1"/>
  <c r="U27" i="22"/>
  <c r="Q14" i="6"/>
  <c r="M14" i="6" s="1"/>
  <c r="N14" i="6" s="1"/>
  <c r="AF13" i="6"/>
  <c r="AP21" i="1"/>
  <c r="AP45" i="1" s="1"/>
  <c r="AF14" i="6"/>
  <c r="AT7" i="13"/>
  <c r="AU7" i="13"/>
  <c r="BO82" i="35"/>
  <c r="BP82" i="35"/>
  <c r="BQ82" i="35"/>
  <c r="BR82" i="35"/>
  <c r="BS82" i="35"/>
  <c r="BN82" i="35"/>
  <c r="AZ8" i="6"/>
  <c r="BC79" i="1"/>
  <c r="BB75" i="1"/>
  <c r="BB78" i="1"/>
  <c r="BB77" i="1" s="1"/>
  <c r="BW169" i="17"/>
  <c r="BW170" i="17" s="1"/>
  <c r="BW172" i="17" s="1"/>
  <c r="CP19" i="6"/>
  <c r="CD62" i="1"/>
  <c r="BY7" i="3"/>
  <c r="BY41" i="2" s="1"/>
  <c r="AF21" i="1"/>
  <c r="AF93" i="1" s="1"/>
  <c r="V13" i="6"/>
  <c r="H167" i="17" s="1"/>
  <c r="U19" i="1"/>
  <c r="K13" i="6" s="1"/>
  <c r="K16" i="6" s="1"/>
  <c r="K18" i="6" s="1"/>
  <c r="K20" i="6" s="1"/>
  <c r="K48" i="6" s="1"/>
  <c r="L13" i="6"/>
  <c r="L16" i="6" s="1"/>
  <c r="L18" i="6" s="1"/>
  <c r="L20" i="6" s="1"/>
  <c r="L48" i="6" s="1"/>
  <c r="R166" i="17"/>
  <c r="R14" i="6"/>
  <c r="M166" i="17"/>
  <c r="AA14" i="6"/>
  <c r="M167" i="17" s="1"/>
  <c r="Y27" i="22"/>
  <c r="Y28" i="22" s="1"/>
  <c r="W27" i="22"/>
  <c r="W28" i="22" s="1"/>
  <c r="AA28" i="22"/>
  <c r="X27" i="22"/>
  <c r="X28" i="22" s="1"/>
  <c r="CH40" i="6"/>
  <c r="CB40" i="6"/>
  <c r="CG38" i="6" s="1"/>
  <c r="R12" i="26"/>
  <c r="S12" i="26" s="1"/>
  <c r="S14" i="26"/>
  <c r="S15" i="26"/>
  <c r="R15" i="26"/>
  <c r="R14" i="26"/>
  <c r="Q12" i="26"/>
  <c r="K4" i="26"/>
  <c r="K6" i="26" s="1"/>
  <c r="K8" i="26" s="1"/>
  <c r="K10" i="26" s="1"/>
  <c r="K18" i="26" s="1"/>
  <c r="L2" i="26"/>
  <c r="R81" i="17"/>
  <c r="R84" i="17" s="1"/>
  <c r="R86" i="17" s="1"/>
  <c r="M4" i="25"/>
  <c r="M6" i="25" s="1"/>
  <c r="M9" i="25" s="1"/>
  <c r="M11" i="25" s="1"/>
  <c r="M19" i="25" s="1"/>
  <c r="N2" i="25"/>
  <c r="BQ6" i="24"/>
  <c r="BQ8" i="24" s="1"/>
  <c r="BQ11" i="24" s="1"/>
  <c r="BQ13" i="24" s="1"/>
  <c r="BV4" i="24"/>
  <c r="BG48" i="24"/>
  <c r="BG49" i="24" s="1"/>
  <c r="BL28" i="24"/>
  <c r="BL40" i="24" s="1"/>
  <c r="BL27" i="24"/>
  <c r="BL39" i="24" s="1"/>
  <c r="BL29" i="24"/>
  <c r="BL41" i="24" s="1"/>
  <c r="BL30" i="24"/>
  <c r="BL42" i="24" s="1"/>
  <c r="BL32" i="24"/>
  <c r="BL44" i="24" s="1"/>
  <c r="BL34" i="24"/>
  <c r="BL46" i="24" s="1"/>
  <c r="BL31" i="24"/>
  <c r="BL43" i="24" s="1"/>
  <c r="BL33" i="24"/>
  <c r="BL45" i="24" s="1"/>
  <c r="R42" i="30"/>
  <c r="P50" i="30"/>
  <c r="O49" i="30"/>
  <c r="P6" i="30"/>
  <c r="P9" i="30" s="1"/>
  <c r="P11" i="30" s="1"/>
  <c r="P13" i="30" s="1"/>
  <c r="P25" i="30" s="1"/>
  <c r="P30" i="30" s="1"/>
  <c r="AK7" i="6" s="1"/>
  <c r="Q4" i="30"/>
  <c r="AK47" i="29"/>
  <c r="F49" i="29"/>
  <c r="F47" i="29"/>
  <c r="AC21" i="29"/>
  <c r="AC28" i="29" s="1"/>
  <c r="AC33" i="29" s="1"/>
  <c r="AB28" i="29"/>
  <c r="AB33" i="29" s="1"/>
  <c r="AD21" i="29"/>
  <c r="AE21" i="29" s="1"/>
  <c r="AC48" i="29"/>
  <c r="AB53" i="29"/>
  <c r="Z10" i="29"/>
  <c r="X11" i="29"/>
  <c r="AH32" i="29"/>
  <c r="AH31" i="29"/>
  <c r="AF20" i="29"/>
  <c r="AG18" i="29"/>
  <c r="X48" i="29"/>
  <c r="X50" i="29" s="1"/>
  <c r="W50" i="29"/>
  <c r="N48" i="29"/>
  <c r="N50" i="29" s="1"/>
  <c r="N58" i="29" s="1"/>
  <c r="M50" i="29"/>
  <c r="O50" i="29" s="1"/>
  <c r="O49" i="29" s="1"/>
  <c r="T38" i="29"/>
  <c r="M6" i="6"/>
  <c r="M8" i="6" s="1"/>
  <c r="P5" i="6"/>
  <c r="U36" i="29"/>
  <c r="AK11" i="29"/>
  <c r="AK7" i="29"/>
  <c r="AL8" i="29"/>
  <c r="G47" i="29"/>
  <c r="G49" i="29"/>
  <c r="R58" i="29"/>
  <c r="T50" i="29"/>
  <c r="T49" i="29" s="1"/>
  <c r="T54" i="29"/>
  <c r="U54" i="29" s="1"/>
  <c r="T55" i="29"/>
  <c r="T58" i="29" s="1"/>
  <c r="T53" i="29"/>
  <c r="W15" i="29"/>
  <c r="U15" i="29"/>
  <c r="S15" i="29"/>
  <c r="Q15" i="29"/>
  <c r="R15" i="29"/>
  <c r="X15" i="29"/>
  <c r="P15" i="29"/>
  <c r="V15" i="29"/>
  <c r="AG48" i="29"/>
  <c r="AB12" i="29"/>
  <c r="Y53" i="29"/>
  <c r="AH8" i="29"/>
  <c r="AH11" i="29" s="1"/>
  <c r="AG11" i="29"/>
  <c r="AL48" i="29"/>
  <c r="AM45" i="29"/>
  <c r="AD28" i="29"/>
  <c r="AI28" i="29" s="1"/>
  <c r="AJ28" i="29" s="1"/>
  <c r="AV34" i="17"/>
  <c r="BZ94" i="17"/>
  <c r="BF113" i="17"/>
  <c r="BK1" i="17"/>
  <c r="BK72" i="17"/>
  <c r="BK11" i="17"/>
  <c r="BF12" i="17"/>
  <c r="BF14" i="17" s="1"/>
  <c r="BF15" i="17" s="1"/>
  <c r="CD17" i="1"/>
  <c r="CD20" i="13" s="1"/>
  <c r="BP83" i="17"/>
  <c r="BK145" i="17"/>
  <c r="BK133" i="17" s="1"/>
  <c r="BP144" i="17"/>
  <c r="BP145" i="17" s="1"/>
  <c r="BP133" i="17" s="1"/>
  <c r="AQ36" i="17"/>
  <c r="AQ38" i="17" s="1"/>
  <c r="BF159" i="17"/>
  <c r="BA136" i="17"/>
  <c r="U36" i="17"/>
  <c r="U38" i="17" s="1"/>
  <c r="BF26" i="17"/>
  <c r="BA27" i="17"/>
  <c r="BA29" i="17" s="1"/>
  <c r="BA31" i="17" s="1"/>
  <c r="BA32" i="17" s="1"/>
  <c r="BU53" i="17"/>
  <c r="BP54" i="17"/>
  <c r="BP56" i="17" s="1"/>
  <c r="BP58" i="17" s="1"/>
  <c r="BP59" i="17" s="1"/>
  <c r="BU64" i="17"/>
  <c r="BP65" i="17"/>
  <c r="BP67" i="17" s="1"/>
  <c r="BP69" i="17" s="1"/>
  <c r="BP70" i="17" s="1"/>
  <c r="BZ18" i="17"/>
  <c r="BU16" i="17"/>
  <c r="BA20" i="17"/>
  <c r="BA21" i="17" s="1"/>
  <c r="M138" i="17"/>
  <c r="M36" i="17"/>
  <c r="M163" i="17" s="1"/>
  <c r="W23" i="16"/>
  <c r="W19" i="16"/>
  <c r="AU16" i="13"/>
  <c r="AT16" i="13"/>
  <c r="AU11" i="16"/>
  <c r="AU13" i="16" s="1"/>
  <c r="AU27" i="16"/>
  <c r="AU29" i="16" s="1"/>
  <c r="T20" i="16"/>
  <c r="T23" i="16" s="1"/>
  <c r="Z15" i="16"/>
  <c r="Z14" i="16" s="1"/>
  <c r="Y14" i="16"/>
  <c r="AD35" i="16"/>
  <c r="AC34" i="16"/>
  <c r="X9" i="16"/>
  <c r="X11" i="16" s="1"/>
  <c r="X13" i="16" s="1"/>
  <c r="X16" i="16" s="1"/>
  <c r="Y8" i="16"/>
  <c r="AP31" i="16"/>
  <c r="AU16" i="16"/>
  <c r="O9" i="16"/>
  <c r="P8" i="16"/>
  <c r="P9" i="16" s="1"/>
  <c r="P10" i="16" s="1"/>
  <c r="AF19" i="16"/>
  <c r="CH18" i="6"/>
  <c r="CH20" i="6" s="1"/>
  <c r="BE51" i="6"/>
  <c r="BJ1" i="6"/>
  <c r="AD33" i="6"/>
  <c r="AC32" i="6"/>
  <c r="AC31" i="6" s="1"/>
  <c r="AC29" i="6" s="1"/>
  <c r="AC28" i="6" s="1"/>
  <c r="CM38" i="6"/>
  <c r="CM42" i="6" s="1"/>
  <c r="AP33" i="6"/>
  <c r="AK32" i="6"/>
  <c r="AG33" i="6"/>
  <c r="W31" i="6"/>
  <c r="BE19" i="6"/>
  <c r="AQ169" i="17" s="1"/>
  <c r="U45" i="6"/>
  <c r="T44" i="6"/>
  <c r="T46" i="6" s="1"/>
  <c r="AP25" i="6"/>
  <c r="BZ44" i="6"/>
  <c r="BZ46" i="6"/>
  <c r="CF18" i="6"/>
  <c r="CF20" i="6" s="1"/>
  <c r="CA44" i="6"/>
  <c r="CA46" i="6" s="1"/>
  <c r="CT19" i="6"/>
  <c r="CF169" i="17" s="1"/>
  <c r="CF170" i="17" s="1"/>
  <c r="CF172" i="17" s="1"/>
  <c r="CV19" i="6"/>
  <c r="CH169" i="17" s="1"/>
  <c r="CH170" i="17" s="1"/>
  <c r="CH172" i="17" s="1"/>
  <c r="CM11" i="6"/>
  <c r="CM16" i="6" s="1"/>
  <c r="CR10" i="6"/>
  <c r="CQ11" i="6"/>
  <c r="CQ16" i="6" s="1"/>
  <c r="CV10" i="6"/>
  <c r="CV11" i="6" s="1"/>
  <c r="CV16" i="6" s="1"/>
  <c r="AJ19" i="6"/>
  <c r="AU40" i="6"/>
  <c r="CH44" i="6"/>
  <c r="CH46" i="6" s="1"/>
  <c r="Y33" i="6"/>
  <c r="X32" i="6"/>
  <c r="X31" i="6" s="1"/>
  <c r="X29" i="6" s="1"/>
  <c r="X28" i="6" s="1"/>
  <c r="CB44" i="6"/>
  <c r="CB46" i="6" s="1"/>
  <c r="AE24" i="6"/>
  <c r="BZ40" i="6"/>
  <c r="CK11" i="6"/>
  <c r="CK16" i="6" s="1"/>
  <c r="CP10" i="6"/>
  <c r="CO11" i="6"/>
  <c r="CO16" i="6" s="1"/>
  <c r="CT10" i="6"/>
  <c r="CT11" i="6" s="1"/>
  <c r="CT16" i="6" s="1"/>
  <c r="CA40" i="6"/>
  <c r="CJ18" i="6"/>
  <c r="CJ20" i="6" s="1"/>
  <c r="CL18" i="6"/>
  <c r="CL20" i="6" s="1"/>
  <c r="AG20" i="22"/>
  <c r="AG16" i="22"/>
  <c r="AO11" i="22"/>
  <c r="Z16" i="22"/>
  <c r="AA16" i="22" s="1"/>
  <c r="T23" i="22"/>
  <c r="T25" i="22" s="1"/>
  <c r="T28" i="22" s="1"/>
  <c r="U28" i="22" s="1"/>
  <c r="Z12" i="22"/>
  <c r="Z10" i="22" s="1"/>
  <c r="AF12" i="22"/>
  <c r="AF20" i="22"/>
  <c r="AY15" i="22"/>
  <c r="AB8" i="22"/>
  <c r="AC7" i="22"/>
  <c r="AS11" i="22"/>
  <c r="AE10" i="22"/>
  <c r="AF10" i="22" s="1"/>
  <c r="T10" i="22"/>
  <c r="AW11" i="22"/>
  <c r="CT25" i="3"/>
  <c r="CT38" i="3" s="1"/>
  <c r="CT40" i="3" s="1"/>
  <c r="CY39" i="3" s="1"/>
  <c r="CY21" i="3"/>
  <c r="CX25" i="3"/>
  <c r="DC21" i="3"/>
  <c r="DB25" i="3"/>
  <c r="DG21" i="3"/>
  <c r="DG25" i="3" s="1"/>
  <c r="CD36" i="3"/>
  <c r="CI28" i="3"/>
  <c r="CU36" i="3"/>
  <c r="CU38" i="3" s="1"/>
  <c r="CU40" i="3" s="1"/>
  <c r="CZ39" i="3" s="1"/>
  <c r="CZ28" i="3"/>
  <c r="CW36" i="3"/>
  <c r="CW38" i="3" s="1"/>
  <c r="CW40" i="3" s="1"/>
  <c r="DB39" i="3" s="1"/>
  <c r="DB28" i="3"/>
  <c r="DA36" i="3"/>
  <c r="DF28" i="3"/>
  <c r="DF36" i="3" s="1"/>
  <c r="CY36" i="3"/>
  <c r="DD28" i="3"/>
  <c r="DD36" i="3" s="1"/>
  <c r="CX46" i="3"/>
  <c r="DC31" i="3"/>
  <c r="DH6" i="3"/>
  <c r="DC17" i="2"/>
  <c r="DC18" i="2" s="1"/>
  <c r="CV25" i="3"/>
  <c r="DA21" i="3"/>
  <c r="CZ25" i="3"/>
  <c r="DE21" i="3"/>
  <c r="DE25" i="3" s="1"/>
  <c r="DA61" i="2"/>
  <c r="DF15" i="2"/>
  <c r="DA21" i="2"/>
  <c r="CO62" i="2"/>
  <c r="CO63" i="2"/>
  <c r="CP63" i="2"/>
  <c r="CP62" i="2"/>
  <c r="CI38" i="2"/>
  <c r="CW63" i="2"/>
  <c r="CW62" i="2"/>
  <c r="CV63" i="2"/>
  <c r="CV62" i="2"/>
  <c r="CT61" i="2"/>
  <c r="CY15" i="2"/>
  <c r="CT21" i="2"/>
  <c r="CU61" i="2"/>
  <c r="CZ15" i="2"/>
  <c r="CU21" i="2"/>
  <c r="CN28" i="2"/>
  <c r="CS23" i="2"/>
  <c r="CS16" i="3" s="1"/>
  <c r="CS30" i="2"/>
  <c r="DB61" i="2"/>
  <c r="DG15" i="2"/>
  <c r="DB21" i="2"/>
  <c r="CD31" i="13"/>
  <c r="CD32" i="13" s="1"/>
  <c r="CD51" i="13"/>
  <c r="BT6" i="13"/>
  <c r="CD36" i="13"/>
  <c r="CD25" i="1" s="1"/>
  <c r="BJ20" i="1"/>
  <c r="CD55" i="1"/>
  <c r="BY44" i="1"/>
  <c r="CN79" i="1"/>
  <c r="CI78" i="1"/>
  <c r="BY32" i="1"/>
  <c r="BT33" i="1"/>
  <c r="AZ10" i="1"/>
  <c r="AF14" i="1"/>
  <c r="W14" i="1"/>
  <c r="W13" i="1" s="1"/>
  <c r="M11" i="6" s="1"/>
  <c r="AQ14" i="1"/>
  <c r="AG108" i="6" s="1"/>
  <c r="AG105" i="6" s="1"/>
  <c r="AG107" i="6" s="1"/>
  <c r="AO14" i="1"/>
  <c r="AE108" i="6" s="1"/>
  <c r="AE105" i="6" s="1"/>
  <c r="AN14" i="1"/>
  <c r="AM14" i="1"/>
  <c r="AC108" i="6" s="1"/>
  <c r="AL14" i="1"/>
  <c r="AK14" i="1"/>
  <c r="AQ13" i="1"/>
  <c r="AO13" i="1"/>
  <c r="AE11" i="6" s="1"/>
  <c r="AN13" i="1"/>
  <c r="AM13" i="1"/>
  <c r="AL13" i="1"/>
  <c r="AB11" i="6" s="1"/>
  <c r="AJ13" i="1"/>
  <c r="Z11" i="6" s="1"/>
  <c r="AI13" i="1"/>
  <c r="Y11" i="6" s="1"/>
  <c r="AH13" i="1"/>
  <c r="X11" i="6" s="1"/>
  <c r="AG13" i="1"/>
  <c r="W11" i="6" s="1"/>
  <c r="AE13" i="1"/>
  <c r="U11" i="6" s="1"/>
  <c r="AD13" i="1"/>
  <c r="T11" i="6" s="1"/>
  <c r="T10" i="6" s="1"/>
  <c r="AC13" i="1"/>
  <c r="S11" i="6" s="1"/>
  <c r="S10" i="6" s="1"/>
  <c r="AB13" i="1"/>
  <c r="R11" i="6" s="1"/>
  <c r="Z13" i="1"/>
  <c r="P11" i="6" s="1"/>
  <c r="Y13" i="1"/>
  <c r="O11" i="6" s="1"/>
  <c r="O10" i="6" s="1"/>
  <c r="X13" i="1"/>
  <c r="N11" i="6" s="1"/>
  <c r="N10" i="6" s="1"/>
  <c r="U13" i="1"/>
  <c r="K11" i="6" s="1"/>
  <c r="T13" i="1"/>
  <c r="J11" i="6" s="1"/>
  <c r="S13" i="1"/>
  <c r="I11" i="6" s="1"/>
  <c r="R13" i="1"/>
  <c r="H11" i="6" s="1"/>
  <c r="Q13" i="1"/>
  <c r="L13" i="1"/>
  <c r="L92" i="1" s="1"/>
  <c r="X36" i="17" l="1"/>
  <c r="X38" i="17" s="1"/>
  <c r="AV19" i="13"/>
  <c r="AV26" i="13" s="1"/>
  <c r="AV33" i="13" s="1"/>
  <c r="AV6" i="1" s="1"/>
  <c r="AY19" i="1"/>
  <c r="AY21" i="1" s="1"/>
  <c r="AX93" i="1"/>
  <c r="AX45" i="1"/>
  <c r="AV93" i="1"/>
  <c r="AV45" i="1"/>
  <c r="AG11" i="6"/>
  <c r="AK11" i="6" s="1"/>
  <c r="AK10" i="6" s="1"/>
  <c r="AP10" i="6" s="1"/>
  <c r="AU10" i="6" s="1"/>
  <c r="AZ10" i="6" s="1"/>
  <c r="BE10" i="6" s="1"/>
  <c r="BJ10" i="6" s="1"/>
  <c r="BO10" i="6" s="1"/>
  <c r="AV92" i="1"/>
  <c r="AW93" i="1"/>
  <c r="AW45" i="1"/>
  <c r="CV38" i="3"/>
  <c r="CV40" i="3" s="1"/>
  <c r="DA39" i="3" s="1"/>
  <c r="Y20" i="17"/>
  <c r="Y21" i="17" s="1"/>
  <c r="Y34" i="17" s="1"/>
  <c r="BP72" i="17"/>
  <c r="AA9" i="17"/>
  <c r="AA10" i="17" s="1"/>
  <c r="AA12" i="17" s="1"/>
  <c r="AA14" i="17" s="1"/>
  <c r="AA15" i="17" s="1"/>
  <c r="Z10" i="17"/>
  <c r="Z12" i="17" s="1"/>
  <c r="Z14" i="17" s="1"/>
  <c r="Z15" i="17" s="1"/>
  <c r="DA12" i="3"/>
  <c r="DA18" i="3"/>
  <c r="CN33" i="2"/>
  <c r="CI8" i="3"/>
  <c r="CI35" i="2"/>
  <c r="CI36" i="2" s="1"/>
  <c r="AD108" i="6"/>
  <c r="AD105" i="6" s="1"/>
  <c r="Z14" i="22"/>
  <c r="DF12" i="3"/>
  <c r="DF18" i="3"/>
  <c r="AP14" i="1"/>
  <c r="AB108" i="6"/>
  <c r="N36" i="30"/>
  <c r="N39" i="30" s="1"/>
  <c r="N41" i="30" s="1"/>
  <c r="N43" i="30" s="1"/>
  <c r="N51" i="30" s="1"/>
  <c r="N56" i="30" s="1"/>
  <c r="N58" i="30" s="1"/>
  <c r="O34" i="30"/>
  <c r="AP93" i="1"/>
  <c r="AD11" i="6"/>
  <c r="C167" i="17"/>
  <c r="C168" i="17" s="1"/>
  <c r="C170" i="17" s="1"/>
  <c r="AK13" i="6"/>
  <c r="AB166" i="17"/>
  <c r="AT19" i="1"/>
  <c r="AJ13" i="6" s="1"/>
  <c r="R167" i="17"/>
  <c r="R168" i="17" s="1"/>
  <c r="R170" i="17" s="1"/>
  <c r="AF45" i="1"/>
  <c r="AA14" i="1"/>
  <c r="Q115" i="6" s="1"/>
  <c r="Q116" i="6" s="1"/>
  <c r="M115" i="6"/>
  <c r="M116" i="6" s="1"/>
  <c r="BO93" i="35"/>
  <c r="BO91" i="35" s="1"/>
  <c r="BN80" i="35"/>
  <c r="BQ93" i="35"/>
  <c r="BT82" i="35"/>
  <c r="BP93" i="35"/>
  <c r="BS93" i="35"/>
  <c r="BR93" i="35"/>
  <c r="X20" i="16"/>
  <c r="X23" i="16" s="1"/>
  <c r="T19" i="16"/>
  <c r="U20" i="16" s="1"/>
  <c r="U23" i="16" s="1"/>
  <c r="M38" i="17"/>
  <c r="M110" i="17" s="1"/>
  <c r="M114" i="17" s="1"/>
  <c r="BC75" i="1"/>
  <c r="BD79" i="1"/>
  <c r="BC78" i="1"/>
  <c r="BC77" i="1" s="1"/>
  <c r="AC11" i="6"/>
  <c r="AU94" i="1"/>
  <c r="CB169" i="17"/>
  <c r="CB170" i="17" s="1"/>
  <c r="CB172" i="17" s="1"/>
  <c r="CU19" i="6"/>
  <c r="CG169" i="17" s="1"/>
  <c r="CG170" i="17" s="1"/>
  <c r="CG172" i="17" s="1"/>
  <c r="CM40" i="6"/>
  <c r="R10" i="6"/>
  <c r="V11" i="6"/>
  <c r="AG16" i="6"/>
  <c r="AG18" i="6" s="1"/>
  <c r="AG20" i="6" s="1"/>
  <c r="Q11" i="6"/>
  <c r="CI62" i="1"/>
  <c r="CD7" i="3"/>
  <c r="CD41" i="2" s="1"/>
  <c r="AK93" i="1"/>
  <c r="H166" i="17"/>
  <c r="H168" i="17" s="1"/>
  <c r="H170" i="17" s="1"/>
  <c r="M168" i="17"/>
  <c r="M170" i="17" s="1"/>
  <c r="S14" i="6"/>
  <c r="R16" i="6"/>
  <c r="R18" i="6" s="1"/>
  <c r="R20" i="6" s="1"/>
  <c r="R48" i="6" s="1"/>
  <c r="O14" i="6"/>
  <c r="O16" i="6" s="1"/>
  <c r="O18" i="6" s="1"/>
  <c r="O20" i="6" s="1"/>
  <c r="O48" i="6" s="1"/>
  <c r="O49" i="6" s="1"/>
  <c r="N16" i="6"/>
  <c r="N18" i="6" s="1"/>
  <c r="N20" i="6" s="1"/>
  <c r="N48" i="6" s="1"/>
  <c r="N49" i="6" s="1"/>
  <c r="Z28" i="22"/>
  <c r="Z27" i="22"/>
  <c r="BL48" i="24"/>
  <c r="BL49" i="24" s="1"/>
  <c r="CG42" i="6"/>
  <c r="CG40" i="6"/>
  <c r="R88" i="17"/>
  <c r="R89" i="17" s="1"/>
  <c r="R102" i="17" s="1"/>
  <c r="Q86" i="17"/>
  <c r="Q88" i="17" s="1"/>
  <c r="Q89" i="17" s="1"/>
  <c r="Q102" i="17" s="1"/>
  <c r="Q106" i="17" s="1"/>
  <c r="Q110" i="17" s="1"/>
  <c r="L4" i="26"/>
  <c r="L6" i="26" s="1"/>
  <c r="L8" i="26" s="1"/>
  <c r="L10" i="26" s="1"/>
  <c r="L18" i="26" s="1"/>
  <c r="AB81" i="17" s="1"/>
  <c r="AA81" i="17" s="1"/>
  <c r="M2" i="26"/>
  <c r="O2" i="25"/>
  <c r="N4" i="25"/>
  <c r="N6" i="25" s="1"/>
  <c r="N9" i="25" s="1"/>
  <c r="N11" i="25" s="1"/>
  <c r="N19" i="25" s="1"/>
  <c r="CA4" i="24"/>
  <c r="CA6" i="24" s="1"/>
  <c r="CA8" i="24" s="1"/>
  <c r="CA11" i="24" s="1"/>
  <c r="CA13" i="24" s="1"/>
  <c r="BV6" i="24"/>
  <c r="BV8" i="24" s="1"/>
  <c r="BV11" i="24" s="1"/>
  <c r="BV13" i="24" s="1"/>
  <c r="BQ27" i="24"/>
  <c r="BQ39" i="24" s="1"/>
  <c r="BQ28" i="24"/>
  <c r="BQ40" i="24" s="1"/>
  <c r="BQ29" i="24"/>
  <c r="BQ41" i="24" s="1"/>
  <c r="BQ31" i="24"/>
  <c r="BQ43" i="24" s="1"/>
  <c r="BQ30" i="24"/>
  <c r="BQ42" i="24" s="1"/>
  <c r="BQ32" i="24"/>
  <c r="BQ44" i="24" s="1"/>
  <c r="BQ33" i="24"/>
  <c r="BQ45" i="24" s="1"/>
  <c r="BQ34" i="24"/>
  <c r="BQ46" i="24" s="1"/>
  <c r="Q6" i="30"/>
  <c r="Q9" i="30" s="1"/>
  <c r="Q11" i="30" s="1"/>
  <c r="Q13" i="30" s="1"/>
  <c r="Q25" i="30" s="1"/>
  <c r="Q30" i="30" s="1"/>
  <c r="R4" i="30"/>
  <c r="Q50" i="30"/>
  <c r="P49" i="30"/>
  <c r="S42" i="30"/>
  <c r="AK28" i="29"/>
  <c r="AJ33" i="29"/>
  <c r="AL47" i="29"/>
  <c r="AC12" i="29"/>
  <c r="AH48" i="29"/>
  <c r="V54" i="29"/>
  <c r="U55" i="29"/>
  <c r="R64" i="29"/>
  <c r="T61" i="29"/>
  <c r="T60" i="29" s="1"/>
  <c r="Y38" i="29"/>
  <c r="V6" i="6" s="1"/>
  <c r="Q6" i="6"/>
  <c r="Q8" i="6" s="1"/>
  <c r="N64" i="29"/>
  <c r="P66" i="29" s="1"/>
  <c r="O58" i="29"/>
  <c r="O64" i="29" s="1"/>
  <c r="Z11" i="29"/>
  <c r="AA10" i="29"/>
  <c r="AE28" i="29"/>
  <c r="AE33" i="29" s="1"/>
  <c r="AF21" i="29"/>
  <c r="AI11" i="29"/>
  <c r="T64" i="29"/>
  <c r="AM8" i="29"/>
  <c r="AM48" i="29" s="1"/>
  <c r="AL11" i="29"/>
  <c r="AL7" i="29"/>
  <c r="M16" i="6"/>
  <c r="M10" i="6"/>
  <c r="AG20" i="29"/>
  <c r="AH18" i="29"/>
  <c r="X13" i="29"/>
  <c r="Y11" i="29"/>
  <c r="Y10" i="29" s="1"/>
  <c r="AC53" i="29"/>
  <c r="Y50" i="29"/>
  <c r="Y49" i="29" s="1"/>
  <c r="Z49" i="29" s="1"/>
  <c r="AK23" i="13"/>
  <c r="AK26" i="13" s="1"/>
  <c r="AK33" i="13" s="1"/>
  <c r="AK48" i="13" s="1"/>
  <c r="AK53" i="13" s="1"/>
  <c r="M130" i="17"/>
  <c r="CE18" i="17"/>
  <c r="BZ16" i="17"/>
  <c r="BZ64" i="17"/>
  <c r="BU65" i="17"/>
  <c r="BU67" i="17" s="1"/>
  <c r="BU69" i="17" s="1"/>
  <c r="BU70" i="17" s="1"/>
  <c r="BZ53" i="17"/>
  <c r="BU54" i="17"/>
  <c r="BU56" i="17" s="1"/>
  <c r="BU58" i="17" s="1"/>
  <c r="BU59" i="17" s="1"/>
  <c r="BK26" i="17"/>
  <c r="BF27" i="17"/>
  <c r="BF29" i="17" s="1"/>
  <c r="BF31" i="17" s="1"/>
  <c r="BF32" i="17" s="1"/>
  <c r="BP11" i="17"/>
  <c r="BK12" i="17"/>
  <c r="BK14" i="17" s="1"/>
  <c r="BK15" i="17" s="1"/>
  <c r="CI17" i="1"/>
  <c r="CI20" i="13" s="1"/>
  <c r="BK113" i="17"/>
  <c r="BP1" i="17"/>
  <c r="CE94" i="17"/>
  <c r="AV36" i="17"/>
  <c r="AV38" i="17" s="1"/>
  <c r="BP74" i="17"/>
  <c r="BP76" i="17" s="1"/>
  <c r="BA34" i="17"/>
  <c r="BF136" i="17"/>
  <c r="BK159" i="17"/>
  <c r="BU83" i="17"/>
  <c r="BF20" i="17"/>
  <c r="BF21" i="17" s="1"/>
  <c r="BK74" i="17"/>
  <c r="BK76" i="17" s="1"/>
  <c r="AK20" i="16"/>
  <c r="AK23" i="16" s="1"/>
  <c r="AZ12" i="13" s="1"/>
  <c r="AZ16" i="13" s="1"/>
  <c r="AZ16" i="16"/>
  <c r="AD34" i="16"/>
  <c r="AE35" i="16"/>
  <c r="AU31" i="16"/>
  <c r="O10" i="16"/>
  <c r="Q9" i="16"/>
  <c r="Z8" i="16"/>
  <c r="Z9" i="16" s="1"/>
  <c r="Z11" i="16" s="1"/>
  <c r="Z13" i="16" s="1"/>
  <c r="Z16" i="16" s="1"/>
  <c r="Y9" i="16"/>
  <c r="Y11" i="16" s="1"/>
  <c r="Y13" i="16" s="1"/>
  <c r="Y16" i="16" s="1"/>
  <c r="CU10" i="6"/>
  <c r="CU11" i="6" s="1"/>
  <c r="CU16" i="6" s="1"/>
  <c r="CP11" i="6"/>
  <c r="CP16" i="6" s="1"/>
  <c r="CE38" i="6"/>
  <c r="CE42" i="6" s="1"/>
  <c r="AF24" i="6"/>
  <c r="AZ38" i="6"/>
  <c r="AZ40" i="6" s="1"/>
  <c r="CW10" i="6"/>
  <c r="CW11" i="6" s="1"/>
  <c r="CW16" i="6" s="1"/>
  <c r="CR11" i="6"/>
  <c r="CR16" i="6" s="1"/>
  <c r="CV18" i="6"/>
  <c r="CV20" i="6" s="1"/>
  <c r="CT18" i="6"/>
  <c r="CT20" i="6" s="1"/>
  <c r="AU25" i="6"/>
  <c r="V45" i="6"/>
  <c r="U44" i="6"/>
  <c r="U46" i="6" s="1"/>
  <c r="CL38" i="6"/>
  <c r="CL42" i="6" s="1"/>
  <c r="BJ19" i="6"/>
  <c r="AV169" i="17" s="1"/>
  <c r="W29" i="6"/>
  <c r="W28" i="6" s="1"/>
  <c r="AH33" i="6"/>
  <c r="AG32" i="6"/>
  <c r="AG31" i="6" s="1"/>
  <c r="AP32" i="6"/>
  <c r="CR38" i="6"/>
  <c r="CR42" i="6" s="1"/>
  <c r="AE33" i="6"/>
  <c r="AE32" i="6" s="1"/>
  <c r="AE31" i="6" s="1"/>
  <c r="AE29" i="6" s="1"/>
  <c r="AE28" i="6" s="1"/>
  <c r="AD32" i="6"/>
  <c r="AD31" i="6" s="1"/>
  <c r="AD29" i="6" s="1"/>
  <c r="AD28" i="6" s="1"/>
  <c r="CF38" i="6"/>
  <c r="CF42" i="6" s="1"/>
  <c r="CK18" i="6"/>
  <c r="CK20" i="6" s="1"/>
  <c r="AG24" i="6"/>
  <c r="Z33" i="6"/>
  <c r="Z32" i="6" s="1"/>
  <c r="Z31" i="6" s="1"/>
  <c r="Z29" i="6" s="1"/>
  <c r="Z28" i="6" s="1"/>
  <c r="Y32" i="6"/>
  <c r="Y31" i="6" s="1"/>
  <c r="Y29" i="6" s="1"/>
  <c r="Y28" i="6" s="1"/>
  <c r="CM18" i="6"/>
  <c r="CM20" i="6" s="1"/>
  <c r="CQ18" i="6"/>
  <c r="CQ20" i="6" s="1"/>
  <c r="CO18" i="6"/>
  <c r="CO20" i="6" s="1"/>
  <c r="CG44" i="6"/>
  <c r="CG46" i="6" s="1"/>
  <c r="CM44" i="6"/>
  <c r="CM46" i="6" s="1"/>
  <c r="BJ51" i="6"/>
  <c r="BO1" i="6"/>
  <c r="AX11" i="22"/>
  <c r="U10" i="22"/>
  <c r="U12" i="22"/>
  <c r="AF31" i="22"/>
  <c r="AG12" i="22"/>
  <c r="AB22" i="22"/>
  <c r="AB25" i="22" s="1"/>
  <c r="AT11" i="22"/>
  <c r="AC8" i="22"/>
  <c r="AC22" i="22" s="1"/>
  <c r="AC25" i="22" s="1"/>
  <c r="AD7" i="22"/>
  <c r="AD8" i="22" s="1"/>
  <c r="AD22" i="22" s="1"/>
  <c r="AD25" i="22" s="1"/>
  <c r="AF23" i="22"/>
  <c r="Z23" i="22"/>
  <c r="Z25" i="22" s="1"/>
  <c r="AA12" i="22"/>
  <c r="AG14" i="22"/>
  <c r="AG18" i="22"/>
  <c r="DF21" i="3"/>
  <c r="DF25" i="3" s="1"/>
  <c r="DA25" i="3"/>
  <c r="DH17" i="2"/>
  <c r="DH18" i="2" s="1"/>
  <c r="DC46" i="3"/>
  <c r="DH31" i="3"/>
  <c r="DH46" i="3" s="1"/>
  <c r="DB36" i="3"/>
  <c r="DB38" i="3" s="1"/>
  <c r="DB40" i="3" s="1"/>
  <c r="DG39" i="3" s="1"/>
  <c r="DG28" i="3"/>
  <c r="DG36" i="3" s="1"/>
  <c r="DG38" i="3" s="1"/>
  <c r="CZ36" i="3"/>
  <c r="CZ38" i="3" s="1"/>
  <c r="CZ40" i="3" s="1"/>
  <c r="DE39" i="3" s="1"/>
  <c r="DE28" i="3"/>
  <c r="DE36" i="3" s="1"/>
  <c r="DE38" i="3" s="1"/>
  <c r="CI36" i="3"/>
  <c r="CN28" i="3"/>
  <c r="DC25" i="3"/>
  <c r="DH21" i="3"/>
  <c r="DH25" i="3" s="1"/>
  <c r="CY25" i="3"/>
  <c r="CY38" i="3" s="1"/>
  <c r="CY40" i="3" s="1"/>
  <c r="DD39" i="3" s="1"/>
  <c r="DD21" i="3"/>
  <c r="DD25" i="3" s="1"/>
  <c r="DD38" i="3" s="1"/>
  <c r="DB63" i="2"/>
  <c r="DB62" i="2"/>
  <c r="CZ61" i="2"/>
  <c r="DE15" i="2"/>
  <c r="CZ21" i="2"/>
  <c r="CT63" i="2"/>
  <c r="CT62" i="2"/>
  <c r="CN38" i="2"/>
  <c r="DA63" i="2"/>
  <c r="DA62" i="2"/>
  <c r="DG61" i="2"/>
  <c r="DG21" i="2"/>
  <c r="CX30" i="2"/>
  <c r="CS28" i="2"/>
  <c r="CX23" i="2"/>
  <c r="CX16" i="3" s="1"/>
  <c r="CU63" i="2"/>
  <c r="CU62" i="2"/>
  <c r="CY61" i="2"/>
  <c r="DD15" i="2"/>
  <c r="CY21" i="2"/>
  <c r="DF61" i="2"/>
  <c r="DF21" i="2"/>
  <c r="CI36" i="13"/>
  <c r="CI25" i="1" s="1"/>
  <c r="CI31" i="13"/>
  <c r="CI32" i="13" s="1"/>
  <c r="BY6" i="13"/>
  <c r="CI51" i="13"/>
  <c r="R92" i="1"/>
  <c r="R82" i="1"/>
  <c r="T92" i="1"/>
  <c r="T82" i="1"/>
  <c r="V13" i="1"/>
  <c r="V92" i="1" s="1"/>
  <c r="Y92" i="1"/>
  <c r="Y82" i="1"/>
  <c r="AB92" i="1"/>
  <c r="AB82" i="1"/>
  <c r="AD92" i="1"/>
  <c r="AD82" i="1"/>
  <c r="AG92" i="1"/>
  <c r="AI92" i="1"/>
  <c r="AK13" i="1"/>
  <c r="AM92" i="1"/>
  <c r="AO92" i="1"/>
  <c r="AQ92" i="1"/>
  <c r="AS92" i="1"/>
  <c r="W92" i="1"/>
  <c r="W82" i="1"/>
  <c r="AA13" i="1"/>
  <c r="AA92" i="1" s="1"/>
  <c r="AF13" i="1"/>
  <c r="CI55" i="1"/>
  <c r="CD44" i="1"/>
  <c r="BO20" i="1"/>
  <c r="Q92" i="1"/>
  <c r="S92" i="1"/>
  <c r="S82" i="1"/>
  <c r="U92" i="1"/>
  <c r="U82" i="1"/>
  <c r="X92" i="1"/>
  <c r="X82" i="1"/>
  <c r="Z92" i="1"/>
  <c r="Z82" i="1"/>
  <c r="AC92" i="1"/>
  <c r="AC82" i="1"/>
  <c r="AE92" i="1"/>
  <c r="AE82" i="1"/>
  <c r="AH92" i="1"/>
  <c r="AJ92" i="1"/>
  <c r="AL92" i="1"/>
  <c r="AN92" i="1"/>
  <c r="AP13" i="1"/>
  <c r="AR92" i="1"/>
  <c r="CD32" i="1"/>
  <c r="BY33" i="1"/>
  <c r="CS79" i="1"/>
  <c r="CN78" i="1"/>
  <c r="DH9" i="1"/>
  <c r="DC9" i="1"/>
  <c r="CX9" i="1"/>
  <c r="CS9" i="1"/>
  <c r="CN9" i="1"/>
  <c r="CI10" i="1"/>
  <c r="CI9" i="1"/>
  <c r="CD10" i="1"/>
  <c r="CD9" i="1"/>
  <c r="BY10" i="1"/>
  <c r="BY9" i="1"/>
  <c r="BT10" i="1"/>
  <c r="BT9" i="1"/>
  <c r="BO10" i="1"/>
  <c r="BO9" i="1"/>
  <c r="BI11" i="1"/>
  <c r="BH11" i="1"/>
  <c r="BG11" i="1"/>
  <c r="BF11" i="1"/>
  <c r="BD11" i="1"/>
  <c r="BC11" i="1"/>
  <c r="BB11" i="1"/>
  <c r="BA11" i="1"/>
  <c r="G11" i="1"/>
  <c r="G15" i="1" s="1"/>
  <c r="G27" i="1" s="1"/>
  <c r="G35" i="1" s="1"/>
  <c r="F11" i="1"/>
  <c r="F15" i="1" s="1"/>
  <c r="F27" i="1" s="1"/>
  <c r="F35" i="1" s="1"/>
  <c r="AA10" i="1"/>
  <c r="AA51" i="13" s="1"/>
  <c r="AA7" i="1"/>
  <c r="AA6" i="1"/>
  <c r="AA4" i="1"/>
  <c r="AA51" i="2" s="1"/>
  <c r="V10" i="1"/>
  <c r="V51" i="13" s="1"/>
  <c r="V9" i="1"/>
  <c r="V50" i="13" s="1"/>
  <c r="V7" i="1"/>
  <c r="V6" i="1"/>
  <c r="V4" i="1"/>
  <c r="V51" i="2" s="1"/>
  <c r="Q10" i="1"/>
  <c r="Q51" i="13" s="1"/>
  <c r="Q9" i="1"/>
  <c r="Q50" i="13" s="1"/>
  <c r="Q7" i="1"/>
  <c r="Q6" i="1"/>
  <c r="Q4" i="1"/>
  <c r="Q51" i="2" s="1"/>
  <c r="L10" i="1"/>
  <c r="L51" i="13" s="1"/>
  <c r="L9" i="1"/>
  <c r="L50" i="13" s="1"/>
  <c r="L7" i="1"/>
  <c r="L6" i="1"/>
  <c r="L4" i="1"/>
  <c r="AE9" i="1"/>
  <c r="AD9" i="1"/>
  <c r="AC9" i="1"/>
  <c r="AB9" i="1"/>
  <c r="Z9" i="1"/>
  <c r="AA9" i="1" s="1"/>
  <c r="AA50" i="13" s="1"/>
  <c r="E7" i="1"/>
  <c r="AE5" i="1"/>
  <c r="AD5" i="1"/>
  <c r="AC5" i="1"/>
  <c r="AB5" i="1"/>
  <c r="Z5" i="1"/>
  <c r="Y5" i="1"/>
  <c r="Y11" i="1" s="1"/>
  <c r="X5" i="1"/>
  <c r="X11" i="1" s="1"/>
  <c r="W5" i="1"/>
  <c r="W11" i="1" s="1"/>
  <c r="U5" i="1"/>
  <c r="U11" i="1" s="1"/>
  <c r="T5" i="1"/>
  <c r="T11" i="1" s="1"/>
  <c r="S5" i="1"/>
  <c r="S11" i="1" s="1"/>
  <c r="R5" i="1"/>
  <c r="R11" i="1" s="1"/>
  <c r="P5" i="1"/>
  <c r="P11" i="1" s="1"/>
  <c r="O5" i="1"/>
  <c r="O11" i="1" s="1"/>
  <c r="N5" i="1"/>
  <c r="N11" i="1" s="1"/>
  <c r="M5" i="1"/>
  <c r="M11" i="1" s="1"/>
  <c r="K5" i="1"/>
  <c r="K11" i="1" s="1"/>
  <c r="J5" i="1"/>
  <c r="J11" i="1" s="1"/>
  <c r="I5" i="1"/>
  <c r="I11" i="1" s="1"/>
  <c r="H5" i="1"/>
  <c r="H11" i="1" s="1"/>
  <c r="E5" i="1"/>
  <c r="E11" i="1" s="1"/>
  <c r="E15" i="1" s="1"/>
  <c r="E27" i="1" s="1"/>
  <c r="E35" i="1" s="1"/>
  <c r="D5" i="1"/>
  <c r="D11" i="1" s="1"/>
  <c r="D15" i="1" s="1"/>
  <c r="D27" i="1" s="1"/>
  <c r="D35" i="1" s="1"/>
  <c r="C5" i="1"/>
  <c r="C11" i="1" s="1"/>
  <c r="C15" i="1" s="1"/>
  <c r="C27" i="1" s="1"/>
  <c r="C35" i="1" s="1"/>
  <c r="AU10" i="1"/>
  <c r="AT10" i="1"/>
  <c r="AS10" i="1"/>
  <c r="AR10" i="1"/>
  <c r="AQ10" i="1"/>
  <c r="AP10" i="1"/>
  <c r="AO10" i="1"/>
  <c r="AN10" i="1"/>
  <c r="AM10" i="1"/>
  <c r="AL10" i="1"/>
  <c r="AK10" i="1"/>
  <c r="AJ10" i="1"/>
  <c r="AI10" i="1"/>
  <c r="AH10" i="1"/>
  <c r="AG10" i="1"/>
  <c r="AF10" i="1"/>
  <c r="AS9" i="1"/>
  <c r="AR9" i="1"/>
  <c r="AQ9" i="1"/>
  <c r="AP9" i="1"/>
  <c r="AO9" i="1"/>
  <c r="AN9" i="1"/>
  <c r="AM9" i="1"/>
  <c r="AL9" i="1"/>
  <c r="AK9" i="1"/>
  <c r="AJ9" i="1"/>
  <c r="AI9" i="1"/>
  <c r="AH9" i="1"/>
  <c r="AG9" i="1"/>
  <c r="AQ7" i="1"/>
  <c r="AP7" i="1"/>
  <c r="AO7" i="1"/>
  <c r="AN7" i="1"/>
  <c r="AM7" i="1"/>
  <c r="AL7" i="1"/>
  <c r="AK7" i="1"/>
  <c r="AJ7" i="1"/>
  <c r="AI7" i="1"/>
  <c r="AH7" i="1"/>
  <c r="AG7" i="1"/>
  <c r="AF7" i="1"/>
  <c r="AQ6" i="1"/>
  <c r="AQ5" i="1" s="1"/>
  <c r="AP6" i="1"/>
  <c r="AO6" i="1"/>
  <c r="AO5" i="1" s="1"/>
  <c r="AN6" i="1"/>
  <c r="AM6" i="1"/>
  <c r="AL6" i="1"/>
  <c r="AL5" i="1" s="1"/>
  <c r="AJ6" i="1"/>
  <c r="AI6" i="1"/>
  <c r="AH6" i="1"/>
  <c r="AG6" i="1"/>
  <c r="AF6" i="1"/>
  <c r="AU4" i="1"/>
  <c r="AT4" i="1"/>
  <c r="AS4" i="1"/>
  <c r="AR4" i="1"/>
  <c r="AQ4" i="1"/>
  <c r="AP4" i="1"/>
  <c r="AO4" i="1"/>
  <c r="AN4" i="1"/>
  <c r="AM4" i="1"/>
  <c r="AL4" i="1"/>
  <c r="AK4" i="1"/>
  <c r="AJ4" i="1"/>
  <c r="AI4" i="1"/>
  <c r="AH4" i="1"/>
  <c r="AG4" i="1"/>
  <c r="AF4" i="1"/>
  <c r="AF51" i="2" s="1"/>
  <c r="D11" i="34"/>
  <c r="F6" i="34"/>
  <c r="E6" i="34"/>
  <c r="E11" i="34" s="1"/>
  <c r="D6" i="34"/>
  <c r="E5" i="34"/>
  <c r="F5" i="34" s="1"/>
  <c r="AZ51" i="2" l="1"/>
  <c r="BE51" i="2" s="1"/>
  <c r="BJ51" i="2" s="1"/>
  <c r="BO51" i="2" s="1"/>
  <c r="BT51" i="2" s="1"/>
  <c r="BY51" i="2" s="1"/>
  <c r="CD51" i="2" s="1"/>
  <c r="CI51" i="2" s="1"/>
  <c r="CN51" i="2" s="1"/>
  <c r="CS51" i="2" s="1"/>
  <c r="CX51" i="2" s="1"/>
  <c r="AG10" i="6"/>
  <c r="Y36" i="17"/>
  <c r="Y38" i="17" s="1"/>
  <c r="AW19" i="13"/>
  <c r="AW26" i="13" s="1"/>
  <c r="AW33" i="13" s="1"/>
  <c r="AW6" i="1" s="1"/>
  <c r="AA84" i="17"/>
  <c r="AA86" i="17" s="1"/>
  <c r="AA88" i="17" s="1"/>
  <c r="AA89" i="17" s="1"/>
  <c r="AY45" i="1"/>
  <c r="AA20" i="17"/>
  <c r="AA21" i="17" s="1"/>
  <c r="AA34" i="17" s="1"/>
  <c r="Z20" i="17"/>
  <c r="Z21" i="17" s="1"/>
  <c r="Z34" i="17" s="1"/>
  <c r="DA38" i="3"/>
  <c r="DA40" i="3" s="1"/>
  <c r="DF39" i="3" s="1"/>
  <c r="DF38" i="3"/>
  <c r="BN81" i="35"/>
  <c r="BN88" i="35" s="1"/>
  <c r="AP5" i="1"/>
  <c r="CS33" i="2"/>
  <c r="CN8" i="3"/>
  <c r="CN35" i="2"/>
  <c r="CN36" i="2" s="1"/>
  <c r="CR40" i="6"/>
  <c r="P34" i="30"/>
  <c r="O36" i="30"/>
  <c r="O39" i="30" s="1"/>
  <c r="O41" i="30" s="1"/>
  <c r="O43" i="30" s="1"/>
  <c r="O51" i="30" s="1"/>
  <c r="O56" i="30" s="1"/>
  <c r="O58" i="30" s="1"/>
  <c r="AN5" i="1"/>
  <c r="AN11" i="1" s="1"/>
  <c r="AD11" i="1"/>
  <c r="AD91" i="1" s="1"/>
  <c r="AE11" i="1"/>
  <c r="AE15" i="1" s="1"/>
  <c r="AE27" i="1" s="1"/>
  <c r="AF11" i="6"/>
  <c r="AC11" i="1"/>
  <c r="AC91" i="1" s="1"/>
  <c r="AF9" i="1"/>
  <c r="AF92" i="1"/>
  <c r="AF5" i="1"/>
  <c r="AA5" i="1"/>
  <c r="AA11" i="1" s="1"/>
  <c r="BE19" i="1"/>
  <c r="BE21" i="1" s="1"/>
  <c r="AP13" i="6"/>
  <c r="AU12" i="3"/>
  <c r="AH5" i="1"/>
  <c r="AH11" i="1" s="1"/>
  <c r="AJ5" i="1"/>
  <c r="AJ11" i="1" s="1"/>
  <c r="AM5" i="1"/>
  <c r="AM11" i="1" s="1"/>
  <c r="AG5" i="1"/>
  <c r="AG11" i="1" s="1"/>
  <c r="L53" i="13"/>
  <c r="AI5" i="1"/>
  <c r="AI11" i="1" s="1"/>
  <c r="AK6" i="1"/>
  <c r="AK5" i="1" s="1"/>
  <c r="AK11" i="1" s="1"/>
  <c r="X19" i="16"/>
  <c r="Y20" i="16" s="1"/>
  <c r="U19" i="16"/>
  <c r="V53" i="13"/>
  <c r="Z11" i="1"/>
  <c r="Z84" i="1" s="1"/>
  <c r="L5" i="1"/>
  <c r="Q53" i="13"/>
  <c r="DG40" i="3"/>
  <c r="AB11" i="1"/>
  <c r="AB91" i="1" s="1"/>
  <c r="Q5" i="1"/>
  <c r="Q11" i="1" s="1"/>
  <c r="V5" i="1"/>
  <c r="V11" i="1" s="1"/>
  <c r="AA53" i="13"/>
  <c r="BO80" i="35"/>
  <c r="BN5" i="35"/>
  <c r="BU82" i="35"/>
  <c r="BP91" i="35"/>
  <c r="BO92" i="35"/>
  <c r="BO95" i="35" s="1"/>
  <c r="C123" i="17"/>
  <c r="G61" i="6"/>
  <c r="BD78" i="1"/>
  <c r="BD77" i="1" s="1"/>
  <c r="BE77" i="1" s="1"/>
  <c r="BD75" i="1"/>
  <c r="BF79" i="1"/>
  <c r="AZ26" i="1"/>
  <c r="AZ94" i="1" s="1"/>
  <c r="AP14" i="6"/>
  <c r="BE23" i="1"/>
  <c r="AH14" i="6"/>
  <c r="AH16" i="6" s="1"/>
  <c r="AH18" i="6" s="1"/>
  <c r="AH20" i="6" s="1"/>
  <c r="CN62" i="1"/>
  <c r="CI7" i="3"/>
  <c r="CI41" i="2" s="1"/>
  <c r="P14" i="6"/>
  <c r="T14" i="6"/>
  <c r="S16" i="6"/>
  <c r="S18" i="6" s="1"/>
  <c r="S20" i="6" s="1"/>
  <c r="S48" i="6" s="1"/>
  <c r="S49" i="6" s="1"/>
  <c r="AA32" i="6"/>
  <c r="M4" i="26"/>
  <c r="M6" i="26" s="1"/>
  <c r="M8" i="26" s="1"/>
  <c r="M10" i="26" s="1"/>
  <c r="M18" i="26" s="1"/>
  <c r="AG81" i="17" s="1"/>
  <c r="N2" i="26"/>
  <c r="R104" i="17"/>
  <c r="R163" i="17" s="1"/>
  <c r="R138" i="17"/>
  <c r="AG92" i="17"/>
  <c r="AG95" i="17" s="1"/>
  <c r="AG97" i="17" s="1"/>
  <c r="AG99" i="17" s="1"/>
  <c r="AG100" i="17" s="1"/>
  <c r="AB84" i="17"/>
  <c r="AB86" i="17" s="1"/>
  <c r="AB88" i="17" s="1"/>
  <c r="AB89" i="17" s="1"/>
  <c r="AB92" i="17"/>
  <c r="W84" i="17"/>
  <c r="W86" i="17" s="1"/>
  <c r="O4" i="25"/>
  <c r="O6" i="25" s="1"/>
  <c r="O9" i="25" s="1"/>
  <c r="O11" i="25" s="1"/>
  <c r="O19" i="25" s="1"/>
  <c r="P2" i="25"/>
  <c r="BV28" i="24"/>
  <c r="BV40" i="24" s="1"/>
  <c r="BV27" i="24"/>
  <c r="BV39" i="24" s="1"/>
  <c r="BV29" i="24"/>
  <c r="BV41" i="24" s="1"/>
  <c r="BV33" i="24"/>
  <c r="BV45" i="24" s="1"/>
  <c r="BV34" i="24"/>
  <c r="BV46" i="24" s="1"/>
  <c r="BV32" i="24"/>
  <c r="BV44" i="24" s="1"/>
  <c r="BV30" i="24"/>
  <c r="BV42" i="24" s="1"/>
  <c r="BV31" i="24"/>
  <c r="BV43" i="24" s="1"/>
  <c r="BQ48" i="24"/>
  <c r="BQ49" i="24" s="1"/>
  <c r="CA27" i="24"/>
  <c r="CA39" i="24" s="1"/>
  <c r="CA28" i="24"/>
  <c r="CA40" i="24" s="1"/>
  <c r="CA29" i="24"/>
  <c r="CA41" i="24" s="1"/>
  <c r="CA33" i="24"/>
  <c r="CA45" i="24" s="1"/>
  <c r="CA34" i="24"/>
  <c r="CA46" i="24" s="1"/>
  <c r="CA32" i="24"/>
  <c r="CA44" i="24" s="1"/>
  <c r="CA30" i="24"/>
  <c r="CA42" i="24" s="1"/>
  <c r="CA31" i="24"/>
  <c r="CA43" i="24" s="1"/>
  <c r="R6" i="30"/>
  <c r="R9" i="30" s="1"/>
  <c r="R11" i="30" s="1"/>
  <c r="R13" i="30" s="1"/>
  <c r="R25" i="30" s="1"/>
  <c r="R30" i="30" s="1"/>
  <c r="S4" i="30"/>
  <c r="S6" i="30" s="1"/>
  <c r="S9" i="30" s="1"/>
  <c r="S11" i="30" s="1"/>
  <c r="S13" i="30" s="1"/>
  <c r="S25" i="30" s="1"/>
  <c r="S30" i="30" s="1"/>
  <c r="R50" i="30"/>
  <c r="Q49" i="30"/>
  <c r="AN7" i="6"/>
  <c r="AL7" i="6"/>
  <c r="AO7" i="6"/>
  <c r="AM7" i="6"/>
  <c r="X26" i="29"/>
  <c r="Y13" i="29"/>
  <c r="T65" i="29"/>
  <c r="T67" i="29"/>
  <c r="AM47" i="29"/>
  <c r="AG21" i="29"/>
  <c r="AF28" i="29"/>
  <c r="AF33" i="29" s="1"/>
  <c r="Z13" i="29"/>
  <c r="Q16" i="6"/>
  <c r="Q10" i="6"/>
  <c r="P8" i="6"/>
  <c r="W54" i="29"/>
  <c r="V55" i="29"/>
  <c r="V58" i="29" s="1"/>
  <c r="V64" i="29" s="1"/>
  <c r="AL28" i="29"/>
  <c r="AK33" i="29"/>
  <c r="AA49" i="29"/>
  <c r="Z50" i="29"/>
  <c r="AH20" i="29"/>
  <c r="AI18" i="29"/>
  <c r="M18" i="6"/>
  <c r="M20" i="6" s="1"/>
  <c r="M48" i="6" s="1"/>
  <c r="AM11" i="29"/>
  <c r="AM7" i="29"/>
  <c r="AA11" i="29"/>
  <c r="AA13" i="29" s="1"/>
  <c r="AA26" i="29" s="1"/>
  <c r="AA36" i="29" s="1"/>
  <c r="AA39" i="29" s="1"/>
  <c r="AB10" i="29"/>
  <c r="R66" i="29"/>
  <c r="S66" i="29"/>
  <c r="U58" i="29"/>
  <c r="BZ83" i="17"/>
  <c r="BK20" i="17"/>
  <c r="BK21" i="17" s="1"/>
  <c r="BP26" i="17"/>
  <c r="BK27" i="17"/>
  <c r="BK29" i="17" s="1"/>
  <c r="BK31" i="17" s="1"/>
  <c r="BK32" i="17" s="1"/>
  <c r="BZ54" i="17"/>
  <c r="BZ56" i="17" s="1"/>
  <c r="BZ58" i="17" s="1"/>
  <c r="BZ59" i="17" s="1"/>
  <c r="CE53" i="17"/>
  <c r="CE64" i="17"/>
  <c r="BZ65" i="17"/>
  <c r="BZ67" i="17" s="1"/>
  <c r="BZ69" i="17" s="1"/>
  <c r="BZ70" i="17" s="1"/>
  <c r="CJ18" i="17"/>
  <c r="CJ16" i="17" s="1"/>
  <c r="CE16" i="17"/>
  <c r="BP159" i="17"/>
  <c r="BP136" i="17" s="1"/>
  <c r="BK136" i="17"/>
  <c r="BA36" i="17"/>
  <c r="BA38" i="17" s="1"/>
  <c r="CJ94" i="17"/>
  <c r="BP113" i="17"/>
  <c r="BU1" i="17"/>
  <c r="BU11" i="17"/>
  <c r="BP12" i="17"/>
  <c r="BP14" i="17" s="1"/>
  <c r="BP15" i="17" s="1"/>
  <c r="CN17" i="1"/>
  <c r="CN20" i="13" s="1"/>
  <c r="BF34" i="17"/>
  <c r="BU72" i="17"/>
  <c r="Q8" i="16"/>
  <c r="Q11" i="16"/>
  <c r="Q13" i="16" s="1"/>
  <c r="Q16" i="16" s="1"/>
  <c r="AF35" i="16"/>
  <c r="AE34" i="16"/>
  <c r="BE16" i="16"/>
  <c r="AK19" i="16"/>
  <c r="CF44" i="6"/>
  <c r="CF46" i="6" s="1"/>
  <c r="CW38" i="6"/>
  <c r="CW42" i="6" s="1"/>
  <c r="AG29" i="6"/>
  <c r="AA31" i="6"/>
  <c r="CL44" i="6"/>
  <c r="CL46" i="6" s="1"/>
  <c r="CR18" i="6"/>
  <c r="CR20" i="6" s="1"/>
  <c r="BT10" i="6"/>
  <c r="BE38" i="6"/>
  <c r="CE44" i="6"/>
  <c r="CE46" i="6" s="1"/>
  <c r="CP18" i="6"/>
  <c r="CP20" i="6" s="1"/>
  <c r="BO51" i="6"/>
  <c r="BT1" i="6"/>
  <c r="CF40" i="6"/>
  <c r="AF28" i="6"/>
  <c r="CR44" i="6"/>
  <c r="CR46" i="6" s="1"/>
  <c r="AH32" i="6"/>
  <c r="AH31" i="6" s="1"/>
  <c r="AI33" i="6"/>
  <c r="AA28" i="6"/>
  <c r="BO19" i="6"/>
  <c r="BA169" i="17" s="1"/>
  <c r="CL40" i="6"/>
  <c r="W45" i="6"/>
  <c r="V44" i="6"/>
  <c r="V46" i="6" s="1"/>
  <c r="AU32" i="6"/>
  <c r="AZ25" i="6"/>
  <c r="CW18" i="6"/>
  <c r="CW20" i="6" s="1"/>
  <c r="CE40" i="6"/>
  <c r="CU18" i="6"/>
  <c r="CU20" i="6" s="1"/>
  <c r="AH14" i="22"/>
  <c r="AH16" i="22"/>
  <c r="AF8" i="22"/>
  <c r="AF22" i="22" s="1"/>
  <c r="AF25" i="22" s="1"/>
  <c r="AF28" i="22" s="1"/>
  <c r="AG23" i="22"/>
  <c r="AG25" i="22" s="1"/>
  <c r="AH18" i="22"/>
  <c r="AH20" i="22"/>
  <c r="AG10" i="22"/>
  <c r="U23" i="22"/>
  <c r="U25" i="22" s="1"/>
  <c r="V12" i="22"/>
  <c r="AY11" i="22"/>
  <c r="DE40" i="3"/>
  <c r="CN36" i="3"/>
  <c r="CS28" i="3"/>
  <c r="DD40" i="3"/>
  <c r="DF63" i="2"/>
  <c r="DF62" i="2"/>
  <c r="DD61" i="2"/>
  <c r="DD21" i="2"/>
  <c r="CX28" i="2"/>
  <c r="DC23" i="2"/>
  <c r="DC16" i="3" s="1"/>
  <c r="DC30" i="2"/>
  <c r="CZ63" i="2"/>
  <c r="CZ62" i="2"/>
  <c r="CY63" i="2"/>
  <c r="CY62" i="2"/>
  <c r="DG63" i="2"/>
  <c r="DG62" i="2"/>
  <c r="CS38" i="2"/>
  <c r="DE61" i="2"/>
  <c r="DE21" i="2"/>
  <c r="CN51" i="13"/>
  <c r="CN36" i="13"/>
  <c r="CN25" i="1" s="1"/>
  <c r="CD6" i="13"/>
  <c r="CN31" i="13"/>
  <c r="CN32" i="13" s="1"/>
  <c r="N91" i="1"/>
  <c r="N83" i="1"/>
  <c r="N84" i="1"/>
  <c r="N15" i="1"/>
  <c r="N27" i="1" s="1"/>
  <c r="P91" i="1"/>
  <c r="P83" i="1"/>
  <c r="P84" i="1"/>
  <c r="P15" i="1"/>
  <c r="P27" i="1" s="1"/>
  <c r="X91" i="1"/>
  <c r="X83" i="1"/>
  <c r="X84" i="1"/>
  <c r="X15" i="1"/>
  <c r="X27" i="1" s="1"/>
  <c r="D39" i="1"/>
  <c r="D37" i="1"/>
  <c r="H91" i="1"/>
  <c r="H84" i="1"/>
  <c r="H83" i="1"/>
  <c r="H15" i="1"/>
  <c r="H27" i="1" s="1"/>
  <c r="J91" i="1"/>
  <c r="J84" i="1"/>
  <c r="J83" i="1"/>
  <c r="J15" i="1"/>
  <c r="J27" i="1" s="1"/>
  <c r="M91" i="1"/>
  <c r="M84" i="1"/>
  <c r="M83" i="1"/>
  <c r="M15" i="1"/>
  <c r="M27" i="1" s="1"/>
  <c r="O91" i="1"/>
  <c r="O83" i="1"/>
  <c r="O84" i="1"/>
  <c r="O15" i="1"/>
  <c r="O27" i="1" s="1"/>
  <c r="R91" i="1"/>
  <c r="R83" i="1"/>
  <c r="R84" i="1"/>
  <c r="R15" i="1"/>
  <c r="T91" i="1"/>
  <c r="T83" i="1"/>
  <c r="T84" i="1"/>
  <c r="T15" i="1"/>
  <c r="T27" i="1" s="1"/>
  <c r="W91" i="1"/>
  <c r="W84" i="1"/>
  <c r="W83" i="1"/>
  <c r="W15" i="1"/>
  <c r="W27" i="1" s="1"/>
  <c r="Y91" i="1"/>
  <c r="Y84" i="1"/>
  <c r="Y83" i="1"/>
  <c r="Y15" i="1"/>
  <c r="Y27" i="1" s="1"/>
  <c r="AD83" i="1"/>
  <c r="AG90" i="1"/>
  <c r="AG82" i="1"/>
  <c r="AK90" i="1"/>
  <c r="AK82" i="1"/>
  <c r="AO90" i="1"/>
  <c r="AO82" i="1"/>
  <c r="AS90" i="1"/>
  <c r="L90" i="1"/>
  <c r="L82" i="1"/>
  <c r="C39" i="1"/>
  <c r="C37" i="1"/>
  <c r="G39" i="1"/>
  <c r="G37" i="1"/>
  <c r="K91" i="1"/>
  <c r="K84" i="1"/>
  <c r="K83" i="1"/>
  <c r="K15" i="1"/>
  <c r="K27" i="1" s="1"/>
  <c r="S91" i="1"/>
  <c r="S84" i="1"/>
  <c r="S83" i="1"/>
  <c r="S15" i="1"/>
  <c r="S27" i="1" s="1"/>
  <c r="AC83" i="1"/>
  <c r="AO11" i="1"/>
  <c r="CN55" i="1"/>
  <c r="CI44" i="1"/>
  <c r="AK92" i="1"/>
  <c r="AI90" i="1"/>
  <c r="AI82" i="1"/>
  <c r="AM90" i="1"/>
  <c r="AM82" i="1"/>
  <c r="AQ90" i="1"/>
  <c r="AQ82" i="1"/>
  <c r="AU90" i="1"/>
  <c r="Q90" i="1"/>
  <c r="Q82" i="1"/>
  <c r="V90" i="1"/>
  <c r="V82" i="1"/>
  <c r="AA90" i="1"/>
  <c r="AA82" i="1"/>
  <c r="E39" i="1"/>
  <c r="E37" i="1"/>
  <c r="I84" i="1"/>
  <c r="I83" i="1"/>
  <c r="I91" i="1"/>
  <c r="I15" i="1"/>
  <c r="I27" i="1" s="1"/>
  <c r="U91" i="1"/>
  <c r="U84" i="1"/>
  <c r="U83" i="1"/>
  <c r="U15" i="1"/>
  <c r="U27" i="1" s="1"/>
  <c r="AQ11" i="1"/>
  <c r="AF90" i="1"/>
  <c r="AF82" i="1"/>
  <c r="AH90" i="1"/>
  <c r="AH82" i="1"/>
  <c r="AJ90" i="1"/>
  <c r="AJ82" i="1"/>
  <c r="AL90" i="1"/>
  <c r="AL82" i="1"/>
  <c r="AN90" i="1"/>
  <c r="AN82" i="1"/>
  <c r="AP90" i="1"/>
  <c r="AP82" i="1"/>
  <c r="AR90" i="1"/>
  <c r="AT90" i="1"/>
  <c r="F39" i="1"/>
  <c r="F37" i="1"/>
  <c r="L11" i="1"/>
  <c r="AL11" i="1"/>
  <c r="AP11" i="1"/>
  <c r="CX79" i="1"/>
  <c r="CS78" i="1"/>
  <c r="CI32" i="1"/>
  <c r="CD33" i="1"/>
  <c r="AP92" i="1"/>
  <c r="BT20" i="1"/>
  <c r="F11" i="34"/>
  <c r="G5" i="34"/>
  <c r="H5" i="34" s="1"/>
  <c r="F8" i="34"/>
  <c r="E8" i="34"/>
  <c r="AG28" i="6" l="1"/>
  <c r="AD15" i="1"/>
  <c r="AD27" i="1" s="1"/>
  <c r="AD35" i="1" s="1"/>
  <c r="AE91" i="1"/>
  <c r="AF11" i="1"/>
  <c r="AF91" i="1" s="1"/>
  <c r="AE84" i="1"/>
  <c r="AB15" i="1"/>
  <c r="AB27" i="1" s="1"/>
  <c r="AB85" i="1" s="1"/>
  <c r="AE83" i="1"/>
  <c r="AC15" i="1"/>
  <c r="AC27" i="1" s="1"/>
  <c r="AC35" i="1" s="1"/>
  <c r="AC84" i="1"/>
  <c r="AA36" i="17"/>
  <c r="AA38" i="17" s="1"/>
  <c r="AB95" i="17"/>
  <c r="AB97" i="17" s="1"/>
  <c r="AB99" i="17" s="1"/>
  <c r="AB100" i="17" s="1"/>
  <c r="AB102" i="17" s="1"/>
  <c r="AA92" i="17"/>
  <c r="Z36" i="17"/>
  <c r="Z38" i="17" s="1"/>
  <c r="AX19" i="13"/>
  <c r="AX26" i="13" s="1"/>
  <c r="AX33" i="13" s="1"/>
  <c r="AX6" i="1" s="1"/>
  <c r="AA34" i="6"/>
  <c r="AA42" i="6" s="1"/>
  <c r="AB83" i="1"/>
  <c r="BZ72" i="17"/>
  <c r="DF40" i="3"/>
  <c r="AH29" i="6"/>
  <c r="P36" i="30"/>
  <c r="P39" i="30" s="1"/>
  <c r="P41" i="30" s="1"/>
  <c r="P43" i="30" s="1"/>
  <c r="P51" i="30" s="1"/>
  <c r="P56" i="30" s="1"/>
  <c r="P58" i="30" s="1"/>
  <c r="Q34" i="30"/>
  <c r="CX33" i="2"/>
  <c r="CS8" i="3"/>
  <c r="CS35" i="2"/>
  <c r="CS36" i="2" s="1"/>
  <c r="AD84" i="1"/>
  <c r="AB84" i="1"/>
  <c r="AG166" i="17"/>
  <c r="Z15" i="1"/>
  <c r="Z27" i="1" s="1"/>
  <c r="Z35" i="1" s="1"/>
  <c r="BJ19" i="1"/>
  <c r="BJ21" i="1" s="1"/>
  <c r="AU13" i="6"/>
  <c r="Z91" i="1"/>
  <c r="Z83" i="1"/>
  <c r="Y23" i="16"/>
  <c r="Y19" i="16"/>
  <c r="Z20" i="16" s="1"/>
  <c r="Z23" i="16" s="1"/>
  <c r="AZ45" i="1"/>
  <c r="BV82" i="35"/>
  <c r="BQ91" i="35"/>
  <c r="BP92" i="35"/>
  <c r="BP95" i="35" s="1"/>
  <c r="BE8" i="6"/>
  <c r="BO5" i="35"/>
  <c r="BJ8" i="6" s="1"/>
  <c r="BP80" i="35"/>
  <c r="BO81" i="35"/>
  <c r="BO88" i="35" s="1"/>
  <c r="BF75" i="1"/>
  <c r="BF78" i="1"/>
  <c r="BF77" i="1" s="1"/>
  <c r="BG79" i="1"/>
  <c r="BJ23" i="1"/>
  <c r="BE26" i="1"/>
  <c r="BE94" i="1" s="1"/>
  <c r="AR94" i="1"/>
  <c r="AR45" i="1"/>
  <c r="AU14" i="6"/>
  <c r="AB167" i="17"/>
  <c r="AB168" i="17" s="1"/>
  <c r="AB170" i="17" s="1"/>
  <c r="CS62" i="1"/>
  <c r="CN7" i="3"/>
  <c r="CN41" i="2" s="1"/>
  <c r="U14" i="6"/>
  <c r="T16" i="6"/>
  <c r="T18" i="6" s="1"/>
  <c r="T20" i="6" s="1"/>
  <c r="T48" i="6" s="1"/>
  <c r="T49" i="6" s="1"/>
  <c r="AF29" i="6"/>
  <c r="AF31" i="6" s="1"/>
  <c r="AF34" i="6" s="1"/>
  <c r="AF42" i="6" s="1"/>
  <c r="R106" i="17"/>
  <c r="R110" i="17" s="1"/>
  <c r="R114" i="17" s="1"/>
  <c r="AP105" i="6"/>
  <c r="AJ105" i="6"/>
  <c r="V84" i="17"/>
  <c r="V86" i="17" s="1"/>
  <c r="V88" i="17" s="1"/>
  <c r="V89" i="17" s="1"/>
  <c r="Q138" i="17"/>
  <c r="N138" i="17"/>
  <c r="O138" i="17"/>
  <c r="P138" i="17"/>
  <c r="AL92" i="17"/>
  <c r="AL95" i="17" s="1"/>
  <c r="AL97" i="17" s="1"/>
  <c r="AL99" i="17" s="1"/>
  <c r="AL100" i="17" s="1"/>
  <c r="AU105" i="6"/>
  <c r="AG84" i="17"/>
  <c r="AG86" i="17" s="1"/>
  <c r="AG88" i="17" s="1"/>
  <c r="AG89" i="17" s="1"/>
  <c r="AG102" i="17" s="1"/>
  <c r="BE19" i="13" s="1"/>
  <c r="R130" i="17"/>
  <c r="N4" i="26"/>
  <c r="N6" i="26" s="1"/>
  <c r="N8" i="26" s="1"/>
  <c r="N10" i="26" s="1"/>
  <c r="N18" i="26" s="1"/>
  <c r="AL81" i="17" s="1"/>
  <c r="O2" i="26"/>
  <c r="P4" i="25"/>
  <c r="P6" i="25" s="1"/>
  <c r="P9" i="25" s="1"/>
  <c r="P11" i="25" s="1"/>
  <c r="P19" i="25" s="1"/>
  <c r="Q2" i="25"/>
  <c r="CA48" i="24"/>
  <c r="BV48" i="24"/>
  <c r="BV49" i="24" s="1"/>
  <c r="S50" i="30"/>
  <c r="S49" i="30" s="1"/>
  <c r="R49" i="30"/>
  <c r="AS7" i="6"/>
  <c r="AQ7" i="6"/>
  <c r="AT7" i="6"/>
  <c r="AR7" i="6"/>
  <c r="AX7" i="6"/>
  <c r="AV7" i="6"/>
  <c r="AY7" i="6"/>
  <c r="AW7" i="6"/>
  <c r="AB11" i="29"/>
  <c r="AB13" i="29" s="1"/>
  <c r="AB26" i="29" s="1"/>
  <c r="AB36" i="29" s="1"/>
  <c r="AB39" i="29" s="1"/>
  <c r="AC10" i="29"/>
  <c r="AC11" i="29" s="1"/>
  <c r="AC13" i="29" s="1"/>
  <c r="AC26" i="29" s="1"/>
  <c r="AC36" i="29" s="1"/>
  <c r="AC39" i="29" s="1"/>
  <c r="M49" i="6"/>
  <c r="R49" i="6"/>
  <c r="AI20" i="29"/>
  <c r="AJ20" i="29" s="1"/>
  <c r="AK20" i="29" s="1"/>
  <c r="AL20" i="29" s="1"/>
  <c r="AM20" i="29" s="1"/>
  <c r="AJ18" i="29"/>
  <c r="AK18" i="29" s="1"/>
  <c r="AL18" i="29" s="1"/>
  <c r="AM18" i="29" s="1"/>
  <c r="AM28" i="29"/>
  <c r="AM33" i="29" s="1"/>
  <c r="AL33" i="29"/>
  <c r="X54" i="29"/>
  <c r="Y54" i="29" s="1"/>
  <c r="W55" i="29"/>
  <c r="Z26" i="29"/>
  <c r="X36" i="29"/>
  <c r="Y33" i="29"/>
  <c r="U64" i="29"/>
  <c r="U66" i="29" s="1"/>
  <c r="AB49" i="29"/>
  <c r="AA50" i="29"/>
  <c r="P16" i="6"/>
  <c r="P10" i="6"/>
  <c r="Q18" i="6"/>
  <c r="C164" i="17" s="1"/>
  <c r="C172" i="17" s="1"/>
  <c r="AD11" i="29"/>
  <c r="AD10" i="29" s="1"/>
  <c r="AG28" i="29"/>
  <c r="AG33" i="29" s="1"/>
  <c r="AH21" i="29"/>
  <c r="Y26" i="29"/>
  <c r="Y12" i="29"/>
  <c r="Y14" i="29"/>
  <c r="BF36" i="17"/>
  <c r="BF38" i="17" s="1"/>
  <c r="BP20" i="17"/>
  <c r="BP21" i="17" s="1"/>
  <c r="CJ64" i="17"/>
  <c r="CJ65" i="17" s="1"/>
  <c r="CJ67" i="17" s="1"/>
  <c r="CJ69" i="17" s="1"/>
  <c r="CJ70" i="17" s="1"/>
  <c r="CE65" i="17"/>
  <c r="CE67" i="17" s="1"/>
  <c r="CE69" i="17" s="1"/>
  <c r="CE70" i="17" s="1"/>
  <c r="BU26" i="17"/>
  <c r="BP27" i="17"/>
  <c r="BP29" i="17" s="1"/>
  <c r="BP31" i="17" s="1"/>
  <c r="BP32" i="17" s="1"/>
  <c r="BU74" i="17"/>
  <c r="BU76" i="17" s="1"/>
  <c r="BZ11" i="17"/>
  <c r="BU12" i="17"/>
  <c r="BU14" i="17" s="1"/>
  <c r="BU15" i="17" s="1"/>
  <c r="CS17" i="1"/>
  <c r="CS20" i="13" s="1"/>
  <c r="BU113" i="17"/>
  <c r="BZ1" i="17"/>
  <c r="BZ74" i="17"/>
  <c r="BZ76" i="17" s="1"/>
  <c r="CJ53" i="17"/>
  <c r="CJ54" i="17" s="1"/>
  <c r="CJ56" i="17" s="1"/>
  <c r="CJ58" i="17" s="1"/>
  <c r="CJ59" i="17" s="1"/>
  <c r="CE54" i="17"/>
  <c r="CE56" i="17" s="1"/>
  <c r="CE58" i="17" s="1"/>
  <c r="CE59" i="17" s="1"/>
  <c r="BK34" i="17"/>
  <c r="CE83" i="17"/>
  <c r="AF34" i="16"/>
  <c r="AG35" i="16"/>
  <c r="AP20" i="16"/>
  <c r="AP23" i="16" s="1"/>
  <c r="BE12" i="13" s="1"/>
  <c r="BE16" i="13" s="1"/>
  <c r="BJ16" i="16"/>
  <c r="Z19" i="16"/>
  <c r="BE25" i="6"/>
  <c r="AZ32" i="6"/>
  <c r="CQ38" i="6"/>
  <c r="CQ42" i="6" s="1"/>
  <c r="AJ33" i="6"/>
  <c r="AJ32" i="6" s="1"/>
  <c r="AJ31" i="6" s="1"/>
  <c r="AJ29" i="6" s="1"/>
  <c r="AI32" i="6"/>
  <c r="AI31" i="6" s="1"/>
  <c r="AI29" i="6" s="1"/>
  <c r="CK38" i="6"/>
  <c r="CK42" i="6" s="1"/>
  <c r="CW44" i="6"/>
  <c r="CW46" i="6" s="1"/>
  <c r="CJ38" i="6"/>
  <c r="CJ42" i="6" s="1"/>
  <c r="X45" i="6"/>
  <c r="W44" i="6"/>
  <c r="W46" i="6" s="1"/>
  <c r="BT19" i="6"/>
  <c r="BF169" i="17" s="1"/>
  <c r="BT51" i="6"/>
  <c r="BY1" i="6"/>
  <c r="BE40" i="6"/>
  <c r="BY10" i="6"/>
  <c r="CW40" i="6"/>
  <c r="AG31" i="22"/>
  <c r="AH10" i="22"/>
  <c r="AH12" i="22"/>
  <c r="AI18" i="22"/>
  <c r="AI20" i="22"/>
  <c r="AI14" i="22"/>
  <c r="AI16" i="22"/>
  <c r="CS36" i="3"/>
  <c r="CX28" i="3"/>
  <c r="CX38" i="2"/>
  <c r="DC51" i="2"/>
  <c r="DD63" i="2"/>
  <c r="DD62" i="2"/>
  <c r="DE63" i="2"/>
  <c r="DE62" i="2"/>
  <c r="DH30" i="2"/>
  <c r="DC28" i="2"/>
  <c r="DH23" i="2"/>
  <c r="CS31" i="13"/>
  <c r="CS32" i="13" s="1"/>
  <c r="CI6" i="13"/>
  <c r="CS36" i="13"/>
  <c r="CS25" i="1" s="1"/>
  <c r="CS51" i="13"/>
  <c r="CN10" i="1"/>
  <c r="AP91" i="1"/>
  <c r="AP84" i="1"/>
  <c r="AP83" i="1"/>
  <c r="AP15" i="1"/>
  <c r="AP27" i="1" s="1"/>
  <c r="AL91" i="1"/>
  <c r="AL83" i="1"/>
  <c r="AL84" i="1"/>
  <c r="AL15" i="1"/>
  <c r="AL27" i="1" s="1"/>
  <c r="AH91" i="1"/>
  <c r="AH83" i="1"/>
  <c r="AH84" i="1"/>
  <c r="AH15" i="1"/>
  <c r="AH27" i="1" s="1"/>
  <c r="V91" i="1"/>
  <c r="V83" i="1"/>
  <c r="V84" i="1"/>
  <c r="BE93" i="1"/>
  <c r="AQ91" i="1"/>
  <c r="AQ83" i="1"/>
  <c r="AQ84" i="1"/>
  <c r="AQ15" i="1"/>
  <c r="AQ27" i="1" s="1"/>
  <c r="AI91" i="1"/>
  <c r="AI84" i="1"/>
  <c r="AI83" i="1"/>
  <c r="AI15" i="1"/>
  <c r="AI27" i="1" s="1"/>
  <c r="U85" i="1"/>
  <c r="U35" i="1"/>
  <c r="Q91" i="1"/>
  <c r="Q83" i="1"/>
  <c r="Q84" i="1"/>
  <c r="Q15" i="1"/>
  <c r="Q27" i="1" s="1"/>
  <c r="E52" i="1"/>
  <c r="E73" i="1" s="1"/>
  <c r="E41" i="1"/>
  <c r="AK84" i="1"/>
  <c r="AK83" i="1"/>
  <c r="AK15" i="1"/>
  <c r="AK27" i="1" s="1"/>
  <c r="S85" i="1"/>
  <c r="S35" i="1"/>
  <c r="K85" i="1"/>
  <c r="K35" i="1"/>
  <c r="AD85" i="1"/>
  <c r="Y85" i="1"/>
  <c r="Y35" i="1"/>
  <c r="W85" i="1"/>
  <c r="W35" i="1"/>
  <c r="T85" i="1"/>
  <c r="T35" i="1"/>
  <c r="R27" i="1"/>
  <c r="V15" i="1"/>
  <c r="V27" i="1" s="1"/>
  <c r="O85" i="1"/>
  <c r="O35" i="1"/>
  <c r="M85" i="1"/>
  <c r="M35" i="1"/>
  <c r="J85" i="1"/>
  <c r="J35" i="1"/>
  <c r="H85" i="1"/>
  <c r="H35" i="1"/>
  <c r="X85" i="1"/>
  <c r="X35" i="1"/>
  <c r="P85" i="1"/>
  <c r="P35" i="1"/>
  <c r="N85" i="1"/>
  <c r="N35" i="1"/>
  <c r="BY20" i="1"/>
  <c r="CI33" i="1"/>
  <c r="CN32" i="1"/>
  <c r="DC79" i="1"/>
  <c r="CX78" i="1"/>
  <c r="AN91" i="1"/>
  <c r="AN83" i="1"/>
  <c r="AN84" i="1"/>
  <c r="AN15" i="1"/>
  <c r="AN27" i="1" s="1"/>
  <c r="AJ91" i="1"/>
  <c r="AJ83" i="1"/>
  <c r="AJ84" i="1"/>
  <c r="AJ15" i="1"/>
  <c r="AJ27" i="1" s="1"/>
  <c r="AF15" i="1"/>
  <c r="AF27" i="1" s="1"/>
  <c r="L91" i="1"/>
  <c r="L83" i="1"/>
  <c r="L84" i="1"/>
  <c r="L15" i="1"/>
  <c r="L27" i="1" s="1"/>
  <c r="F52" i="1"/>
  <c r="F73" i="1" s="1"/>
  <c r="F41" i="1"/>
  <c r="AM91" i="1"/>
  <c r="AM83" i="1"/>
  <c r="AM84" i="1"/>
  <c r="AM15" i="1"/>
  <c r="AM27" i="1" s="1"/>
  <c r="AE85" i="1"/>
  <c r="AE35" i="1"/>
  <c r="AA91" i="1"/>
  <c r="AA83" i="1"/>
  <c r="AA84" i="1"/>
  <c r="AA15" i="1"/>
  <c r="AA27" i="1" s="1"/>
  <c r="I85" i="1"/>
  <c r="I35" i="1"/>
  <c r="CS55" i="1"/>
  <c r="CN44" i="1"/>
  <c r="AO91" i="1"/>
  <c r="AO84" i="1"/>
  <c r="AO83" i="1"/>
  <c r="AO15" i="1"/>
  <c r="AO27" i="1" s="1"/>
  <c r="AG91" i="1"/>
  <c r="AG84" i="1"/>
  <c r="AG83" i="1"/>
  <c r="AG15" i="1"/>
  <c r="AG27" i="1" s="1"/>
  <c r="G52" i="1"/>
  <c r="G73" i="1" s="1"/>
  <c r="G41" i="1"/>
  <c r="C52" i="1"/>
  <c r="C73" i="1" s="1"/>
  <c r="C41" i="1"/>
  <c r="D52" i="1"/>
  <c r="D73" i="1" s="1"/>
  <c r="D41" i="1"/>
  <c r="I5" i="34"/>
  <c r="AK29" i="6" l="1"/>
  <c r="AB35" i="1"/>
  <c r="AF83" i="1"/>
  <c r="AC85" i="1"/>
  <c r="AK91" i="1"/>
  <c r="AF84" i="1"/>
  <c r="AA95" i="17"/>
  <c r="AA97" i="17" s="1"/>
  <c r="AA99" i="17" s="1"/>
  <c r="AA100" i="17" s="1"/>
  <c r="AA102" i="17" s="1"/>
  <c r="Z85" i="1"/>
  <c r="Z95" i="1" s="1"/>
  <c r="AL166" i="17"/>
  <c r="R34" i="30"/>
  <c r="Q36" i="30"/>
  <c r="Q39" i="30" s="1"/>
  <c r="Q41" i="30" s="1"/>
  <c r="Q43" i="30" s="1"/>
  <c r="Q51" i="30" s="1"/>
  <c r="Q56" i="30" s="1"/>
  <c r="AD13" i="29"/>
  <c r="DH28" i="2"/>
  <c r="DH16" i="3"/>
  <c r="DC33" i="2"/>
  <c r="CX8" i="3"/>
  <c r="CX35" i="2"/>
  <c r="CX36" i="2" s="1"/>
  <c r="BO19" i="1"/>
  <c r="BO21" i="1" s="1"/>
  <c r="AZ13" i="6"/>
  <c r="AB138" i="17"/>
  <c r="AZ23" i="13" s="1"/>
  <c r="AZ19" i="13"/>
  <c r="BE45" i="1"/>
  <c r="BP5" i="35"/>
  <c r="BO8" i="6" s="1"/>
  <c r="BQ80" i="35"/>
  <c r="BP81" i="35"/>
  <c r="BP88" i="35" s="1"/>
  <c r="BR91" i="35"/>
  <c r="BQ92" i="35"/>
  <c r="BQ95" i="35" s="1"/>
  <c r="BW82" i="35"/>
  <c r="BG75" i="1"/>
  <c r="BH79" i="1"/>
  <c r="BG78" i="1"/>
  <c r="BG77" i="1" s="1"/>
  <c r="AE95" i="1"/>
  <c r="X95" i="1"/>
  <c r="AZ14" i="6"/>
  <c r="AG167" i="17"/>
  <c r="AG168" i="17" s="1"/>
  <c r="AG170" i="17" s="1"/>
  <c r="BJ26" i="1"/>
  <c r="BJ94" i="1" s="1"/>
  <c r="BO23" i="1"/>
  <c r="P95" i="1"/>
  <c r="CX62" i="1"/>
  <c r="CS7" i="3"/>
  <c r="CS41" i="2" s="1"/>
  <c r="CA49" i="24"/>
  <c r="V66" i="29"/>
  <c r="R111" i="17"/>
  <c r="O4" i="26"/>
  <c r="O6" i="26" s="1"/>
  <c r="O8" i="26" s="1"/>
  <c r="O10" i="26" s="1"/>
  <c r="O18" i="26" s="1"/>
  <c r="AQ81" i="17" s="1"/>
  <c r="P2" i="26"/>
  <c r="V102" i="17"/>
  <c r="V34" i="17" s="1"/>
  <c r="W89" i="17"/>
  <c r="W88" i="17" s="1"/>
  <c r="AQ92" i="17"/>
  <c r="AQ95" i="17" s="1"/>
  <c r="AQ97" i="17" s="1"/>
  <c r="AQ99" i="17" s="1"/>
  <c r="AQ100" i="17" s="1"/>
  <c r="AL84" i="17"/>
  <c r="AL86" i="17" s="1"/>
  <c r="AL88" i="17" s="1"/>
  <c r="AL89" i="17" s="1"/>
  <c r="AL102" i="17" s="1"/>
  <c r="BJ19" i="13" s="1"/>
  <c r="AZ105" i="6"/>
  <c r="AG138" i="17"/>
  <c r="BE23" i="13" s="1"/>
  <c r="Q4" i="25"/>
  <c r="Q6" i="25" s="1"/>
  <c r="Q9" i="25" s="1"/>
  <c r="Q11" i="25" s="1"/>
  <c r="Q19" i="25" s="1"/>
  <c r="R2" i="25"/>
  <c r="Y36" i="29"/>
  <c r="V5" i="6" s="1"/>
  <c r="AB14" i="29"/>
  <c r="Z14" i="29"/>
  <c r="AC14" i="29"/>
  <c r="AA14" i="29"/>
  <c r="Y15" i="29"/>
  <c r="AH28" i="29"/>
  <c r="AH33" i="29" s="1"/>
  <c r="AI21" i="29"/>
  <c r="P18" i="6"/>
  <c r="P20" i="6" s="1"/>
  <c r="P48" i="6" s="1"/>
  <c r="P49" i="6" s="1"/>
  <c r="Z36" i="29"/>
  <c r="AD33" i="29"/>
  <c r="Z54" i="29"/>
  <c r="X55" i="29"/>
  <c r="X58" i="29" s="1"/>
  <c r="X64" i="29" s="1"/>
  <c r="Q20" i="6"/>
  <c r="Q48" i="6" s="1"/>
  <c r="Q49" i="6" s="1"/>
  <c r="AC49" i="29"/>
  <c r="AB50" i="29"/>
  <c r="AD14" i="29"/>
  <c r="AD12" i="29"/>
  <c r="AI12" i="29" s="1"/>
  <c r="AD26" i="29"/>
  <c r="W58" i="29"/>
  <c r="BK36" i="17"/>
  <c r="BK38" i="17" s="1"/>
  <c r="BZ113" i="17"/>
  <c r="CE1" i="17"/>
  <c r="CE11" i="17"/>
  <c r="BZ12" i="17"/>
  <c r="BZ14" i="17" s="1"/>
  <c r="BZ15" i="17" s="1"/>
  <c r="CX17" i="1"/>
  <c r="CX20" i="13" s="1"/>
  <c r="BP34" i="17"/>
  <c r="CE72" i="17"/>
  <c r="CJ83" i="17"/>
  <c r="BU20" i="17"/>
  <c r="BU21" i="17" s="1"/>
  <c r="BZ26" i="17"/>
  <c r="BU27" i="17"/>
  <c r="BU29" i="17" s="1"/>
  <c r="BU31" i="17" s="1"/>
  <c r="BU32" i="17" s="1"/>
  <c r="CJ72" i="17"/>
  <c r="BO16" i="16"/>
  <c r="AT9" i="1"/>
  <c r="AU9" i="1"/>
  <c r="AP19" i="16"/>
  <c r="AH35" i="16"/>
  <c r="AG34" i="16"/>
  <c r="BJ38" i="6"/>
  <c r="CJ44" i="6"/>
  <c r="CJ46" i="6" s="1"/>
  <c r="CK44" i="6"/>
  <c r="CK46" i="6" s="1"/>
  <c r="CQ44" i="6"/>
  <c r="CQ46" i="6" s="1"/>
  <c r="BJ25" i="6"/>
  <c r="BE32" i="6"/>
  <c r="CD10" i="6"/>
  <c r="BY51" i="6"/>
  <c r="CD1" i="6"/>
  <c r="BY19" i="6"/>
  <c r="BK169" i="17" s="1"/>
  <c r="Y45" i="6"/>
  <c r="X44" i="6"/>
  <c r="X46" i="6" s="1"/>
  <c r="CJ40" i="6"/>
  <c r="CK40" i="6"/>
  <c r="CQ40" i="6"/>
  <c r="AJ16" i="22"/>
  <c r="AK16" i="22" s="1"/>
  <c r="AJ20" i="22"/>
  <c r="AK20" i="22" s="1"/>
  <c r="AH31" i="22"/>
  <c r="AI12" i="22"/>
  <c r="AI23" i="22" s="1"/>
  <c r="AI25" i="22" s="1"/>
  <c r="AH23" i="22"/>
  <c r="AH25" i="22" s="1"/>
  <c r="CX36" i="3"/>
  <c r="DC28" i="3"/>
  <c r="DH51" i="2"/>
  <c r="DC38" i="2"/>
  <c r="CX51" i="13"/>
  <c r="CS10" i="1"/>
  <c r="CX36" i="13"/>
  <c r="CX25" i="1" s="1"/>
  <c r="CX31" i="13"/>
  <c r="CX32" i="13" s="1"/>
  <c r="CN6" i="13"/>
  <c r="CX55" i="1"/>
  <c r="CS44" i="1"/>
  <c r="AF85" i="1"/>
  <c r="AF35" i="1"/>
  <c r="DH79" i="1"/>
  <c r="DH78" i="1" s="1"/>
  <c r="DC78" i="1"/>
  <c r="N95" i="1"/>
  <c r="M95" i="1"/>
  <c r="O95" i="1"/>
  <c r="R85" i="1"/>
  <c r="R95" i="1" s="1"/>
  <c r="R35" i="1"/>
  <c r="T95" i="1"/>
  <c r="Y95" i="1"/>
  <c r="AB95" i="1"/>
  <c r="AD95" i="1"/>
  <c r="S95" i="1"/>
  <c r="AC95" i="1"/>
  <c r="U95" i="1"/>
  <c r="AH85" i="1"/>
  <c r="AH95" i="1" s="1"/>
  <c r="AH35" i="1"/>
  <c r="AL85" i="1"/>
  <c r="AL35" i="1"/>
  <c r="AP85" i="1"/>
  <c r="AP35" i="1"/>
  <c r="AG85" i="1"/>
  <c r="AG95" i="1" s="1"/>
  <c r="AG35" i="1"/>
  <c r="AO85" i="1"/>
  <c r="AO35" i="1"/>
  <c r="I86" i="1"/>
  <c r="I39" i="1"/>
  <c r="I37" i="1"/>
  <c r="AA85" i="1"/>
  <c r="AA35" i="1"/>
  <c r="AE86" i="1"/>
  <c r="AE39" i="1"/>
  <c r="AE37" i="1"/>
  <c r="AE46" i="1" s="1"/>
  <c r="AE99" i="1" s="1"/>
  <c r="AM85" i="1"/>
  <c r="AM35" i="1"/>
  <c r="BJ93" i="1"/>
  <c r="L85" i="1"/>
  <c r="L35" i="1"/>
  <c r="AJ85" i="1"/>
  <c r="AJ95" i="1" s="1"/>
  <c r="AJ35" i="1"/>
  <c r="AN85" i="1"/>
  <c r="AN35" i="1"/>
  <c r="CS32" i="1"/>
  <c r="CN33" i="1"/>
  <c r="CD20" i="1"/>
  <c r="N86" i="1"/>
  <c r="N39" i="1"/>
  <c r="N37" i="1"/>
  <c r="N46" i="1" s="1"/>
  <c r="P86" i="1"/>
  <c r="P39" i="1"/>
  <c r="P37" i="1"/>
  <c r="P46" i="1" s="1"/>
  <c r="X86" i="1"/>
  <c r="X39" i="1"/>
  <c r="X37" i="1"/>
  <c r="X46" i="1" s="1"/>
  <c r="Z86" i="1"/>
  <c r="Z39" i="1"/>
  <c r="Z37" i="1"/>
  <c r="Z46" i="1" s="1"/>
  <c r="H86" i="1"/>
  <c r="H39" i="1"/>
  <c r="H37" i="1"/>
  <c r="J86" i="1"/>
  <c r="J39" i="1"/>
  <c r="J37" i="1"/>
  <c r="M86" i="1"/>
  <c r="M39" i="1"/>
  <c r="M37" i="1"/>
  <c r="M46" i="1" s="1"/>
  <c r="O86" i="1"/>
  <c r="O39" i="1"/>
  <c r="O37" i="1"/>
  <c r="O46" i="1" s="1"/>
  <c r="V85" i="1"/>
  <c r="V35" i="1"/>
  <c r="T86" i="1"/>
  <c r="T39" i="1"/>
  <c r="T37" i="1"/>
  <c r="T46" i="1" s="1"/>
  <c r="W86" i="1"/>
  <c r="W39" i="1"/>
  <c r="W37" i="1"/>
  <c r="W46" i="1" s="1"/>
  <c r="Y86" i="1"/>
  <c r="Y39" i="1"/>
  <c r="Y37" i="1"/>
  <c r="Y46" i="1" s="1"/>
  <c r="AB86" i="1"/>
  <c r="AB39" i="1"/>
  <c r="AB37" i="1"/>
  <c r="AB46" i="1" s="1"/>
  <c r="AD86" i="1"/>
  <c r="AD39" i="1"/>
  <c r="AD37" i="1"/>
  <c r="AD46" i="1" s="1"/>
  <c r="AD99" i="1" s="1"/>
  <c r="K86" i="1"/>
  <c r="K39" i="1"/>
  <c r="K37" i="1"/>
  <c r="S86" i="1"/>
  <c r="S39" i="1"/>
  <c r="S37" i="1"/>
  <c r="S46" i="1" s="1"/>
  <c r="AC86" i="1"/>
  <c r="AC39" i="1"/>
  <c r="AC37" i="1"/>
  <c r="AC46" i="1" s="1"/>
  <c r="AC99" i="1" s="1"/>
  <c r="AK85" i="1"/>
  <c r="AK35" i="1"/>
  <c r="Q85" i="1"/>
  <c r="Q35" i="1"/>
  <c r="U86" i="1"/>
  <c r="U39" i="1"/>
  <c r="U37" i="1"/>
  <c r="U46" i="1" s="1"/>
  <c r="AI85" i="1"/>
  <c r="AI95" i="1" s="1"/>
  <c r="AI35" i="1"/>
  <c r="AQ85" i="1"/>
  <c r="AQ35" i="1"/>
  <c r="J5" i="34"/>
  <c r="AA104" i="17" l="1"/>
  <c r="AA106" i="17" s="1"/>
  <c r="AY19" i="13"/>
  <c r="AY26" i="13" s="1"/>
  <c r="AY33" i="13" s="1"/>
  <c r="AY6" i="1" s="1"/>
  <c r="AJ14" i="22"/>
  <c r="AK14" i="22" s="1"/>
  <c r="DH33" i="2"/>
  <c r="DC8" i="3"/>
  <c r="DC35" i="2"/>
  <c r="DC36" i="2" s="1"/>
  <c r="AJ18" i="22"/>
  <c r="AK18" i="22" s="1"/>
  <c r="R36" i="30"/>
  <c r="R39" i="30" s="1"/>
  <c r="R41" i="30" s="1"/>
  <c r="R43" i="30" s="1"/>
  <c r="R51" i="30" s="1"/>
  <c r="R56" i="30" s="1"/>
  <c r="S34" i="30"/>
  <c r="S36" i="30" s="1"/>
  <c r="S39" i="30" s="1"/>
  <c r="S41" i="30" s="1"/>
  <c r="S43" i="30" s="1"/>
  <c r="S51" i="30" s="1"/>
  <c r="S56" i="30" s="1"/>
  <c r="BE13" i="6"/>
  <c r="BT19" i="1"/>
  <c r="AQ166" i="17"/>
  <c r="AZ26" i="13"/>
  <c r="AZ33" i="13" s="1"/>
  <c r="BJ45" i="1"/>
  <c r="AK95" i="1"/>
  <c r="BS91" i="35"/>
  <c r="BR92" i="35"/>
  <c r="BR95" i="35" s="1"/>
  <c r="BQ5" i="35"/>
  <c r="BT8" i="6" s="1"/>
  <c r="BR80" i="35"/>
  <c r="BQ81" i="35"/>
  <c r="BQ88" i="35" s="1"/>
  <c r="BH75" i="1"/>
  <c r="BH78" i="1"/>
  <c r="BH77" i="1" s="1"/>
  <c r="BI79" i="1"/>
  <c r="BT23" i="1"/>
  <c r="BO26" i="1"/>
  <c r="BO94" i="1" s="1"/>
  <c r="BE14" i="6"/>
  <c r="AL167" i="17"/>
  <c r="AL168" i="17" s="1"/>
  <c r="AL170" i="17" s="1"/>
  <c r="AM95" i="1"/>
  <c r="DC62" i="1"/>
  <c r="CX7" i="3"/>
  <c r="CX41" i="2" s="1"/>
  <c r="Q95" i="1"/>
  <c r="Q46" i="1"/>
  <c r="Y55" i="29"/>
  <c r="Y58" i="29" s="1"/>
  <c r="Y39" i="29"/>
  <c r="BU34" i="17"/>
  <c r="BE26" i="13"/>
  <c r="BE33" i="13" s="1"/>
  <c r="AL138" i="17"/>
  <c r="BJ23" i="13" s="1"/>
  <c r="V104" i="17"/>
  <c r="W104" i="17" s="1"/>
  <c r="P4" i="26"/>
  <c r="P6" i="26" s="1"/>
  <c r="P8" i="26" s="1"/>
  <c r="P10" i="26" s="1"/>
  <c r="P18" i="26" s="1"/>
  <c r="AV81" i="17" s="1"/>
  <c r="Q2" i="26"/>
  <c r="W102" i="17"/>
  <c r="AV92" i="17"/>
  <c r="AV95" i="17" s="1"/>
  <c r="AV97" i="17" s="1"/>
  <c r="AV99" i="17" s="1"/>
  <c r="AV100" i="17" s="1"/>
  <c r="AQ84" i="17"/>
  <c r="AQ86" i="17" s="1"/>
  <c r="AQ88" i="17" s="1"/>
  <c r="AQ89" i="17" s="1"/>
  <c r="AQ102" i="17" s="1"/>
  <c r="BO19" i="13" s="1"/>
  <c r="BE105" i="6"/>
  <c r="R4" i="25"/>
  <c r="R6" i="25" s="1"/>
  <c r="R9" i="25" s="1"/>
  <c r="R11" i="25" s="1"/>
  <c r="R19" i="25" s="1"/>
  <c r="S2" i="25"/>
  <c r="S4" i="25" s="1"/>
  <c r="S6" i="25" s="1"/>
  <c r="S9" i="25" s="1"/>
  <c r="S11" i="25" s="1"/>
  <c r="S19" i="25" s="1"/>
  <c r="W64" i="29"/>
  <c r="W66" i="29" s="1"/>
  <c r="Y61" i="29"/>
  <c r="Y60" i="29" s="1"/>
  <c r="AH14" i="29"/>
  <c r="AF14" i="29"/>
  <c r="AE14" i="29"/>
  <c r="AG14" i="29"/>
  <c r="AD49" i="29"/>
  <c r="AC50" i="29"/>
  <c r="U5" i="6"/>
  <c r="W5" i="6" s="1"/>
  <c r="V8" i="6"/>
  <c r="AA54" i="29"/>
  <c r="Z55" i="29"/>
  <c r="Z39" i="29"/>
  <c r="AD36" i="29"/>
  <c r="AD39" i="29" s="1"/>
  <c r="AC15" i="29"/>
  <c r="AA15" i="29"/>
  <c r="Z15" i="29"/>
  <c r="AB15" i="29"/>
  <c r="AD15" i="29"/>
  <c r="AG12" i="29"/>
  <c r="AG13" i="29" s="1"/>
  <c r="AG26" i="29" s="1"/>
  <c r="AG36" i="29" s="1"/>
  <c r="AG39" i="29" s="1"/>
  <c r="AE12" i="29"/>
  <c r="AE13" i="29" s="1"/>
  <c r="AJ12" i="29"/>
  <c r="AF12" i="29"/>
  <c r="AF13" i="29" s="1"/>
  <c r="AF26" i="29" s="1"/>
  <c r="AF36" i="29" s="1"/>
  <c r="AF39" i="29" s="1"/>
  <c r="AH12" i="29"/>
  <c r="AH13" i="29" s="1"/>
  <c r="AH26" i="29" s="1"/>
  <c r="AH36" i="29" s="1"/>
  <c r="AH39" i="29" s="1"/>
  <c r="CJ74" i="17"/>
  <c r="CJ76" i="17" s="1"/>
  <c r="CE26" i="17"/>
  <c r="BZ27" i="17"/>
  <c r="BZ29" i="17" s="1"/>
  <c r="BZ31" i="17" s="1"/>
  <c r="BZ32" i="17" s="1"/>
  <c r="CE74" i="17"/>
  <c r="CE76" i="17" s="1"/>
  <c r="CJ11" i="17"/>
  <c r="CE12" i="17"/>
  <c r="CE14" i="17" s="1"/>
  <c r="CE15" i="17" s="1"/>
  <c r="DC17" i="1"/>
  <c r="DC20" i="13" s="1"/>
  <c r="CE113" i="17"/>
  <c r="CJ1" i="17"/>
  <c r="CJ113" i="17" s="1"/>
  <c r="BP36" i="17"/>
  <c r="BP38" i="17" s="1"/>
  <c r="BZ20" i="17"/>
  <c r="BZ21" i="17" s="1"/>
  <c r="AH34" i="16"/>
  <c r="AI35" i="16"/>
  <c r="AU20" i="16"/>
  <c r="AU23" i="16" s="1"/>
  <c r="BJ12" i="13" s="1"/>
  <c r="BT16" i="16"/>
  <c r="CO38" i="6"/>
  <c r="CO42" i="6" s="1"/>
  <c r="Z45" i="6"/>
  <c r="Y44" i="6"/>
  <c r="Y46" i="6" s="1"/>
  <c r="CI10" i="6"/>
  <c r="BO25" i="6"/>
  <c r="BJ32" i="6"/>
  <c r="CV38" i="6"/>
  <c r="CV42" i="6" s="1"/>
  <c r="CP38" i="6"/>
  <c r="CP42" i="6" s="1"/>
  <c r="CD19" i="6"/>
  <c r="BP169" i="17" s="1"/>
  <c r="CD51" i="6"/>
  <c r="CI1" i="6"/>
  <c r="BJ40" i="6"/>
  <c r="AL20" i="22"/>
  <c r="AL16" i="22"/>
  <c r="AI10" i="22"/>
  <c r="DC36" i="3"/>
  <c r="DH28" i="3"/>
  <c r="DH36" i="3" s="1"/>
  <c r="DH38" i="2"/>
  <c r="CS6" i="13"/>
  <c r="AQ95" i="1"/>
  <c r="DC31" i="13"/>
  <c r="DC32" i="13" s="1"/>
  <c r="DC36" i="13"/>
  <c r="DC25" i="1" s="1"/>
  <c r="DC51" i="13"/>
  <c r="CX10" i="1"/>
  <c r="AQ86" i="1"/>
  <c r="AQ39" i="1"/>
  <c r="AQ37" i="1"/>
  <c r="AQ46" i="1" s="1"/>
  <c r="AI86" i="1"/>
  <c r="AI39" i="1"/>
  <c r="AI37" i="1"/>
  <c r="AI46" i="1" s="1"/>
  <c r="AC87" i="1"/>
  <c r="AC52" i="1"/>
  <c r="AC47" i="1"/>
  <c r="AC48" i="1" s="1"/>
  <c r="AC41" i="1"/>
  <c r="K87" i="1"/>
  <c r="K52" i="1"/>
  <c r="K73" i="1" s="1"/>
  <c r="K41" i="1"/>
  <c r="K96" i="1" s="1"/>
  <c r="AB87" i="1"/>
  <c r="AB52" i="1"/>
  <c r="AB47" i="1"/>
  <c r="AB41" i="1"/>
  <c r="W87" i="1"/>
  <c r="W52" i="1"/>
  <c r="W47" i="1"/>
  <c r="W41" i="1"/>
  <c r="V95" i="1"/>
  <c r="O87" i="1"/>
  <c r="O52" i="1"/>
  <c r="O73" i="1" s="1"/>
  <c r="O75" i="1" s="1"/>
  <c r="O47" i="1"/>
  <c r="O48" i="1" s="1"/>
  <c r="O41" i="1"/>
  <c r="J87" i="1"/>
  <c r="J52" i="1"/>
  <c r="J73" i="1" s="1"/>
  <c r="J41" i="1"/>
  <c r="J96" i="1" s="1"/>
  <c r="Z87" i="1"/>
  <c r="Z52" i="1"/>
  <c r="Z47" i="1"/>
  <c r="Z48" i="1" s="1"/>
  <c r="Z41" i="1"/>
  <c r="P87" i="1"/>
  <c r="P52" i="1"/>
  <c r="P73" i="1" s="1"/>
  <c r="P75" i="1" s="1"/>
  <c r="P47" i="1"/>
  <c r="P48" i="1" s="1"/>
  <c r="P41" i="1"/>
  <c r="P96" i="1" s="1"/>
  <c r="CX32" i="1"/>
  <c r="CS33" i="1"/>
  <c r="AN95" i="1"/>
  <c r="AM86" i="1"/>
  <c r="AM39" i="1"/>
  <c r="AM37" i="1"/>
  <c r="AM46" i="1" s="1"/>
  <c r="AA95" i="1"/>
  <c r="I87" i="1"/>
  <c r="I52" i="1"/>
  <c r="I73" i="1" s="1"/>
  <c r="I41" i="1"/>
  <c r="I96" i="1" s="1"/>
  <c r="AO86" i="1"/>
  <c r="AO39" i="1"/>
  <c r="AO37" i="1"/>
  <c r="AO46" i="1" s="1"/>
  <c r="AG86" i="1"/>
  <c r="AG39" i="1"/>
  <c r="AG37" i="1"/>
  <c r="AG46" i="1" s="1"/>
  <c r="AP86" i="1"/>
  <c r="AP39" i="1"/>
  <c r="AP37" i="1"/>
  <c r="AP46" i="1" s="1"/>
  <c r="AL86" i="1"/>
  <c r="AL39" i="1"/>
  <c r="AL37" i="1"/>
  <c r="AL46" i="1" s="1"/>
  <c r="AH86" i="1"/>
  <c r="AH39" i="1"/>
  <c r="AH37" i="1"/>
  <c r="AH46" i="1" s="1"/>
  <c r="AF86" i="1"/>
  <c r="AF39" i="1"/>
  <c r="AF37" i="1"/>
  <c r="BO93" i="1"/>
  <c r="U87" i="1"/>
  <c r="U52" i="1"/>
  <c r="U47" i="1"/>
  <c r="U48" i="1" s="1"/>
  <c r="U41" i="1"/>
  <c r="Q86" i="1"/>
  <c r="Q39" i="1"/>
  <c r="Q37" i="1"/>
  <c r="AK86" i="1"/>
  <c r="AK39" i="1"/>
  <c r="AK37" i="1"/>
  <c r="AK46" i="1" s="1"/>
  <c r="S87" i="1"/>
  <c r="S52" i="1"/>
  <c r="S73" i="1" s="1"/>
  <c r="S75" i="1" s="1"/>
  <c r="S47" i="1"/>
  <c r="S48" i="1" s="1"/>
  <c r="S41" i="1"/>
  <c r="AD87" i="1"/>
  <c r="AD52" i="1"/>
  <c r="AD47" i="1"/>
  <c r="AD48" i="1" s="1"/>
  <c r="AD41" i="1"/>
  <c r="AB99" i="1"/>
  <c r="AF46" i="1"/>
  <c r="AF99" i="1" s="1"/>
  <c r="Y87" i="1"/>
  <c r="Y52" i="1"/>
  <c r="Y47" i="1"/>
  <c r="Y48" i="1" s="1"/>
  <c r="Y41" i="1"/>
  <c r="AA46" i="1"/>
  <c r="T87" i="1"/>
  <c r="T52" i="1"/>
  <c r="T73" i="1" s="1"/>
  <c r="T75" i="1" s="1"/>
  <c r="T47" i="1"/>
  <c r="T48" i="1" s="1"/>
  <c r="T41" i="1"/>
  <c r="V86" i="1"/>
  <c r="V39" i="1"/>
  <c r="V37" i="1"/>
  <c r="M87" i="1"/>
  <c r="M52" i="1"/>
  <c r="M73" i="1" s="1"/>
  <c r="M75" i="1" s="1"/>
  <c r="M47" i="1"/>
  <c r="M41" i="1"/>
  <c r="H87" i="1"/>
  <c r="H52" i="1"/>
  <c r="H73" i="1" s="1"/>
  <c r="H41" i="1"/>
  <c r="H96" i="1" s="1"/>
  <c r="X87" i="1"/>
  <c r="X52" i="1"/>
  <c r="X47" i="1"/>
  <c r="X48" i="1" s="1"/>
  <c r="X41" i="1"/>
  <c r="N87" i="1"/>
  <c r="N52" i="1"/>
  <c r="N73" i="1" s="1"/>
  <c r="N75" i="1" s="1"/>
  <c r="N47" i="1"/>
  <c r="N48" i="1" s="1"/>
  <c r="N41" i="1"/>
  <c r="CI20" i="1"/>
  <c r="AN86" i="1"/>
  <c r="AN39" i="1"/>
  <c r="AN37" i="1"/>
  <c r="AN46" i="1" s="1"/>
  <c r="AJ86" i="1"/>
  <c r="AJ39" i="1"/>
  <c r="AJ37" i="1"/>
  <c r="AJ46" i="1" s="1"/>
  <c r="L86" i="1"/>
  <c r="L39" i="1"/>
  <c r="L37" i="1"/>
  <c r="L46" i="1" s="1"/>
  <c r="AE87" i="1"/>
  <c r="AE52" i="1"/>
  <c r="AE47" i="1"/>
  <c r="AE48" i="1" s="1"/>
  <c r="AE41" i="1"/>
  <c r="AA86" i="1"/>
  <c r="AA39" i="1"/>
  <c r="AA37" i="1"/>
  <c r="AO95" i="1"/>
  <c r="AP95" i="1"/>
  <c r="AL95" i="1"/>
  <c r="W95" i="1"/>
  <c r="R86" i="1"/>
  <c r="R39" i="1"/>
  <c r="R37" i="1"/>
  <c r="R46" i="1" s="1"/>
  <c r="V46" i="1" s="1"/>
  <c r="AF95" i="1"/>
  <c r="DC55" i="1"/>
  <c r="CX44" i="1"/>
  <c r="K5" i="34"/>
  <c r="BY19" i="1" l="1"/>
  <c r="BY21" i="1" s="1"/>
  <c r="BT21" i="1"/>
  <c r="BT93" i="1" s="1"/>
  <c r="DH8" i="3"/>
  <c r="DH35" i="2"/>
  <c r="DH36" i="2" s="1"/>
  <c r="BJ13" i="6"/>
  <c r="AV166" i="17"/>
  <c r="X66" i="29"/>
  <c r="BO45" i="1"/>
  <c r="BU36" i="17"/>
  <c r="BU38" i="17" s="1"/>
  <c r="BS92" i="35"/>
  <c r="BS95" i="35" s="1"/>
  <c r="BT83" i="35"/>
  <c r="BU93" i="35" s="1"/>
  <c r="BR5" i="35"/>
  <c r="BY8" i="6" s="1"/>
  <c r="BW83" i="35"/>
  <c r="BS83" i="35"/>
  <c r="BT93" i="35" s="1"/>
  <c r="BT91" i="35" s="1"/>
  <c r="BV83" i="35"/>
  <c r="BW93" i="35" s="1"/>
  <c r="BU83" i="35"/>
  <c r="BV93" i="35" s="1"/>
  <c r="BR81" i="35"/>
  <c r="BR88" i="35" s="1"/>
  <c r="BK79" i="1"/>
  <c r="BI78" i="1"/>
  <c r="BI77" i="1" s="1"/>
  <c r="BJ77" i="1" s="1"/>
  <c r="BI75" i="1"/>
  <c r="T96" i="1"/>
  <c r="BJ14" i="6"/>
  <c r="BO14" i="6" s="1"/>
  <c r="BT14" i="6" s="1"/>
  <c r="BY14" i="6" s="1"/>
  <c r="CD14" i="6" s="1"/>
  <c r="CI14" i="6" s="1"/>
  <c r="CN14" i="6" s="1"/>
  <c r="CS14" i="6" s="1"/>
  <c r="CX14" i="6" s="1"/>
  <c r="AQ167" i="17"/>
  <c r="AQ168" i="17" s="1"/>
  <c r="AQ170" i="17" s="1"/>
  <c r="BT26" i="1"/>
  <c r="BT94" i="1" s="1"/>
  <c r="BY23" i="1"/>
  <c r="DH62" i="1"/>
  <c r="DC7" i="3"/>
  <c r="DC41" i="2" s="1"/>
  <c r="N96" i="1"/>
  <c r="X96" i="1"/>
  <c r="AE96" i="1"/>
  <c r="M96" i="1"/>
  <c r="Y96" i="1"/>
  <c r="U96" i="1"/>
  <c r="O96" i="1"/>
  <c r="CD19" i="1"/>
  <c r="BO13" i="6"/>
  <c r="Y64" i="29"/>
  <c r="Y65" i="29" s="1"/>
  <c r="CP40" i="6"/>
  <c r="CV40" i="6"/>
  <c r="BJ26" i="13"/>
  <c r="Q4" i="26"/>
  <c r="Q6" i="26" s="1"/>
  <c r="Q8" i="26" s="1"/>
  <c r="Q10" i="26" s="1"/>
  <c r="Q18" i="26" s="1"/>
  <c r="BA81" i="17" s="1"/>
  <c r="R2" i="26"/>
  <c r="W105" i="17"/>
  <c r="AQ138" i="17"/>
  <c r="BO23" i="13" s="1"/>
  <c r="W106" i="17"/>
  <c r="BA92" i="17"/>
  <c r="BA95" i="17" s="1"/>
  <c r="BA97" i="17" s="1"/>
  <c r="BA99" i="17" s="1"/>
  <c r="BA100" i="17" s="1"/>
  <c r="BJ105" i="6"/>
  <c r="AV84" i="17"/>
  <c r="AV86" i="17" s="1"/>
  <c r="AV88" i="17" s="1"/>
  <c r="AV89" i="17" s="1"/>
  <c r="AV102" i="17" s="1"/>
  <c r="BT19" i="13" s="1"/>
  <c r="V106" i="17"/>
  <c r="AK12" i="29"/>
  <c r="AJ13" i="29"/>
  <c r="AB54" i="29"/>
  <c r="AA55" i="29"/>
  <c r="AA58" i="29" s="1"/>
  <c r="AA64" i="29" s="1"/>
  <c r="X5" i="6"/>
  <c r="W7" i="6"/>
  <c r="AE49" i="29"/>
  <c r="AD50" i="29"/>
  <c r="AE26" i="29"/>
  <c r="AI13" i="29"/>
  <c r="AG15" i="29"/>
  <c r="AE15" i="29"/>
  <c r="AH15" i="29"/>
  <c r="AF15" i="29"/>
  <c r="Z58" i="29"/>
  <c r="V16" i="6"/>
  <c r="V10" i="6"/>
  <c r="AA10" i="6" s="1"/>
  <c r="W10" i="6" s="1"/>
  <c r="X10" i="6" s="1"/>
  <c r="Y10" i="6" s="1"/>
  <c r="Z10" i="6" s="1"/>
  <c r="U8" i="6"/>
  <c r="AD53" i="29"/>
  <c r="CJ12" i="17"/>
  <c r="CJ14" i="17" s="1"/>
  <c r="CJ15" i="17" s="1"/>
  <c r="DH17" i="1"/>
  <c r="DH20" i="13" s="1"/>
  <c r="CJ26" i="17"/>
  <c r="CJ27" i="17" s="1"/>
  <c r="CJ29" i="17" s="1"/>
  <c r="CJ31" i="17" s="1"/>
  <c r="CJ32" i="17" s="1"/>
  <c r="CE27" i="17"/>
  <c r="CE29" i="17" s="1"/>
  <c r="CE31" i="17" s="1"/>
  <c r="CE32" i="17" s="1"/>
  <c r="CE20" i="17"/>
  <c r="CE21" i="17" s="1"/>
  <c r="BZ34" i="17"/>
  <c r="BY16" i="16"/>
  <c r="BO12" i="13"/>
  <c r="BJ16" i="13"/>
  <c r="AU19" i="16"/>
  <c r="AJ35" i="16"/>
  <c r="AI34" i="16"/>
  <c r="BO38" i="6"/>
  <c r="BO40" i="6" s="1"/>
  <c r="CI19" i="6"/>
  <c r="BU169" i="17" s="1"/>
  <c r="CU38" i="6"/>
  <c r="CU42" i="6" s="1"/>
  <c r="BT25" i="6"/>
  <c r="BO32" i="6"/>
  <c r="CN10" i="6"/>
  <c r="CO44" i="6"/>
  <c r="CO46" i="6" s="1"/>
  <c r="CI51" i="6"/>
  <c r="CN1" i="6"/>
  <c r="CP44" i="6"/>
  <c r="CP46" i="6" s="1"/>
  <c r="CV44" i="6"/>
  <c r="CV46" i="6" s="1"/>
  <c r="AA45" i="6"/>
  <c r="Z44" i="6"/>
  <c r="Z46" i="6" s="1"/>
  <c r="CO40" i="6"/>
  <c r="AI31" i="22"/>
  <c r="AJ10" i="22"/>
  <c r="AJ12" i="22"/>
  <c r="AL14" i="22"/>
  <c r="AL18" i="22"/>
  <c r="DH51" i="13"/>
  <c r="DC10" i="1"/>
  <c r="DH36" i="13"/>
  <c r="DH25" i="1" s="1"/>
  <c r="DH31" i="13"/>
  <c r="DH32" i="13" s="1"/>
  <c r="CX6" i="13"/>
  <c r="DH55" i="1"/>
  <c r="DC44" i="1"/>
  <c r="AA87" i="1"/>
  <c r="AA52" i="1"/>
  <c r="AA41" i="1"/>
  <c r="AE73" i="1"/>
  <c r="AE75" i="1" s="1"/>
  <c r="AE71" i="1"/>
  <c r="AJ87" i="1"/>
  <c r="AJ52" i="1"/>
  <c r="AJ47" i="1"/>
  <c r="AJ48" i="1" s="1"/>
  <c r="AJ41" i="1"/>
  <c r="AJ96" i="1" s="1"/>
  <c r="Y73" i="1"/>
  <c r="Y75" i="1" s="1"/>
  <c r="Y71" i="1"/>
  <c r="AD96" i="1"/>
  <c r="AD73" i="1"/>
  <c r="AD75" i="1" s="1"/>
  <c r="AD71" i="1"/>
  <c r="S96" i="1"/>
  <c r="Q87" i="1"/>
  <c r="Q52" i="1"/>
  <c r="Q73" i="1" s="1"/>
  <c r="Q75" i="1" s="1"/>
  <c r="Q41" i="1"/>
  <c r="U73" i="1"/>
  <c r="U75" i="1" s="1"/>
  <c r="U71" i="1"/>
  <c r="AF87" i="1"/>
  <c r="AF52" i="1"/>
  <c r="AF73" i="1" s="1"/>
  <c r="AF75" i="1" s="1"/>
  <c r="AF41" i="1"/>
  <c r="AF96" i="1" s="1"/>
  <c r="AL87" i="1"/>
  <c r="AL52" i="1"/>
  <c r="AL47" i="1"/>
  <c r="AL48" i="1" s="1"/>
  <c r="AL41" i="1"/>
  <c r="AG87" i="1"/>
  <c r="AG52" i="1"/>
  <c r="AG47" i="1"/>
  <c r="AG48" i="1" s="1"/>
  <c r="AG41" i="1"/>
  <c r="AG96" i="1" s="1"/>
  <c r="AM87" i="1"/>
  <c r="AM52" i="1"/>
  <c r="AM47" i="1"/>
  <c r="AM48" i="1" s="1"/>
  <c r="AM41" i="1"/>
  <c r="DC32" i="1"/>
  <c r="CX33" i="1"/>
  <c r="W48" i="1"/>
  <c r="AA47" i="1"/>
  <c r="AA48" i="1" s="1"/>
  <c r="AB48" i="1"/>
  <c r="AF47" i="1"/>
  <c r="AF48" i="1" s="1"/>
  <c r="AC96" i="1"/>
  <c r="AC73" i="1"/>
  <c r="AC75" i="1" s="1"/>
  <c r="AC71" i="1"/>
  <c r="AQ87" i="1"/>
  <c r="AQ52" i="1"/>
  <c r="AQ47" i="1"/>
  <c r="AQ48" i="1" s="1"/>
  <c r="AQ41" i="1"/>
  <c r="R87" i="1"/>
  <c r="R52" i="1"/>
  <c r="R73" i="1" s="1"/>
  <c r="R75" i="1" s="1"/>
  <c r="R47" i="1"/>
  <c r="R41" i="1"/>
  <c r="R96" i="1" s="1"/>
  <c r="L87" i="1"/>
  <c r="L52" i="1"/>
  <c r="L73" i="1" s="1"/>
  <c r="L75" i="1" s="1"/>
  <c r="L47" i="1"/>
  <c r="L48" i="1" s="1"/>
  <c r="L41" i="1"/>
  <c r="L96" i="1" s="1"/>
  <c r="AN87" i="1"/>
  <c r="AN52" i="1"/>
  <c r="AN47" i="1"/>
  <c r="AN48" i="1" s="1"/>
  <c r="AN41" i="1"/>
  <c r="CN20" i="1"/>
  <c r="X73" i="1"/>
  <c r="X75" i="1" s="1"/>
  <c r="X71" i="1"/>
  <c r="M48" i="1"/>
  <c r="Q47" i="1"/>
  <c r="Q48" i="1" s="1"/>
  <c r="V87" i="1"/>
  <c r="V52" i="1"/>
  <c r="V41" i="1"/>
  <c r="AK87" i="1"/>
  <c r="AK52" i="1"/>
  <c r="AK73" i="1" s="1"/>
  <c r="AK75" i="1" s="1"/>
  <c r="AK47" i="1"/>
  <c r="AK48" i="1" s="1"/>
  <c r="AK41" i="1"/>
  <c r="AH87" i="1"/>
  <c r="AH52" i="1"/>
  <c r="AH47" i="1"/>
  <c r="AH48" i="1" s="1"/>
  <c r="AH41" i="1"/>
  <c r="AH96" i="1" s="1"/>
  <c r="AP87" i="1"/>
  <c r="AP52" i="1"/>
  <c r="AP73" i="1" s="1"/>
  <c r="AP75" i="1" s="1"/>
  <c r="AP47" i="1"/>
  <c r="AP48" i="1" s="1"/>
  <c r="AP41" i="1"/>
  <c r="AO87" i="1"/>
  <c r="AO52" i="1"/>
  <c r="AO47" i="1"/>
  <c r="AO48" i="1" s="1"/>
  <c r="AO41" i="1"/>
  <c r="Z96" i="1"/>
  <c r="Z73" i="1"/>
  <c r="Z75" i="1" s="1"/>
  <c r="Z71" i="1"/>
  <c r="W73" i="1"/>
  <c r="W75" i="1" s="1"/>
  <c r="W71" i="1"/>
  <c r="AB96" i="1"/>
  <c r="AB73" i="1"/>
  <c r="AB75" i="1" s="1"/>
  <c r="AB71" i="1"/>
  <c r="AI87" i="1"/>
  <c r="AI52" i="1"/>
  <c r="AI47" i="1"/>
  <c r="AI48" i="1" s="1"/>
  <c r="AI41" i="1"/>
  <c r="AI96" i="1" s="1"/>
  <c r="L5" i="34"/>
  <c r="BA166" i="17" l="1"/>
  <c r="CI19" i="1"/>
  <c r="CD21" i="1"/>
  <c r="AO96" i="1"/>
  <c r="BT45" i="1"/>
  <c r="BU91" i="35"/>
  <c r="BT92" i="35"/>
  <c r="BT95" i="35" s="1"/>
  <c r="BS80" i="35"/>
  <c r="BL79" i="1"/>
  <c r="BK78" i="1"/>
  <c r="BK77" i="1" s="1"/>
  <c r="BA167" i="17"/>
  <c r="AV167" i="17"/>
  <c r="AV168" i="17" s="1"/>
  <c r="AV170" i="17" s="1"/>
  <c r="BY26" i="1"/>
  <c r="BY94" i="1" s="1"/>
  <c r="CD23" i="1"/>
  <c r="BF166" i="17" s="1"/>
  <c r="DH7" i="3"/>
  <c r="DH41" i="2" s="1"/>
  <c r="AK96" i="1"/>
  <c r="Y67" i="29"/>
  <c r="DH44" i="1"/>
  <c r="V96" i="1"/>
  <c r="W96" i="1"/>
  <c r="AP96" i="1"/>
  <c r="AQ96" i="1"/>
  <c r="BT13" i="6"/>
  <c r="BF167" i="17" s="1"/>
  <c r="V26" i="6"/>
  <c r="V24" i="6" s="1"/>
  <c r="V29" i="6" s="1"/>
  <c r="BO26" i="13"/>
  <c r="BJ33" i="13"/>
  <c r="AG105" i="17"/>
  <c r="AB104" i="17"/>
  <c r="BF92" i="17"/>
  <c r="BF95" i="17" s="1"/>
  <c r="BF97" i="17" s="1"/>
  <c r="BF99" i="17" s="1"/>
  <c r="BF100" i="17" s="1"/>
  <c r="BA84" i="17"/>
  <c r="BA86" i="17" s="1"/>
  <c r="BA88" i="17" s="1"/>
  <c r="BA89" i="17" s="1"/>
  <c r="BA102" i="17" s="1"/>
  <c r="BY19" i="13" s="1"/>
  <c r="BO105" i="6"/>
  <c r="AV138" i="17"/>
  <c r="BT23" i="13" s="1"/>
  <c r="R4" i="26"/>
  <c r="R6" i="26" s="1"/>
  <c r="R8" i="26" s="1"/>
  <c r="R10" i="26" s="1"/>
  <c r="R18" i="26" s="1"/>
  <c r="BF81" i="17" s="1"/>
  <c r="S2" i="26"/>
  <c r="S4" i="26" s="1"/>
  <c r="S6" i="26" s="1"/>
  <c r="S8" i="26" s="1"/>
  <c r="S10" i="26" s="1"/>
  <c r="S18" i="26" s="1"/>
  <c r="BK81" i="17" s="1"/>
  <c r="Z64" i="29"/>
  <c r="AA66" i="29" s="1"/>
  <c r="AI26" i="29"/>
  <c r="AI14" i="29"/>
  <c r="AI15" i="29" s="1"/>
  <c r="AF49" i="29"/>
  <c r="AE50" i="29"/>
  <c r="W8" i="6"/>
  <c r="W16" i="6" s="1"/>
  <c r="W18" i="6" s="1"/>
  <c r="W20" i="6" s="1"/>
  <c r="W48" i="6" s="1"/>
  <c r="W49" i="6" s="1"/>
  <c r="AA70" i="29"/>
  <c r="AL12" i="29"/>
  <c r="AK13" i="29"/>
  <c r="AG53" i="29"/>
  <c r="AE53" i="29"/>
  <c r="AF53" i="29"/>
  <c r="AH53" i="29"/>
  <c r="U10" i="6"/>
  <c r="U16" i="6"/>
  <c r="V18" i="6"/>
  <c r="H164" i="17" s="1"/>
  <c r="H172" i="17" s="1"/>
  <c r="AE36" i="29"/>
  <c r="AI33" i="29"/>
  <c r="X7" i="6"/>
  <c r="X8" i="6" s="1"/>
  <c r="X16" i="6" s="1"/>
  <c r="X18" i="6" s="1"/>
  <c r="X20" i="6" s="1"/>
  <c r="X48" i="6" s="1"/>
  <c r="X49" i="6" s="1"/>
  <c r="Y5" i="6"/>
  <c r="AC54" i="29"/>
  <c r="AC55" i="29" s="1"/>
  <c r="AC58" i="29" s="1"/>
  <c r="AC64" i="29" s="1"/>
  <c r="AB55" i="29"/>
  <c r="AJ14" i="29"/>
  <c r="AJ15" i="29" s="1"/>
  <c r="AJ26" i="29"/>
  <c r="AJ36" i="29" s="1"/>
  <c r="AK5" i="6" s="1"/>
  <c r="AK6" i="6" s="1"/>
  <c r="CE34" i="17"/>
  <c r="BZ36" i="17"/>
  <c r="BZ38" i="17" s="1"/>
  <c r="CJ20" i="17"/>
  <c r="CJ21" i="17" s="1"/>
  <c r="CJ34" i="17" s="1"/>
  <c r="AJ34" i="16"/>
  <c r="AK35" i="16"/>
  <c r="AZ20" i="16"/>
  <c r="AZ23" i="16" s="1"/>
  <c r="BO16" i="13"/>
  <c r="BT12" i="13"/>
  <c r="CN51" i="6"/>
  <c r="CS1" i="6"/>
  <c r="BY25" i="6"/>
  <c r="BT32" i="6"/>
  <c r="CU44" i="6"/>
  <c r="CU46" i="6" s="1"/>
  <c r="CN19" i="6"/>
  <c r="BZ169" i="17" s="1"/>
  <c r="BT38" i="6"/>
  <c r="BT40" i="6" s="1"/>
  <c r="CT38" i="6"/>
  <c r="CT42" i="6" s="1"/>
  <c r="AB45" i="6"/>
  <c r="AA44" i="6"/>
  <c r="AA46" i="6" s="1"/>
  <c r="CS10" i="6"/>
  <c r="CU40" i="6"/>
  <c r="AM20" i="22"/>
  <c r="AJ31" i="22"/>
  <c r="AK10" i="22"/>
  <c r="AM16" i="22"/>
  <c r="AJ23" i="22"/>
  <c r="AJ25" i="22" s="1"/>
  <c r="AK12" i="22"/>
  <c r="AK23" i="22" s="1"/>
  <c r="AK25" i="22" s="1"/>
  <c r="AK27" i="22" s="1"/>
  <c r="DC6" i="13"/>
  <c r="DH10" i="1"/>
  <c r="AO73" i="1"/>
  <c r="AO75" i="1" s="1"/>
  <c r="AO71" i="1"/>
  <c r="AH71" i="1"/>
  <c r="AH73" i="1"/>
  <c r="AH75" i="1" s="1"/>
  <c r="R48" i="1"/>
  <c r="V47" i="1"/>
  <c r="V48" i="1" s="1"/>
  <c r="AQ73" i="1"/>
  <c r="AQ75" i="1" s="1"/>
  <c r="AQ71" i="1"/>
  <c r="DC33" i="1"/>
  <c r="DH32" i="1"/>
  <c r="DH33" i="1" s="1"/>
  <c r="AL96" i="1"/>
  <c r="AL73" i="1"/>
  <c r="AL75" i="1" s="1"/>
  <c r="AL71" i="1"/>
  <c r="Q96" i="1"/>
  <c r="AA73" i="1"/>
  <c r="AA75" i="1" s="1"/>
  <c r="AA71" i="1"/>
  <c r="BY93" i="1"/>
  <c r="AI73" i="1"/>
  <c r="AI75" i="1" s="1"/>
  <c r="AI71" i="1"/>
  <c r="V73" i="1"/>
  <c r="V75" i="1" s="1"/>
  <c r="V71" i="1"/>
  <c r="CS20" i="1"/>
  <c r="AN96" i="1"/>
  <c r="AN73" i="1"/>
  <c r="AN75" i="1" s="1"/>
  <c r="AN71" i="1"/>
  <c r="AM96" i="1"/>
  <c r="AM73" i="1"/>
  <c r="AM75" i="1" s="1"/>
  <c r="AM71" i="1"/>
  <c r="AG73" i="1"/>
  <c r="AG75" i="1" s="1"/>
  <c r="AG71" i="1"/>
  <c r="AJ71" i="1"/>
  <c r="AJ73" i="1"/>
  <c r="AJ75" i="1" s="1"/>
  <c r="AA96" i="1"/>
  <c r="M5" i="34"/>
  <c r="BA168" i="17" l="1"/>
  <c r="BA170" i="17" s="1"/>
  <c r="CN19" i="1"/>
  <c r="CI21" i="1"/>
  <c r="BY45" i="1"/>
  <c r="BT80" i="35"/>
  <c r="BS5" i="35"/>
  <c r="BS81" i="35"/>
  <c r="BS88" i="35" s="1"/>
  <c r="BV91" i="35"/>
  <c r="BU92" i="35"/>
  <c r="BU95" i="35" s="1"/>
  <c r="AZ19" i="16"/>
  <c r="BE20" i="16" s="1"/>
  <c r="BE23" i="16" s="1"/>
  <c r="BM79" i="1"/>
  <c r="BL78" i="1"/>
  <c r="BL77" i="1" s="1"/>
  <c r="CI23" i="1"/>
  <c r="BK166" i="17" s="1"/>
  <c r="CD26" i="1"/>
  <c r="CD94" i="1" s="1"/>
  <c r="BO33" i="13"/>
  <c r="V101" i="6"/>
  <c r="V102" i="6"/>
  <c r="BF168" i="17"/>
  <c r="BF170" i="17" s="1"/>
  <c r="BY13" i="6"/>
  <c r="BK167" i="17" s="1"/>
  <c r="AD54" i="29"/>
  <c r="AE54" i="29" s="1"/>
  <c r="AF54" i="29" s="1"/>
  <c r="AG54" i="29" s="1"/>
  <c r="AH54" i="29" s="1"/>
  <c r="AH55" i="29" s="1"/>
  <c r="AH6" i="6"/>
  <c r="AI6" i="6"/>
  <c r="BP92" i="17"/>
  <c r="BP95" i="17" s="1"/>
  <c r="BP97" i="17" s="1"/>
  <c r="BP99" i="17" s="1"/>
  <c r="BP100" i="17" s="1"/>
  <c r="BP81" i="17"/>
  <c r="BK84" i="17"/>
  <c r="BK86" i="17" s="1"/>
  <c r="BK88" i="17" s="1"/>
  <c r="BK89" i="17" s="1"/>
  <c r="AL105" i="17"/>
  <c r="AG104" i="17"/>
  <c r="BK92" i="17"/>
  <c r="BK95" i="17" s="1"/>
  <c r="BK97" i="17" s="1"/>
  <c r="BK99" i="17" s="1"/>
  <c r="BK100" i="17" s="1"/>
  <c r="BF84" i="17"/>
  <c r="BF86" i="17" s="1"/>
  <c r="BF88" i="17" s="1"/>
  <c r="BF89" i="17" s="1"/>
  <c r="BF102" i="17" s="1"/>
  <c r="CD19" i="13" s="1"/>
  <c r="BT105" i="6"/>
  <c r="BT26" i="13"/>
  <c r="BA138" i="17"/>
  <c r="BY23" i="13" s="1"/>
  <c r="AB163" i="17"/>
  <c r="AB106" i="17"/>
  <c r="AB110" i="17" s="1"/>
  <c r="V20" i="6"/>
  <c r="V48" i="6" s="1"/>
  <c r="V49" i="6" s="1"/>
  <c r="AB58" i="29"/>
  <c r="AD55" i="29"/>
  <c r="AD58" i="29" s="1"/>
  <c r="Z5" i="6"/>
  <c r="AA5" i="6" s="1"/>
  <c r="Y7" i="6"/>
  <c r="Y8" i="6" s="1"/>
  <c r="Y16" i="6" s="1"/>
  <c r="Y18" i="6" s="1"/>
  <c r="Y20" i="6" s="1"/>
  <c r="Y48" i="6" s="1"/>
  <c r="Y49" i="6" s="1"/>
  <c r="U18" i="6"/>
  <c r="U20" i="6" s="1"/>
  <c r="U48" i="6" s="1"/>
  <c r="U49" i="6" s="1"/>
  <c r="AM12" i="29"/>
  <c r="AM13" i="29" s="1"/>
  <c r="AL13" i="29"/>
  <c r="AC70" i="29"/>
  <c r="AI36" i="29"/>
  <c r="AI39" i="29" s="1"/>
  <c r="AE39" i="29"/>
  <c r="AK26" i="29"/>
  <c r="AK36" i="29" s="1"/>
  <c r="AK14" i="29"/>
  <c r="AK15" i="29" s="1"/>
  <c r="AG49" i="29"/>
  <c r="AF50" i="29"/>
  <c r="Z70" i="29"/>
  <c r="Z66" i="29"/>
  <c r="CJ36" i="17"/>
  <c r="CJ38" i="17" s="1"/>
  <c r="CE36" i="17"/>
  <c r="CE38" i="17" s="1"/>
  <c r="AL35" i="16"/>
  <c r="AK34" i="16"/>
  <c r="AZ50" i="13" s="1"/>
  <c r="AY50" i="13" s="1"/>
  <c r="AY9" i="1" s="1"/>
  <c r="BT16" i="13"/>
  <c r="BY12" i="13"/>
  <c r="CT44" i="6"/>
  <c r="CT46" i="6" s="1"/>
  <c r="BY38" i="6"/>
  <c r="BY40" i="6" s="1"/>
  <c r="CS19" i="6"/>
  <c r="CE169" i="17" s="1"/>
  <c r="CS51" i="6"/>
  <c r="CX1" i="6"/>
  <c r="CX10" i="6"/>
  <c r="AC45" i="6"/>
  <c r="AB44" i="6"/>
  <c r="AB46" i="6" s="1"/>
  <c r="CT40" i="6"/>
  <c r="BY32" i="6"/>
  <c r="CD25" i="6"/>
  <c r="AS31" i="1"/>
  <c r="AR31" i="1"/>
  <c r="AR33" i="1" s="1"/>
  <c r="AU33" i="1" s="1"/>
  <c r="AU31" i="1"/>
  <c r="AK31" i="22"/>
  <c r="AL12" i="22"/>
  <c r="AM14" i="22"/>
  <c r="AM18" i="22"/>
  <c r="DH6" i="13"/>
  <c r="CD93" i="1"/>
  <c r="CX20" i="1"/>
  <c r="N5" i="34"/>
  <c r="CS19" i="1" l="1"/>
  <c r="CN21" i="1"/>
  <c r="AF55" i="29"/>
  <c r="AF58" i="29" s="1"/>
  <c r="CD8" i="6"/>
  <c r="BT5" i="35"/>
  <c r="BU80" i="35"/>
  <c r="BT81" i="35"/>
  <c r="BT88" i="35" s="1"/>
  <c r="BW91" i="35"/>
  <c r="BV92" i="35"/>
  <c r="BV95" i="35" s="1"/>
  <c r="BN79" i="1"/>
  <c r="BM78" i="1"/>
  <c r="BM77" i="1" s="1"/>
  <c r="CN23" i="1"/>
  <c r="BP166" i="17" s="1"/>
  <c r="CI26" i="1"/>
  <c r="CI94" i="1" s="1"/>
  <c r="CD45" i="1"/>
  <c r="V103" i="6"/>
  <c r="V111" i="6" s="1"/>
  <c r="AG55" i="29"/>
  <c r="AE55" i="29"/>
  <c r="AE58" i="29" s="1"/>
  <c r="BT33" i="13"/>
  <c r="AT31" i="1"/>
  <c r="BK168" i="17"/>
  <c r="BK170" i="17" s="1"/>
  <c r="CD13" i="6"/>
  <c r="BP167" i="17" s="1"/>
  <c r="AJ6" i="6"/>
  <c r="BY26" i="13"/>
  <c r="AG163" i="17"/>
  <c r="AG106" i="17"/>
  <c r="AG110" i="17" s="1"/>
  <c r="BK102" i="17"/>
  <c r="CI19" i="13" s="1"/>
  <c r="BU92" i="17"/>
  <c r="BU95" i="17" s="1"/>
  <c r="BU97" i="17" s="1"/>
  <c r="BU99" i="17" s="1"/>
  <c r="BU100" i="17" s="1"/>
  <c r="BP84" i="17"/>
  <c r="BP86" i="17" s="1"/>
  <c r="BP88" i="17" s="1"/>
  <c r="BP89" i="17" s="1"/>
  <c r="BP102" i="17" s="1"/>
  <c r="CN19" i="13" s="1"/>
  <c r="BU81" i="17"/>
  <c r="CD105" i="6"/>
  <c r="AB114" i="17"/>
  <c r="BF138" i="17"/>
  <c r="CD23" i="13" s="1"/>
  <c r="AQ105" i="17"/>
  <c r="AL104" i="17"/>
  <c r="BY105" i="6"/>
  <c r="AM26" i="29"/>
  <c r="AM36" i="29" s="1"/>
  <c r="AM14" i="29"/>
  <c r="AM15" i="29" s="1"/>
  <c r="AH49" i="29"/>
  <c r="AG50" i="29"/>
  <c r="AL5" i="6"/>
  <c r="AO5" i="6"/>
  <c r="AM5" i="6"/>
  <c r="AN5" i="6"/>
  <c r="AL14" i="29"/>
  <c r="AL15" i="29" s="1"/>
  <c r="AL26" i="29"/>
  <c r="AL36" i="29" s="1"/>
  <c r="AB5" i="6"/>
  <c r="Z7" i="6"/>
  <c r="AB64" i="29"/>
  <c r="AD61" i="29"/>
  <c r="AD60" i="29" s="1"/>
  <c r="AI60" i="29" s="1"/>
  <c r="CD12" i="13"/>
  <c r="BY16" i="13"/>
  <c r="AZ9" i="1"/>
  <c r="AL34" i="16"/>
  <c r="AM35" i="16"/>
  <c r="BE19" i="16"/>
  <c r="CI25" i="6"/>
  <c r="CD32" i="6"/>
  <c r="AD45" i="6"/>
  <c r="AC44" i="6"/>
  <c r="AC46" i="6" s="1"/>
  <c r="CX51" i="6"/>
  <c r="CY1" i="6"/>
  <c r="CY51" i="6" s="1"/>
  <c r="CD38" i="6"/>
  <c r="CX19" i="6"/>
  <c r="CJ169" i="17" s="1"/>
  <c r="AN16" i="22"/>
  <c r="AL23" i="22"/>
  <c r="AL25" i="22" s="1"/>
  <c r="AL27" i="22" s="1"/>
  <c r="AN20" i="22"/>
  <c r="AL10" i="22"/>
  <c r="DC20" i="1"/>
  <c r="CI93" i="1"/>
  <c r="O5" i="34"/>
  <c r="CX19" i="1" l="1"/>
  <c r="CS21" i="1"/>
  <c r="CI8" i="6"/>
  <c r="BW92" i="35"/>
  <c r="BW95" i="35" s="1"/>
  <c r="BU5" i="35"/>
  <c r="BV80" i="35"/>
  <c r="BU81" i="35"/>
  <c r="BU88" i="35" s="1"/>
  <c r="BP79" i="1"/>
  <c r="BN78" i="1"/>
  <c r="BN77" i="1" s="1"/>
  <c r="BO77" i="1" s="1"/>
  <c r="CI45" i="1"/>
  <c r="CS23" i="1"/>
  <c r="BU166" i="17" s="1"/>
  <c r="CN26" i="1"/>
  <c r="CN94" i="1" s="1"/>
  <c r="AG58" i="29"/>
  <c r="BP168" i="17"/>
  <c r="BP170" i="17" s="1"/>
  <c r="CI13" i="6"/>
  <c r="BU167" i="17" s="1"/>
  <c r="BY33" i="13"/>
  <c r="CD26" i="13"/>
  <c r="AL163" i="17"/>
  <c r="AL106" i="17"/>
  <c r="AL110" i="17" s="1"/>
  <c r="BP138" i="17"/>
  <c r="CN23" i="13" s="1"/>
  <c r="BK138" i="17"/>
  <c r="CI23" i="13" s="1"/>
  <c r="AV105" i="17"/>
  <c r="AQ104" i="17"/>
  <c r="BZ81" i="17"/>
  <c r="BU84" i="17"/>
  <c r="BU86" i="17" s="1"/>
  <c r="BU88" i="17" s="1"/>
  <c r="BU89" i="17" s="1"/>
  <c r="BU102" i="17" s="1"/>
  <c r="CS19" i="13" s="1"/>
  <c r="BZ92" i="17"/>
  <c r="BZ95" i="17" s="1"/>
  <c r="BZ97" i="17" s="1"/>
  <c r="BZ99" i="17" s="1"/>
  <c r="BZ100" i="17" s="1"/>
  <c r="CI105" i="6"/>
  <c r="AG111" i="17"/>
  <c r="AG114" i="17"/>
  <c r="AB70" i="29"/>
  <c r="AD70" i="29" s="1"/>
  <c r="AB66" i="29"/>
  <c r="AC66" i="29"/>
  <c r="AC5" i="6"/>
  <c r="AD5" i="6" s="1"/>
  <c r="AE5" i="6" s="1"/>
  <c r="AG5" i="6" s="1"/>
  <c r="AB7" i="6"/>
  <c r="AQ5" i="6"/>
  <c r="AT5" i="6"/>
  <c r="AR5" i="6"/>
  <c r="AS5" i="6"/>
  <c r="AZ4" i="13"/>
  <c r="AZ7" i="13" s="1"/>
  <c r="AP11" i="6"/>
  <c r="AI49" i="29"/>
  <c r="AH50" i="29"/>
  <c r="AI54" i="29" s="1"/>
  <c r="AJ54" i="29" s="1"/>
  <c r="AK54" i="29" s="1"/>
  <c r="AL54" i="29" s="1"/>
  <c r="AM54" i="29" s="1"/>
  <c r="AV5" i="6"/>
  <c r="AY5" i="6"/>
  <c r="AW5" i="6"/>
  <c r="AX5" i="6"/>
  <c r="AJ60" i="29"/>
  <c r="AH60" i="29"/>
  <c r="AH61" i="29" s="1"/>
  <c r="AF60" i="29"/>
  <c r="AF61" i="29" s="1"/>
  <c r="AF64" i="29" s="1"/>
  <c r="AF70" i="29" s="1"/>
  <c r="AE60" i="29"/>
  <c r="AE61" i="29" s="1"/>
  <c r="AE64" i="29" s="1"/>
  <c r="AE70" i="29" s="1"/>
  <c r="AG60" i="29"/>
  <c r="AG61" i="29" s="1"/>
  <c r="AI61" i="29"/>
  <c r="Z8" i="6"/>
  <c r="Z16" i="6" s="1"/>
  <c r="Z18" i="6" s="1"/>
  <c r="Z20" i="6" s="1"/>
  <c r="Z48" i="6" s="1"/>
  <c r="Z49" i="6" s="1"/>
  <c r="AA7" i="6"/>
  <c r="AA8" i="6" s="1"/>
  <c r="AA11" i="6" s="1"/>
  <c r="AA16" i="6" s="1"/>
  <c r="AA18" i="6" s="1"/>
  <c r="AD64" i="29"/>
  <c r="AN35" i="16"/>
  <c r="AM34" i="16"/>
  <c r="CD16" i="13"/>
  <c r="CI12" i="13"/>
  <c r="BJ20" i="16"/>
  <c r="BJ23" i="16" s="1"/>
  <c r="AE45" i="6"/>
  <c r="AD44" i="6"/>
  <c r="AD46" i="6" s="1"/>
  <c r="CD40" i="6"/>
  <c r="CI32" i="6"/>
  <c r="CN25" i="6"/>
  <c r="AL31" i="22"/>
  <c r="AM12" i="22"/>
  <c r="AM10" i="22" s="1"/>
  <c r="AN18" i="22"/>
  <c r="AN14" i="22"/>
  <c r="DH20" i="1"/>
  <c r="CN93" i="1"/>
  <c r="P5" i="34"/>
  <c r="AP16" i="6" l="1"/>
  <c r="AP18" i="6" s="1"/>
  <c r="AP20" i="6" s="1"/>
  <c r="AZ13" i="1"/>
  <c r="DC19" i="1"/>
  <c r="CX21" i="1"/>
  <c r="AZ4" i="1"/>
  <c r="AZ6" i="2" s="1"/>
  <c r="AX4" i="13"/>
  <c r="AW4" i="13"/>
  <c r="CN8" i="6"/>
  <c r="BV5" i="35"/>
  <c r="BW80" i="35"/>
  <c r="BV81" i="35"/>
  <c r="BV88" i="35" s="1"/>
  <c r="BJ19" i="16"/>
  <c r="BO20" i="16" s="1"/>
  <c r="BO23" i="16" s="1"/>
  <c r="BQ79" i="1"/>
  <c r="BP78" i="1"/>
  <c r="BP77" i="1" s="1"/>
  <c r="BP48" i="1"/>
  <c r="CN45" i="1"/>
  <c r="CX23" i="1"/>
  <c r="BZ166" i="17" s="1"/>
  <c r="CS26" i="1"/>
  <c r="CS94" i="1" s="1"/>
  <c r="AG64" i="29"/>
  <c r="AG70" i="29" s="1"/>
  <c r="CN13" i="6"/>
  <c r="BZ167" i="17" s="1"/>
  <c r="BU168" i="17"/>
  <c r="BU170" i="17" s="1"/>
  <c r="AF5" i="6"/>
  <c r="AI5" i="6" s="1"/>
  <c r="CD33" i="13"/>
  <c r="CE81" i="17"/>
  <c r="CE92" i="17"/>
  <c r="CE95" i="17" s="1"/>
  <c r="CE97" i="17" s="1"/>
  <c r="CE99" i="17" s="1"/>
  <c r="CE100" i="17" s="1"/>
  <c r="CN105" i="6"/>
  <c r="BZ84" i="17"/>
  <c r="BZ86" i="17" s="1"/>
  <c r="BZ88" i="17" s="1"/>
  <c r="BZ89" i="17" s="1"/>
  <c r="BZ102" i="17" s="1"/>
  <c r="CX19" i="13" s="1"/>
  <c r="BA105" i="17"/>
  <c r="AV104" i="17"/>
  <c r="AL114" i="17"/>
  <c r="AL111" i="17"/>
  <c r="BU138" i="17"/>
  <c r="CS23" i="13" s="1"/>
  <c r="AQ163" i="17"/>
  <c r="AQ106" i="17"/>
  <c r="AQ110" i="17" s="1"/>
  <c r="CI26" i="13"/>
  <c r="CN26" i="13"/>
  <c r="AJ61" i="29"/>
  <c r="AK60" i="29"/>
  <c r="BJ4" i="13"/>
  <c r="AZ11" i="6"/>
  <c r="AJ49" i="29"/>
  <c r="AI50" i="29"/>
  <c r="AD65" i="29"/>
  <c r="AD67" i="29"/>
  <c r="AA20" i="6"/>
  <c r="AA48" i="6" s="1"/>
  <c r="M164" i="17"/>
  <c r="M172" i="17" s="1"/>
  <c r="AH58" i="29"/>
  <c r="AH64" i="29" s="1"/>
  <c r="AH70" i="29" s="1"/>
  <c r="AI53" i="29"/>
  <c r="BE4" i="13"/>
  <c r="AU11" i="6"/>
  <c r="AB8" i="6"/>
  <c r="AC7" i="6"/>
  <c r="AN34" i="16"/>
  <c r="AO35" i="16"/>
  <c r="CI16" i="13"/>
  <c r="CN12" i="13"/>
  <c r="CS25" i="6"/>
  <c r="CN32" i="6"/>
  <c r="CI38" i="6"/>
  <c r="CI40" i="6" s="1"/>
  <c r="AF45" i="6"/>
  <c r="AE44" i="6"/>
  <c r="AE46" i="6" s="1"/>
  <c r="AO20" i="22"/>
  <c r="AP20" i="22" s="1"/>
  <c r="AM31" i="22"/>
  <c r="AN10" i="22"/>
  <c r="AN12" i="22"/>
  <c r="AN23" i="22" s="1"/>
  <c r="AN25" i="22" s="1"/>
  <c r="AN27" i="22" s="1"/>
  <c r="AO16" i="22"/>
  <c r="AP16" i="22" s="1"/>
  <c r="AM23" i="22"/>
  <c r="AM25" i="22" s="1"/>
  <c r="AM27" i="22" s="1"/>
  <c r="CS93" i="1"/>
  <c r="Q5" i="34"/>
  <c r="AV7" i="13" l="1"/>
  <c r="AV4" i="1" s="1"/>
  <c r="AW7" i="13"/>
  <c r="AW4" i="1" s="1"/>
  <c r="AW90" i="1" s="1"/>
  <c r="AX7" i="13"/>
  <c r="AX4" i="1" s="1"/>
  <c r="AY4" i="1"/>
  <c r="AY90" i="1" s="1"/>
  <c r="AY7" i="13"/>
  <c r="BJ7" i="13"/>
  <c r="BJ4" i="1" s="1"/>
  <c r="BE7" i="13"/>
  <c r="BE4" i="1" s="1"/>
  <c r="AZ16" i="6"/>
  <c r="AZ18" i="6" s="1"/>
  <c r="AZ20" i="6" s="1"/>
  <c r="BJ13" i="1"/>
  <c r="DH19" i="1"/>
  <c r="DH21" i="1" s="1"/>
  <c r="DC21" i="1"/>
  <c r="AU16" i="6"/>
  <c r="AU18" i="6" s="1"/>
  <c r="AU20" i="6" s="1"/>
  <c r="BE13" i="1"/>
  <c r="AZ90" i="1"/>
  <c r="AO14" i="22"/>
  <c r="AP14" i="22" s="1"/>
  <c r="BO19" i="16"/>
  <c r="CS45" i="1"/>
  <c r="CS8" i="6"/>
  <c r="BW81" i="35"/>
  <c r="BW88" i="35" s="1"/>
  <c r="BW5" i="35"/>
  <c r="BR79" i="1"/>
  <c r="BQ78" i="1"/>
  <c r="BQ77" i="1" s="1"/>
  <c r="BQ48" i="1"/>
  <c r="DC23" i="1"/>
  <c r="CE166" i="17" s="1"/>
  <c r="CX26" i="1"/>
  <c r="CX94" i="1" s="1"/>
  <c r="AI70" i="29"/>
  <c r="CS13" i="6"/>
  <c r="CE167" i="17" s="1"/>
  <c r="BZ168" i="17"/>
  <c r="BZ170" i="17" s="1"/>
  <c r="AH5" i="6"/>
  <c r="AJ5" i="6" s="1"/>
  <c r="CS26" i="13"/>
  <c r="AV163" i="17"/>
  <c r="AV106" i="17"/>
  <c r="AV110" i="17" s="1"/>
  <c r="CX23" i="13"/>
  <c r="CI33" i="13"/>
  <c r="AQ114" i="17"/>
  <c r="AQ111" i="17"/>
  <c r="BF105" i="17"/>
  <c r="BA104" i="17"/>
  <c r="CJ92" i="17"/>
  <c r="CJ95" i="17" s="1"/>
  <c r="CJ97" i="17" s="1"/>
  <c r="CJ99" i="17" s="1"/>
  <c r="CJ100" i="17" s="1"/>
  <c r="CS105" i="6"/>
  <c r="CJ81" i="17"/>
  <c r="CE84" i="17"/>
  <c r="CE86" i="17" s="1"/>
  <c r="CE88" i="17" s="1"/>
  <c r="CE89" i="17" s="1"/>
  <c r="CE102" i="17" s="1"/>
  <c r="DC19" i="13" s="1"/>
  <c r="AD7" i="6"/>
  <c r="AC8" i="6"/>
  <c r="AI55" i="29"/>
  <c r="AJ55" i="29" s="1"/>
  <c r="AK55" i="29" s="1"/>
  <c r="AL55" i="29" s="1"/>
  <c r="AM55" i="29" s="1"/>
  <c r="AJ53" i="29"/>
  <c r="AK53" i="29" s="1"/>
  <c r="AL53" i="29" s="1"/>
  <c r="AM53" i="29" s="1"/>
  <c r="AA49" i="6"/>
  <c r="AA52" i="6"/>
  <c r="AZ13" i="3"/>
  <c r="AZ12" i="3" s="1"/>
  <c r="AK49" i="29"/>
  <c r="AJ50" i="29"/>
  <c r="BO4" i="13"/>
  <c r="BE11" i="6"/>
  <c r="AL60" i="29"/>
  <c r="AK61" i="29"/>
  <c r="AB10" i="6"/>
  <c r="AB16" i="6"/>
  <c r="BT20" i="16"/>
  <c r="BT23" i="16" s="1"/>
  <c r="CN16" i="13"/>
  <c r="CN33" i="13" s="1"/>
  <c r="CS12" i="13"/>
  <c r="AP35" i="16"/>
  <c r="AO34" i="16"/>
  <c r="AG45" i="6"/>
  <c r="AF44" i="6"/>
  <c r="AF46" i="6" s="1"/>
  <c r="CN38" i="6"/>
  <c r="CX25" i="6"/>
  <c r="CS32" i="6"/>
  <c r="AQ16" i="22"/>
  <c r="AN31" i="22"/>
  <c r="AO12" i="22"/>
  <c r="AO10" i="22" s="1"/>
  <c r="AO18" i="22"/>
  <c r="AP18" i="22" s="1"/>
  <c r="CX93" i="1"/>
  <c r="R5" i="34"/>
  <c r="AX82" i="1" l="1"/>
  <c r="AX90" i="1"/>
  <c r="AV90" i="1"/>
  <c r="AV82" i="1"/>
  <c r="AW82" i="1"/>
  <c r="BE6" i="2"/>
  <c r="BE13" i="3" s="1"/>
  <c r="BE12" i="3" s="1"/>
  <c r="BE90" i="1"/>
  <c r="BJ90" i="1"/>
  <c r="BJ6" i="2"/>
  <c r="BO7" i="13"/>
  <c r="BO4" i="1" s="1"/>
  <c r="BE16" i="6"/>
  <c r="BE18" i="6" s="1"/>
  <c r="BE20" i="6" s="1"/>
  <c r="BO13" i="1"/>
  <c r="CX8" i="6"/>
  <c r="BT19" i="16"/>
  <c r="BR78" i="1"/>
  <c r="BR77" i="1" s="1"/>
  <c r="BS79" i="1"/>
  <c r="BR48" i="1"/>
  <c r="DH23" i="1"/>
  <c r="DH26" i="1" s="1"/>
  <c r="DC26" i="1"/>
  <c r="DC94" i="1" s="1"/>
  <c r="CX45" i="1"/>
  <c r="CE168" i="17"/>
  <c r="CE170" i="17" s="1"/>
  <c r="DH93" i="1"/>
  <c r="CX13" i="6"/>
  <c r="CJ167" i="17" s="1"/>
  <c r="AI58" i="29"/>
  <c r="AI64" i="29" s="1"/>
  <c r="AI67" i="29" s="1"/>
  <c r="CX26" i="13"/>
  <c r="AJ58" i="29"/>
  <c r="AJ64" i="29" s="1"/>
  <c r="AJ70" i="29" s="1"/>
  <c r="DC23" i="13"/>
  <c r="BA163" i="17"/>
  <c r="BA106" i="17"/>
  <c r="BA110" i="17" s="1"/>
  <c r="AV114" i="17"/>
  <c r="AV111" i="17"/>
  <c r="CJ84" i="17"/>
  <c r="CJ86" i="17" s="1"/>
  <c r="CJ88" i="17" s="1"/>
  <c r="CJ89" i="17" s="1"/>
  <c r="CJ102" i="17" s="1"/>
  <c r="DH19" i="13" s="1"/>
  <c r="CX105" i="6"/>
  <c r="BK105" i="17"/>
  <c r="BF104" i="17"/>
  <c r="BT4" i="13"/>
  <c r="BJ11" i="6"/>
  <c r="AL49" i="29"/>
  <c r="AK50" i="29"/>
  <c r="AK58" i="29" s="1"/>
  <c r="AK64" i="29" s="1"/>
  <c r="AE7" i="6"/>
  <c r="AD8" i="6"/>
  <c r="AB18" i="6"/>
  <c r="AB20" i="6" s="1"/>
  <c r="AB48" i="6" s="1"/>
  <c r="AB49" i="6" s="1"/>
  <c r="AM60" i="29"/>
  <c r="AM61" i="29" s="1"/>
  <c r="AL61" i="29"/>
  <c r="AC10" i="6"/>
  <c r="AC16" i="6"/>
  <c r="AP34" i="16"/>
  <c r="BE50" i="13" s="1"/>
  <c r="AQ35" i="16"/>
  <c r="BY20" i="16"/>
  <c r="BY23" i="16" s="1"/>
  <c r="CS16" i="13"/>
  <c r="CS33" i="13" s="1"/>
  <c r="CX12" i="13"/>
  <c r="CX32" i="6"/>
  <c r="CN40" i="6"/>
  <c r="AH45" i="6"/>
  <c r="AG44" i="6"/>
  <c r="AG46" i="6" s="1"/>
  <c r="AG48" i="6" s="1"/>
  <c r="AQ20" i="22"/>
  <c r="AO31" i="22"/>
  <c r="AP10" i="22"/>
  <c r="AO23" i="22"/>
  <c r="AO25" i="22" s="1"/>
  <c r="AO27" i="22" s="1"/>
  <c r="AP12" i="22"/>
  <c r="AP23" i="22" s="1"/>
  <c r="AP25" i="22" s="1"/>
  <c r="AP27" i="22" s="1"/>
  <c r="AZ30" i="1" s="1"/>
  <c r="AQ14" i="22"/>
  <c r="DC93" i="1"/>
  <c r="S5" i="34"/>
  <c r="AU13" i="1"/>
  <c r="AT92" i="1" s="1"/>
  <c r="BJ13" i="3" l="1"/>
  <c r="BJ12" i="3" s="1"/>
  <c r="BO90" i="1"/>
  <c r="BO6" i="2"/>
  <c r="BO13" i="3" s="1"/>
  <c r="BO12" i="3" s="1"/>
  <c r="BT7" i="13"/>
  <c r="BT4" i="1" s="1"/>
  <c r="BJ16" i="6"/>
  <c r="BJ18" i="6" s="1"/>
  <c r="BJ20" i="6" s="1"/>
  <c r="BT13" i="1"/>
  <c r="AZ31" i="1"/>
  <c r="AZ33" i="1" s="1"/>
  <c r="AY30" i="1"/>
  <c r="AY31" i="1" s="1"/>
  <c r="AY33" i="1" s="1"/>
  <c r="CJ166" i="17"/>
  <c r="CJ168" i="17" s="1"/>
  <c r="CJ170" i="17" s="1"/>
  <c r="BY19" i="16"/>
  <c r="DC45" i="1"/>
  <c r="DH45" i="1"/>
  <c r="BS48" i="1"/>
  <c r="BS78" i="1"/>
  <c r="BS77" i="1" s="1"/>
  <c r="BT77" i="1" s="1"/>
  <c r="BU79" i="1"/>
  <c r="DH94" i="1"/>
  <c r="AJ67" i="29"/>
  <c r="AI65" i="29"/>
  <c r="BP105" i="17"/>
  <c r="BK104" i="17"/>
  <c r="DH23" i="13"/>
  <c r="BF163" i="17"/>
  <c r="BF106" i="17"/>
  <c r="BF110" i="17" s="1"/>
  <c r="BA114" i="17"/>
  <c r="BA111" i="17"/>
  <c r="DC26" i="13"/>
  <c r="AG49" i="6"/>
  <c r="AD16" i="6"/>
  <c r="AD10" i="6"/>
  <c r="AM49" i="29"/>
  <c r="AM50" i="29" s="1"/>
  <c r="AM58" i="29" s="1"/>
  <c r="AM64" i="29" s="1"/>
  <c r="AL50" i="29"/>
  <c r="AL58" i="29" s="1"/>
  <c r="AL64" i="29" s="1"/>
  <c r="AC18" i="6"/>
  <c r="AC20" i="6" s="1"/>
  <c r="AC48" i="6" s="1"/>
  <c r="AC49" i="6" s="1"/>
  <c r="AG7" i="6"/>
  <c r="AE8" i="6"/>
  <c r="AF7" i="6"/>
  <c r="AK67" i="29"/>
  <c r="AK70" i="29"/>
  <c r="BY4" i="13"/>
  <c r="BO11" i="6"/>
  <c r="BE9" i="1"/>
  <c r="CX16" i="13"/>
  <c r="CX33" i="13" s="1"/>
  <c r="DC12" i="13"/>
  <c r="AR35" i="16"/>
  <c r="AQ34" i="16"/>
  <c r="AI45" i="6"/>
  <c r="CS38" i="6"/>
  <c r="CS40" i="6" s="1"/>
  <c r="AR16" i="22"/>
  <c r="AP31" i="22"/>
  <c r="AQ12" i="22"/>
  <c r="AQ10" i="22" s="1"/>
  <c r="AQ18" i="22"/>
  <c r="AU92" i="1"/>
  <c r="BT90" i="1" l="1"/>
  <c r="BT6" i="2"/>
  <c r="BT13" i="3" s="1"/>
  <c r="BT12" i="3" s="1"/>
  <c r="BY7" i="13"/>
  <c r="BY4" i="1" s="1"/>
  <c r="BO16" i="6"/>
  <c r="BO18" i="6" s="1"/>
  <c r="BO20" i="6" s="1"/>
  <c r="BY13" i="1"/>
  <c r="BV79" i="1"/>
  <c r="BU48" i="1"/>
  <c r="BU78" i="1"/>
  <c r="BU77" i="1" s="1"/>
  <c r="BF111" i="17"/>
  <c r="BF114" i="17"/>
  <c r="BK163" i="17"/>
  <c r="BK106" i="17"/>
  <c r="BK110" i="17" s="1"/>
  <c r="DH26" i="13"/>
  <c r="BU105" i="17"/>
  <c r="BP104" i="17"/>
  <c r="AE10" i="6"/>
  <c r="AE16" i="6"/>
  <c r="AM67" i="29"/>
  <c r="AM70" i="29"/>
  <c r="AD18" i="6"/>
  <c r="AD20" i="6" s="1"/>
  <c r="AD48" i="6" s="1"/>
  <c r="AD49" i="6" s="1"/>
  <c r="CD4" i="13"/>
  <c r="BT11" i="6"/>
  <c r="AH7" i="6"/>
  <c r="AF8" i="6"/>
  <c r="AI7" i="6"/>
  <c r="AL70" i="29"/>
  <c r="AL67" i="29"/>
  <c r="AR34" i="16"/>
  <c r="AS35" i="16"/>
  <c r="DH12" i="13"/>
  <c r="DH16" i="13" s="1"/>
  <c r="DC16" i="13"/>
  <c r="DC33" i="13" s="1"/>
  <c r="CX38" i="6"/>
  <c r="AJ45" i="6"/>
  <c r="AQ31" i="22"/>
  <c r="AR12" i="22"/>
  <c r="AR10" i="22" s="1"/>
  <c r="AR20" i="22"/>
  <c r="AQ23" i="22"/>
  <c r="AQ25" i="22" s="1"/>
  <c r="AQ27" i="22" s="1"/>
  <c r="AR14" i="22"/>
  <c r="BY6" i="2" l="1"/>
  <c r="BY13" i="3" s="1"/>
  <c r="BY12" i="3" s="1"/>
  <c r="BY90" i="1"/>
  <c r="CD7" i="13"/>
  <c r="CD4" i="1" s="1"/>
  <c r="BT16" i="6"/>
  <c r="BT18" i="6" s="1"/>
  <c r="BT20" i="6" s="1"/>
  <c r="CD13" i="1"/>
  <c r="BV78" i="1"/>
  <c r="BV77" i="1" s="1"/>
  <c r="BW79" i="1"/>
  <c r="BV48" i="1"/>
  <c r="AJ7" i="6"/>
  <c r="DH33" i="13"/>
  <c r="BZ105" i="17"/>
  <c r="BU104" i="17"/>
  <c r="BK114" i="17"/>
  <c r="BK111" i="17"/>
  <c r="BP163" i="17"/>
  <c r="BP106" i="17"/>
  <c r="BP110" i="17" s="1"/>
  <c r="AF16" i="6"/>
  <c r="AF18" i="6" s="1"/>
  <c r="AF10" i="6"/>
  <c r="AE18" i="6"/>
  <c r="AE20" i="6" s="1"/>
  <c r="AE48" i="6" s="1"/>
  <c r="AE49" i="6" s="1"/>
  <c r="CI4" i="13"/>
  <c r="BY11" i="6"/>
  <c r="AT35" i="16"/>
  <c r="AS34" i="16"/>
  <c r="AK45" i="6"/>
  <c r="CX40" i="6"/>
  <c r="AR31" i="22"/>
  <c r="AS12" i="22"/>
  <c r="AS16" i="22"/>
  <c r="AR18" i="22"/>
  <c r="AR23" i="22"/>
  <c r="AR25" i="22" s="1"/>
  <c r="AR27" i="22" s="1"/>
  <c r="CD6" i="2" l="1"/>
  <c r="CD13" i="3" s="1"/>
  <c r="CD12" i="3" s="1"/>
  <c r="CD90" i="1"/>
  <c r="CI7" i="13"/>
  <c r="CI4" i="1" s="1"/>
  <c r="BY16" i="6"/>
  <c r="BY18" i="6" s="1"/>
  <c r="BY20" i="6" s="1"/>
  <c r="CI13" i="1"/>
  <c r="BX79" i="1"/>
  <c r="BW78" i="1"/>
  <c r="BW77" i="1" s="1"/>
  <c r="BW48" i="1"/>
  <c r="BP114" i="17"/>
  <c r="BP111" i="17"/>
  <c r="BU163" i="17"/>
  <c r="BU106" i="17"/>
  <c r="BU110" i="17" s="1"/>
  <c r="CE105" i="17"/>
  <c r="BZ104" i="17"/>
  <c r="CN4" i="13"/>
  <c r="CD11" i="6"/>
  <c r="AF20" i="6"/>
  <c r="AF48" i="6" s="1"/>
  <c r="R164" i="17"/>
  <c r="R172" i="17" s="1"/>
  <c r="AT34" i="16"/>
  <c r="AU35" i="16"/>
  <c r="AU34" i="16" s="1"/>
  <c r="BJ50" i="13" s="1"/>
  <c r="AL45" i="6"/>
  <c r="AS20" i="22"/>
  <c r="AS23" i="22" s="1"/>
  <c r="AS25" i="22" s="1"/>
  <c r="AS27" i="22" s="1"/>
  <c r="AS14" i="22"/>
  <c r="AS10" i="22"/>
  <c r="AA26" i="6"/>
  <c r="CI6" i="2" l="1"/>
  <c r="CI13" i="3" s="1"/>
  <c r="CI12" i="3" s="1"/>
  <c r="CI90" i="1"/>
  <c r="CN7" i="13"/>
  <c r="CN4" i="1" s="1"/>
  <c r="CD16" i="6"/>
  <c r="CD18" i="6" s="1"/>
  <c r="CD20" i="6" s="1"/>
  <c r="CN13" i="1"/>
  <c r="AS18" i="22"/>
  <c r="BZ79" i="1"/>
  <c r="BX78" i="1"/>
  <c r="BX77" i="1" s="1"/>
  <c r="BY77" i="1" s="1"/>
  <c r="BX48" i="1"/>
  <c r="BZ163" i="17"/>
  <c r="BZ106" i="17"/>
  <c r="BZ110" i="17" s="1"/>
  <c r="BU114" i="17"/>
  <c r="BU111" i="17"/>
  <c r="CJ105" i="17"/>
  <c r="CJ104" i="17" s="1"/>
  <c r="CE104" i="17"/>
  <c r="AA102" i="6"/>
  <c r="AA101" i="6"/>
  <c r="AA24" i="6"/>
  <c r="AA29" i="6" s="1"/>
  <c r="AF52" i="6"/>
  <c r="AF49" i="6"/>
  <c r="CS4" i="13"/>
  <c r="CI11" i="6"/>
  <c r="BJ9" i="1"/>
  <c r="AM45" i="6"/>
  <c r="AL44" i="6"/>
  <c r="AL46" i="6" s="1"/>
  <c r="AL48" i="6" s="1"/>
  <c r="AT16" i="22"/>
  <c r="AU16" i="22" s="1"/>
  <c r="AT20" i="22"/>
  <c r="AT18" i="22" s="1"/>
  <c r="AU18" i="22" s="1"/>
  <c r="AS31" i="22"/>
  <c r="AT12" i="22"/>
  <c r="AT10" i="22" s="1"/>
  <c r="AU20" i="22"/>
  <c r="CN6" i="2" l="1"/>
  <c r="CN13" i="3" s="1"/>
  <c r="CN12" i="3" s="1"/>
  <c r="CN90" i="1"/>
  <c r="CS7" i="13"/>
  <c r="CS4" i="1" s="1"/>
  <c r="CI16" i="6"/>
  <c r="CI18" i="6" s="1"/>
  <c r="CI20" i="6" s="1"/>
  <c r="CS13" i="1"/>
  <c r="BZ78" i="1"/>
  <c r="BZ77" i="1" s="1"/>
  <c r="CA79" i="1"/>
  <c r="BZ48" i="1"/>
  <c r="CE163" i="17"/>
  <c r="CE106" i="17"/>
  <c r="CE110" i="17" s="1"/>
  <c r="BZ111" i="17"/>
  <c r="BZ114" i="17"/>
  <c r="CJ163" i="17"/>
  <c r="CJ106" i="17"/>
  <c r="CJ110" i="17" s="1"/>
  <c r="AA103" i="6"/>
  <c r="AA111" i="6" s="1"/>
  <c r="CX4" i="13"/>
  <c r="CN11" i="6"/>
  <c r="AN45" i="6"/>
  <c r="AM44" i="6"/>
  <c r="AM46" i="6" s="1"/>
  <c r="AM48" i="6" s="1"/>
  <c r="AV20" i="22"/>
  <c r="AU10" i="22"/>
  <c r="AT23" i="22"/>
  <c r="AT25" i="22" s="1"/>
  <c r="AT27" i="22" s="1"/>
  <c r="AU12" i="22"/>
  <c r="AU23" i="22" s="1"/>
  <c r="AU25" i="22" s="1"/>
  <c r="AU27" i="22" s="1"/>
  <c r="BE30" i="1" s="1"/>
  <c r="BE31" i="1" s="1"/>
  <c r="BE33" i="1" s="1"/>
  <c r="AT14" i="22"/>
  <c r="AU14" i="22" s="1"/>
  <c r="CS90" i="1" l="1"/>
  <c r="CS6" i="2"/>
  <c r="CS13" i="3" s="1"/>
  <c r="CS12" i="3" s="1"/>
  <c r="CX7" i="13"/>
  <c r="CX4" i="1" s="1"/>
  <c r="CN16" i="6"/>
  <c r="CN18" i="6" s="1"/>
  <c r="CN20" i="6" s="1"/>
  <c r="CX13" i="1"/>
  <c r="CA78" i="1"/>
  <c r="CA77" i="1" s="1"/>
  <c r="CB79" i="1"/>
  <c r="CA48" i="1"/>
  <c r="CJ114" i="17"/>
  <c r="CJ111" i="17"/>
  <c r="CE114" i="17"/>
  <c r="CE111" i="17"/>
  <c r="DC4" i="13"/>
  <c r="CS11" i="6"/>
  <c r="AO45" i="6"/>
  <c r="AN44" i="6"/>
  <c r="AN46" i="6" s="1"/>
  <c r="AN48" i="6" s="1"/>
  <c r="AU31" i="22"/>
  <c r="AV10" i="22"/>
  <c r="AV12" i="22"/>
  <c r="AV16" i="22"/>
  <c r="AT31" i="22"/>
  <c r="AV18" i="22"/>
  <c r="CX90" i="1" l="1"/>
  <c r="CX6" i="2"/>
  <c r="CX13" i="3" s="1"/>
  <c r="CX12" i="3" s="1"/>
  <c r="DC7" i="13"/>
  <c r="DC4" i="1" s="1"/>
  <c r="CS16" i="6"/>
  <c r="CS18" i="6" s="1"/>
  <c r="CS20" i="6" s="1"/>
  <c r="DC13" i="1"/>
  <c r="CC79" i="1"/>
  <c r="CB48" i="1"/>
  <c r="CB78" i="1"/>
  <c r="CB77" i="1" s="1"/>
  <c r="AH101" i="6"/>
  <c r="AH103" i="6" s="1"/>
  <c r="AH24" i="6"/>
  <c r="AH28" i="6" s="1"/>
  <c r="DH4" i="13"/>
  <c r="CX11" i="6"/>
  <c r="AI101" i="6"/>
  <c r="AI103" i="6" s="1"/>
  <c r="AI24" i="6"/>
  <c r="AP45" i="6"/>
  <c r="AO44" i="6"/>
  <c r="AO46" i="6" s="1"/>
  <c r="AO48" i="6" s="1"/>
  <c r="AW20" i="22"/>
  <c r="AW12" i="22"/>
  <c r="AV14" i="22"/>
  <c r="AV31" i="22" s="1"/>
  <c r="AV23" i="22"/>
  <c r="AV25" i="22" s="1"/>
  <c r="AV27" i="22" s="1"/>
  <c r="DC6" i="2" l="1"/>
  <c r="DC13" i="3" s="1"/>
  <c r="DC12" i="3" s="1"/>
  <c r="DC90" i="1"/>
  <c r="DH7" i="13"/>
  <c r="DH4" i="1" s="1"/>
  <c r="CX16" i="6"/>
  <c r="CX18" i="6" s="1"/>
  <c r="CX20" i="6" s="1"/>
  <c r="DH13" i="1"/>
  <c r="CE79" i="1"/>
  <c r="CC78" i="1"/>
  <c r="CC77" i="1" s="1"/>
  <c r="CD77" i="1" s="1"/>
  <c r="CC48" i="1"/>
  <c r="AI107" i="6"/>
  <c r="AS82" i="1" s="1"/>
  <c r="AI111" i="6"/>
  <c r="AH44" i="6"/>
  <c r="AH46" i="6" s="1"/>
  <c r="AH48" i="6" s="1"/>
  <c r="AH49" i="6" s="1"/>
  <c r="AI44" i="6"/>
  <c r="AI46" i="6" s="1"/>
  <c r="AH107" i="6"/>
  <c r="AH111" i="6"/>
  <c r="AQ45" i="6"/>
  <c r="AW14" i="22"/>
  <c r="AW16" i="22"/>
  <c r="AW10" i="22"/>
  <c r="AW18" i="22"/>
  <c r="DH6" i="2" l="1"/>
  <c r="DH13" i="3" s="1"/>
  <c r="DH12" i="3" s="1"/>
  <c r="DH90" i="1"/>
  <c r="AS40" i="13"/>
  <c r="CE48" i="1"/>
  <c r="CE78" i="1"/>
  <c r="CE77" i="1" s="1"/>
  <c r="CF79" i="1"/>
  <c r="AR82" i="1"/>
  <c r="AR40" i="13"/>
  <c r="AR45" i="6"/>
  <c r="AQ44" i="6"/>
  <c r="AQ46" i="6" s="1"/>
  <c r="AQ48" i="6" s="1"/>
  <c r="AW31" i="22"/>
  <c r="AX10" i="22"/>
  <c r="AX12" i="22"/>
  <c r="AX16" i="22"/>
  <c r="AX14" i="22" s="1"/>
  <c r="AX18" i="22"/>
  <c r="AX20" i="22"/>
  <c r="AW23" i="22"/>
  <c r="AW25" i="22" s="1"/>
  <c r="AW27" i="22" s="1"/>
  <c r="AS7" i="1" l="1"/>
  <c r="CF48" i="1"/>
  <c r="CF78" i="1"/>
  <c r="CF77" i="1" s="1"/>
  <c r="CG79" i="1"/>
  <c r="AR7" i="1"/>
  <c r="AS45" i="6"/>
  <c r="AR44" i="6"/>
  <c r="AR46" i="6" s="1"/>
  <c r="AR48" i="6" s="1"/>
  <c r="AY20" i="22"/>
  <c r="AY18" i="22" s="1"/>
  <c r="AZ18" i="22" s="1"/>
  <c r="AY16" i="22"/>
  <c r="AZ16" i="22" s="1"/>
  <c r="AX31" i="22"/>
  <c r="AY12" i="22"/>
  <c r="AY10" i="22" s="1"/>
  <c r="AZ20" i="22"/>
  <c r="AX23" i="22"/>
  <c r="AX25" i="22" s="1"/>
  <c r="AX27" i="22" s="1"/>
  <c r="AZ12" i="22" l="1"/>
  <c r="AZ23" i="22" s="1"/>
  <c r="AZ25" i="22" s="1"/>
  <c r="AZ27" i="22" s="1"/>
  <c r="BJ30" i="1" s="1"/>
  <c r="BJ31" i="1" s="1"/>
  <c r="BJ33" i="1" s="1"/>
  <c r="CH79" i="1"/>
  <c r="CG78" i="1"/>
  <c r="CG77" i="1" s="1"/>
  <c r="CG48" i="1"/>
  <c r="AT45" i="6"/>
  <c r="AS44" i="6"/>
  <c r="AS46" i="6" s="1"/>
  <c r="AS48" i="6" s="1"/>
  <c r="AZ10" i="22"/>
  <c r="AY23" i="22"/>
  <c r="AY25" i="22" s="1"/>
  <c r="AY27" i="22" s="1"/>
  <c r="AY14" i="22"/>
  <c r="AZ14" i="22" s="1"/>
  <c r="BE6" i="1"/>
  <c r="BJ6" i="1"/>
  <c r="AZ6" i="1"/>
  <c r="CH78" i="1" l="1"/>
  <c r="CH77" i="1" s="1"/>
  <c r="CI77" i="1" s="1"/>
  <c r="CJ79" i="1"/>
  <c r="CH48" i="1"/>
  <c r="AU45" i="6"/>
  <c r="AT44" i="6"/>
  <c r="AT46" i="6" s="1"/>
  <c r="AT48" i="6" s="1"/>
  <c r="AZ31" i="22"/>
  <c r="AY31" i="22"/>
  <c r="CK79" i="1" l="1"/>
  <c r="CJ78" i="1"/>
  <c r="CJ77" i="1" s="1"/>
  <c r="CJ48" i="1"/>
  <c r="AV45" i="6"/>
  <c r="BO6" i="1"/>
  <c r="CL79" i="1" l="1"/>
  <c r="CK78" i="1"/>
  <c r="CK77" i="1" s="1"/>
  <c r="CK48" i="1"/>
  <c r="AW45" i="6"/>
  <c r="AV44" i="6"/>
  <c r="AV46" i="6" s="1"/>
  <c r="AV48" i="6" s="1"/>
  <c r="BT6" i="1"/>
  <c r="CM79" i="1" l="1"/>
  <c r="CL78" i="1"/>
  <c r="CL77" i="1" s="1"/>
  <c r="CL48" i="1"/>
  <c r="AX45" i="6"/>
  <c r="AW44" i="6"/>
  <c r="AW46" i="6" s="1"/>
  <c r="AW48" i="6" s="1"/>
  <c r="BY6" i="1"/>
  <c r="CO79" i="1" l="1"/>
  <c r="CM78" i="1"/>
  <c r="CM77" i="1" s="1"/>
  <c r="CN77" i="1" s="1"/>
  <c r="CM48" i="1"/>
  <c r="AY45" i="6"/>
  <c r="AX44" i="6"/>
  <c r="AX46" i="6" s="1"/>
  <c r="AX48" i="6" s="1"/>
  <c r="CI6" i="1"/>
  <c r="CD6" i="1"/>
  <c r="CO78" i="1" l="1"/>
  <c r="CO77" i="1" s="1"/>
  <c r="CO48" i="1"/>
  <c r="CP79" i="1"/>
  <c r="AZ45" i="6"/>
  <c r="AY44" i="6"/>
  <c r="AY46" i="6" s="1"/>
  <c r="AY48" i="6" s="1"/>
  <c r="CN6" i="1"/>
  <c r="CQ79" i="1" l="1"/>
  <c r="CP78" i="1"/>
  <c r="CP77" i="1" s="1"/>
  <c r="CP48" i="1"/>
  <c r="BE45" i="6"/>
  <c r="AY13" i="1"/>
  <c r="CS6" i="1"/>
  <c r="CX6" i="1"/>
  <c r="AY92" i="1" l="1"/>
  <c r="CQ78" i="1"/>
  <c r="CQ77" i="1" s="1"/>
  <c r="CQ48" i="1"/>
  <c r="CR79" i="1"/>
  <c r="BJ45" i="6"/>
  <c r="BE92" i="1"/>
  <c r="AZ92" i="1"/>
  <c r="DC6" i="1"/>
  <c r="CR78" i="1" l="1"/>
  <c r="CR77" i="1" s="1"/>
  <c r="CS77" i="1" s="1"/>
  <c r="CT79" i="1"/>
  <c r="CR48" i="1"/>
  <c r="BO45" i="6"/>
  <c r="BJ92" i="1"/>
  <c r="CT48" i="1" l="1"/>
  <c r="CU79" i="1"/>
  <c r="CT78" i="1"/>
  <c r="CT77" i="1" s="1"/>
  <c r="BT45" i="6"/>
  <c r="BO92" i="1"/>
  <c r="DH6" i="1"/>
  <c r="CU78" i="1" l="1"/>
  <c r="CU77" i="1" s="1"/>
  <c r="CU48" i="1"/>
  <c r="CV79" i="1"/>
  <c r="BY45" i="6"/>
  <c r="BT92" i="1"/>
  <c r="CW79" i="1" l="1"/>
  <c r="CV78" i="1"/>
  <c r="CV77" i="1" s="1"/>
  <c r="CV48" i="1"/>
  <c r="CD45" i="6"/>
  <c r="BY92" i="1"/>
  <c r="CW48" i="1" l="1"/>
  <c r="CY79" i="1"/>
  <c r="CW78" i="1"/>
  <c r="CW77" i="1" s="1"/>
  <c r="CX77" i="1" s="1"/>
  <c r="CI45" i="6"/>
  <c r="CD92" i="1"/>
  <c r="CY78" i="1" l="1"/>
  <c r="CY77" i="1" s="1"/>
  <c r="CZ79" i="1"/>
  <c r="CY48" i="1"/>
  <c r="CN45" i="6"/>
  <c r="CI92" i="1"/>
  <c r="CZ48" i="1" l="1"/>
  <c r="DA79" i="1"/>
  <c r="CZ78" i="1"/>
  <c r="CZ77" i="1" s="1"/>
  <c r="CS45" i="6"/>
  <c r="CN92" i="1"/>
  <c r="DB79" i="1" l="1"/>
  <c r="DA78" i="1"/>
  <c r="DA77" i="1" s="1"/>
  <c r="DA48" i="1"/>
  <c r="CX45" i="6"/>
  <c r="CS92" i="1"/>
  <c r="DB48" i="1" l="1"/>
  <c r="DD79" i="1"/>
  <c r="DB78" i="1"/>
  <c r="DB77" i="1" s="1"/>
  <c r="DC77" i="1" s="1"/>
  <c r="CX92" i="1"/>
  <c r="DE79" i="1" l="1"/>
  <c r="DD48" i="1"/>
  <c r="DD78" i="1"/>
  <c r="DD77" i="1" s="1"/>
  <c r="DC92" i="1"/>
  <c r="DF79" i="1" l="1"/>
  <c r="DE78" i="1"/>
  <c r="DE77" i="1" s="1"/>
  <c r="DE48" i="1"/>
  <c r="DH92" i="1"/>
  <c r="DF48" i="1" l="1"/>
  <c r="DG79" i="1"/>
  <c r="DF78" i="1"/>
  <c r="DF77" i="1" s="1"/>
  <c r="DG48" i="1" l="1"/>
  <c r="DG78" i="1"/>
  <c r="DG77" i="1" s="1"/>
  <c r="DH77" i="1" s="1"/>
  <c r="BJ22" i="35" l="1"/>
  <c r="BJ23" i="35" l="1"/>
  <c r="BJ27" i="35" s="1"/>
  <c r="BJ95" i="35"/>
  <c r="BK22" i="35"/>
  <c r="BK6" i="35" s="1"/>
  <c r="BK3" i="35" l="1"/>
  <c r="AP26" i="6"/>
  <c r="BK7" i="35"/>
  <c r="AK26" i="6"/>
  <c r="BJ7" i="35"/>
  <c r="BJ3" i="35" s="1"/>
  <c r="BL22" i="35"/>
  <c r="BL6" i="35" s="1"/>
  <c r="BK23" i="35"/>
  <c r="BK27" i="35" s="1"/>
  <c r="AU26" i="6" l="1"/>
  <c r="BL7" i="35"/>
  <c r="AK24" i="6"/>
  <c r="AK101" i="6"/>
  <c r="AK103" i="6" s="1"/>
  <c r="AP101" i="6"/>
  <c r="AP103" i="6" s="1"/>
  <c r="AP24" i="6"/>
  <c r="BM22" i="35"/>
  <c r="BM6" i="35" s="1"/>
  <c r="BL23" i="35"/>
  <c r="BL27" i="35" s="1"/>
  <c r="AK107" i="6" l="1"/>
  <c r="AK111" i="6"/>
  <c r="AP107" i="6"/>
  <c r="AZ14" i="1" s="1"/>
  <c r="AP111" i="6"/>
  <c r="AZ39" i="13" s="1"/>
  <c r="AZ26" i="6"/>
  <c r="BM7" i="35"/>
  <c r="AJ101" i="6"/>
  <c r="AJ103" i="6" s="1"/>
  <c r="AJ24" i="6"/>
  <c r="AJ28" i="6" s="1"/>
  <c r="AU101" i="6"/>
  <c r="AU103" i="6" s="1"/>
  <c r="AU24" i="6"/>
  <c r="BN22" i="35"/>
  <c r="BN6" i="35" s="1"/>
  <c r="BM23" i="35"/>
  <c r="BM27" i="35" s="1"/>
  <c r="AZ82" i="1" l="1"/>
  <c r="AY14" i="1"/>
  <c r="AY82" i="1" s="1"/>
  <c r="BE26" i="6"/>
  <c r="BN7" i="35"/>
  <c r="AU111" i="6"/>
  <c r="BE39" i="13" s="1"/>
  <c r="AU107" i="6"/>
  <c r="BE14" i="1" s="1"/>
  <c r="BE82" i="1" s="1"/>
  <c r="AZ24" i="6"/>
  <c r="AZ101" i="6"/>
  <c r="AZ103" i="6" s="1"/>
  <c r="AJ111" i="6"/>
  <c r="AY39" i="13" s="1"/>
  <c r="AJ107" i="6"/>
  <c r="BO22" i="35"/>
  <c r="BO6" i="35" s="1"/>
  <c r="BN23" i="35"/>
  <c r="BN27" i="35" s="1"/>
  <c r="AX39" i="13" l="1"/>
  <c r="AW39" i="13"/>
  <c r="AV39" i="13"/>
  <c r="AT82" i="1"/>
  <c r="AU14" i="1"/>
  <c r="AU82" i="1" s="1"/>
  <c r="AZ111" i="6"/>
  <c r="BJ39" i="13" s="1"/>
  <c r="AZ107" i="6"/>
  <c r="BJ14" i="1" s="1"/>
  <c r="BJ82" i="1" s="1"/>
  <c r="BJ26" i="6"/>
  <c r="BO7" i="35"/>
  <c r="BE101" i="6"/>
  <c r="BE103" i="6" s="1"/>
  <c r="BE24" i="6"/>
  <c r="BP22" i="35"/>
  <c r="BP6" i="35" s="1"/>
  <c r="BO23" i="35"/>
  <c r="BO27" i="35" s="1"/>
  <c r="BJ101" i="6" l="1"/>
  <c r="BJ103" i="6" s="1"/>
  <c r="BJ24" i="6"/>
  <c r="BO26" i="6"/>
  <c r="BP7" i="35"/>
  <c r="BE107" i="6"/>
  <c r="BO14" i="1" s="1"/>
  <c r="BO82" i="1" s="1"/>
  <c r="BE111" i="6"/>
  <c r="BO39" i="13" s="1"/>
  <c r="BQ22" i="35"/>
  <c r="BQ6" i="35" s="1"/>
  <c r="BP23" i="35"/>
  <c r="BP27" i="35" s="1"/>
  <c r="BO101" i="6" l="1"/>
  <c r="BO103" i="6" s="1"/>
  <c r="BO24" i="6"/>
  <c r="BJ107" i="6"/>
  <c r="BT14" i="1" s="1"/>
  <c r="BT82" i="1" s="1"/>
  <c r="BJ111" i="6"/>
  <c r="BT39" i="13" s="1"/>
  <c r="BT26" i="6"/>
  <c r="BQ7" i="35"/>
  <c r="BR22" i="35"/>
  <c r="BR6" i="35" s="1"/>
  <c r="BQ23" i="35"/>
  <c r="BQ27" i="35" s="1"/>
  <c r="BY26" i="6" l="1"/>
  <c r="BR7" i="35"/>
  <c r="BT101" i="6"/>
  <c r="BT103" i="6" s="1"/>
  <c r="BT24" i="6"/>
  <c r="BO111" i="6"/>
  <c r="BY39" i="13" s="1"/>
  <c r="BO107" i="6"/>
  <c r="BY14" i="1" s="1"/>
  <c r="BY82" i="1" s="1"/>
  <c r="BS22" i="35"/>
  <c r="BS6" i="35" s="1"/>
  <c r="BR23" i="35"/>
  <c r="BR27" i="35" s="1"/>
  <c r="CD26" i="6" l="1"/>
  <c r="BS7" i="35"/>
  <c r="BY24" i="6"/>
  <c r="BY101" i="6"/>
  <c r="BY103" i="6" s="1"/>
  <c r="BT107" i="6"/>
  <c r="CD14" i="1" s="1"/>
  <c r="CD82" i="1" s="1"/>
  <c r="BT111" i="6"/>
  <c r="CD39" i="13" s="1"/>
  <c r="BT22" i="35"/>
  <c r="BT6" i="35" s="1"/>
  <c r="BS23" i="35"/>
  <c r="BS27" i="35" s="1"/>
  <c r="BY107" i="6" l="1"/>
  <c r="CI14" i="1" s="1"/>
  <c r="CI82" i="1" s="1"/>
  <c r="BY111" i="6"/>
  <c r="CI39" i="13" s="1"/>
  <c r="CI26" i="6"/>
  <c r="BT7" i="35"/>
  <c r="CD101" i="6"/>
  <c r="CD103" i="6" s="1"/>
  <c r="CD24" i="6"/>
  <c r="BU22" i="35"/>
  <c r="BU6" i="35" s="1"/>
  <c r="BT23" i="35"/>
  <c r="BT27" i="35" s="1"/>
  <c r="CI24" i="6" l="1"/>
  <c r="CI101" i="6"/>
  <c r="CI103" i="6" s="1"/>
  <c r="CN26" i="6"/>
  <c r="BU7" i="35"/>
  <c r="CD111" i="6"/>
  <c r="CN39" i="13" s="1"/>
  <c r="CD107" i="6"/>
  <c r="CN14" i="1" s="1"/>
  <c r="CN82" i="1" s="1"/>
  <c r="BV22" i="35"/>
  <c r="BV6" i="35" s="1"/>
  <c r="BU23" i="35"/>
  <c r="BU27" i="35" s="1"/>
  <c r="CS26" i="6" l="1"/>
  <c r="BV7" i="35"/>
  <c r="CN101" i="6"/>
  <c r="CN103" i="6" s="1"/>
  <c r="CN24" i="6"/>
  <c r="CI107" i="6"/>
  <c r="CS14" i="1" s="1"/>
  <c r="CS82" i="1" s="1"/>
  <c r="CI111" i="6"/>
  <c r="CS39" i="13" s="1"/>
  <c r="BW22" i="35"/>
  <c r="BV23" i="35"/>
  <c r="BV27" i="35" s="1"/>
  <c r="BW23" i="35" l="1"/>
  <c r="BW27" i="35" s="1"/>
  <c r="BW6" i="35"/>
  <c r="CN111" i="6"/>
  <c r="CX39" i="13" s="1"/>
  <c r="CN107" i="6"/>
  <c r="CX14" i="1" s="1"/>
  <c r="CX82" i="1" s="1"/>
  <c r="CS24" i="6"/>
  <c r="CS101" i="6"/>
  <c r="CS103" i="6" s="1"/>
  <c r="CS111" i="6" l="1"/>
  <c r="DC39" i="13" s="1"/>
  <c r="CS107" i="6"/>
  <c r="DC14" i="1" s="1"/>
  <c r="DC82" i="1" s="1"/>
  <c r="CX26" i="6"/>
  <c r="BW7" i="35"/>
  <c r="T29" i="17"/>
  <c r="T28" i="17" s="1"/>
  <c r="CX101" i="6" l="1"/>
  <c r="CX103" i="6" s="1"/>
  <c r="CX24" i="6"/>
  <c r="CX111" i="6" l="1"/>
  <c r="DH39" i="13" s="1"/>
  <c r="CX107" i="6"/>
  <c r="DH14" i="1" s="1"/>
  <c r="DH82" i="1" s="1"/>
  <c r="AY93" i="1"/>
  <c r="AT93" i="1" l="1"/>
  <c r="AS45" i="1" l="1"/>
  <c r="AS94" i="1"/>
  <c r="AS23" i="1"/>
  <c r="AU23" i="1" s="1"/>
  <c r="AK14" i="6" l="1"/>
  <c r="W166" i="17"/>
  <c r="AY94" i="1"/>
  <c r="AJ14" i="6"/>
  <c r="AJ16" i="6" s="1"/>
  <c r="AI14" i="6"/>
  <c r="AI16" i="6" s="1"/>
  <c r="W167" i="17" l="1"/>
  <c r="W168" i="17" s="1"/>
  <c r="W170" i="17" s="1"/>
  <c r="AK16" i="6"/>
  <c r="AK18" i="6" s="1"/>
  <c r="AK20" i="6" s="1"/>
  <c r="AT94" i="1"/>
  <c r="AT45" i="1"/>
  <c r="AJ18" i="6"/>
  <c r="AJ20" i="6" s="1"/>
  <c r="AI18" i="6"/>
  <c r="AI20" i="6" s="1"/>
  <c r="AI48" i="6" s="1"/>
  <c r="AI49" i="6" s="1"/>
  <c r="U29" i="17" l="1"/>
  <c r="U28" i="17" s="1"/>
  <c r="AU26" i="13" l="1"/>
  <c r="AU33" i="13" s="1"/>
  <c r="AR48" i="13" l="1"/>
  <c r="AR53" i="13" s="1"/>
  <c r="AR6" i="1"/>
  <c r="AS48" i="13"/>
  <c r="AS53" i="13" s="1"/>
  <c r="AS6" i="1"/>
  <c r="AS5" i="1" s="1"/>
  <c r="AS11" i="1" s="1"/>
  <c r="AU6" i="1"/>
  <c r="AS83" i="1" l="1"/>
  <c r="AS15" i="1"/>
  <c r="AS27" i="1" s="1"/>
  <c r="AS91" i="1"/>
  <c r="AS84" i="1"/>
  <c r="AR5" i="1"/>
  <c r="AR11" i="1" s="1"/>
  <c r="AI28" i="6"/>
  <c r="AK28" i="6" s="1"/>
  <c r="AP28" i="6" s="1"/>
  <c r="AU28" i="6" l="1"/>
  <c r="AP29" i="6"/>
  <c r="AP31" i="6" s="1"/>
  <c r="AP34" i="6" s="1"/>
  <c r="AP42" i="6" s="1"/>
  <c r="AR91" i="1"/>
  <c r="AR83" i="1"/>
  <c r="AR84" i="1"/>
  <c r="AR15" i="1"/>
  <c r="AR27" i="1" s="1"/>
  <c r="AS85" i="1"/>
  <c r="AS95" i="1" s="1"/>
  <c r="AS35" i="1"/>
  <c r="AK31" i="6"/>
  <c r="AK34" i="6" s="1"/>
  <c r="AP44" i="6" l="1"/>
  <c r="AB164" i="17" s="1"/>
  <c r="AB172" i="17" s="1"/>
  <c r="AZ36" i="1" s="1"/>
  <c r="AZ38" i="13"/>
  <c r="AZ40" i="13" s="1"/>
  <c r="AZ28" i="6"/>
  <c r="AU29" i="6"/>
  <c r="AU31" i="6" s="1"/>
  <c r="AU34" i="6" s="1"/>
  <c r="AU42" i="6" s="1"/>
  <c r="AR85" i="1"/>
  <c r="AR95" i="1" s="1"/>
  <c r="AR35" i="1"/>
  <c r="AS37" i="1"/>
  <c r="AS46" i="1" s="1"/>
  <c r="AS39" i="1"/>
  <c r="AS86" i="1"/>
  <c r="AJ44" i="6"/>
  <c r="AJ46" i="6" s="1"/>
  <c r="AJ48" i="6" s="1"/>
  <c r="AJ49" i="6" s="1"/>
  <c r="AK44" i="6"/>
  <c r="W164" i="17" s="1"/>
  <c r="BE28" i="6" l="1"/>
  <c r="AZ29" i="6"/>
  <c r="AZ31" i="6" s="1"/>
  <c r="AZ34" i="6" s="1"/>
  <c r="AZ42" i="6" s="1"/>
  <c r="AZ48" i="13"/>
  <c r="AZ53" i="13" s="1"/>
  <c r="AZ7" i="1"/>
  <c r="AZ5" i="1" s="1"/>
  <c r="AZ11" i="1" s="1"/>
  <c r="AU44" i="6"/>
  <c r="AG164" i="17" s="1"/>
  <c r="AG172" i="17" s="1"/>
  <c r="BE36" i="1" s="1"/>
  <c r="BE38" i="13"/>
  <c r="BE40" i="13" s="1"/>
  <c r="AP46" i="6"/>
  <c r="AP48" i="6" s="1"/>
  <c r="AP52" i="6" s="1"/>
  <c r="AW38" i="13"/>
  <c r="AW40" i="13" s="1"/>
  <c r="AV38" i="13"/>
  <c r="AV40" i="13" s="1"/>
  <c r="AX38" i="13"/>
  <c r="AX40" i="13" s="1"/>
  <c r="AK46" i="6"/>
  <c r="AK48" i="6" s="1"/>
  <c r="AK49" i="6" s="1"/>
  <c r="AS47" i="1"/>
  <c r="AS48" i="1" s="1"/>
  <c r="AS41" i="1"/>
  <c r="AS96" i="1" s="1"/>
  <c r="AS52" i="1"/>
  <c r="AS73" i="1" s="1"/>
  <c r="AS75" i="1" s="1"/>
  <c r="AS87" i="1"/>
  <c r="AR37" i="1"/>
  <c r="AR46" i="1" s="1"/>
  <c r="AR86" i="1"/>
  <c r="AR39" i="1"/>
  <c r="AT40" i="13"/>
  <c r="AU40" i="13"/>
  <c r="AU46" i="6" l="1"/>
  <c r="AU48" i="6" s="1"/>
  <c r="AZ84" i="1"/>
  <c r="AZ15" i="1"/>
  <c r="AZ27" i="1" s="1"/>
  <c r="AZ83" i="1"/>
  <c r="BE48" i="13"/>
  <c r="BE53" i="13" s="1"/>
  <c r="BE7" i="1"/>
  <c r="BE5" i="1" s="1"/>
  <c r="BE11" i="1" s="1"/>
  <c r="BJ38" i="13"/>
  <c r="BJ40" i="13" s="1"/>
  <c r="AZ44" i="6"/>
  <c r="AL164" i="17" s="1"/>
  <c r="AL172" i="17" s="1"/>
  <c r="BJ36" i="1" s="1"/>
  <c r="BJ28" i="6"/>
  <c r="BE29" i="6"/>
  <c r="BE31" i="6" s="1"/>
  <c r="BE34" i="6" s="1"/>
  <c r="BE42" i="6" s="1"/>
  <c r="AX48" i="13"/>
  <c r="AX53" i="13" s="1"/>
  <c r="AX7" i="1"/>
  <c r="AX5" i="1" s="1"/>
  <c r="AX11" i="1" s="1"/>
  <c r="AY38" i="13"/>
  <c r="AY40" i="13" s="1"/>
  <c r="AV7" i="1"/>
  <c r="AV5" i="1" s="1"/>
  <c r="AV11" i="1" s="1"/>
  <c r="AV48" i="13"/>
  <c r="AV53" i="13" s="1"/>
  <c r="AW7" i="1"/>
  <c r="AW5" i="1" s="1"/>
  <c r="AW11" i="1" s="1"/>
  <c r="AW48" i="13"/>
  <c r="AW53" i="13" s="1"/>
  <c r="AP49" i="6"/>
  <c r="AK52" i="6"/>
  <c r="AR41" i="1"/>
  <c r="AR87" i="1"/>
  <c r="AR52" i="1"/>
  <c r="AR47" i="1"/>
  <c r="AR48" i="1" s="1"/>
  <c r="AT7" i="1"/>
  <c r="AU48" i="13"/>
  <c r="AU53" i="13" s="1"/>
  <c r="AU7" i="1"/>
  <c r="AU5" i="1" s="1"/>
  <c r="AU11" i="1" s="1"/>
  <c r="AZ46" i="6" l="1"/>
  <c r="AZ48" i="6" s="1"/>
  <c r="AZ52" i="6" s="1"/>
  <c r="BE44" i="6"/>
  <c r="AQ164" i="17" s="1"/>
  <c r="AQ172" i="17" s="1"/>
  <c r="BO36" i="1" s="1"/>
  <c r="BO38" i="13"/>
  <c r="BO40" i="13" s="1"/>
  <c r="BJ7" i="1"/>
  <c r="BJ5" i="1" s="1"/>
  <c r="BJ11" i="1" s="1"/>
  <c r="BJ48" i="13"/>
  <c r="BJ53" i="13" s="1"/>
  <c r="AZ85" i="1"/>
  <c r="AZ35" i="1"/>
  <c r="BO28" i="6"/>
  <c r="BJ29" i="6"/>
  <c r="BJ31" i="6" s="1"/>
  <c r="BJ34" i="6" s="1"/>
  <c r="BJ42" i="6" s="1"/>
  <c r="BE83" i="1"/>
  <c r="BE15" i="1"/>
  <c r="BE27" i="1" s="1"/>
  <c r="BE91" i="1"/>
  <c r="BE84" i="1"/>
  <c r="AU49" i="6"/>
  <c r="AU52" i="6"/>
  <c r="AV91" i="1"/>
  <c r="AV15" i="1"/>
  <c r="AV27" i="1" s="1"/>
  <c r="AV84" i="1"/>
  <c r="AV83" i="1"/>
  <c r="AW15" i="1"/>
  <c r="AW27" i="1" s="1"/>
  <c r="AW91" i="1"/>
  <c r="AW84" i="1"/>
  <c r="AW83" i="1"/>
  <c r="AY7" i="1"/>
  <c r="AY5" i="1" s="1"/>
  <c r="AY11" i="1" s="1"/>
  <c r="AY48" i="13"/>
  <c r="AY53" i="13" s="1"/>
  <c r="AX15" i="1"/>
  <c r="AX27" i="1" s="1"/>
  <c r="AX91" i="1"/>
  <c r="AX84" i="1"/>
  <c r="AX83" i="1"/>
  <c r="AR96" i="1"/>
  <c r="AR73" i="1"/>
  <c r="AR75" i="1" s="1"/>
  <c r="AR71" i="1"/>
  <c r="AZ91" i="1"/>
  <c r="AU15" i="1"/>
  <c r="AU91" i="1"/>
  <c r="AU84" i="1"/>
  <c r="AZ49" i="6" l="1"/>
  <c r="BE46" i="6"/>
  <c r="BE48" i="6" s="1"/>
  <c r="BE49" i="6" s="1"/>
  <c r="BT28" i="6"/>
  <c r="BO29" i="6"/>
  <c r="BO31" i="6" s="1"/>
  <c r="BO34" i="6" s="1"/>
  <c r="BO42" i="6" s="1"/>
  <c r="BJ84" i="1"/>
  <c r="BJ15" i="1"/>
  <c r="BJ27" i="1" s="1"/>
  <c r="BJ83" i="1"/>
  <c r="BJ91" i="1"/>
  <c r="BE85" i="1"/>
  <c r="BE95" i="1" s="1"/>
  <c r="BE35" i="1"/>
  <c r="AZ39" i="1"/>
  <c r="AZ86" i="1"/>
  <c r="AZ37" i="1"/>
  <c r="BE52" i="6"/>
  <c r="BO48" i="13"/>
  <c r="BO53" i="13" s="1"/>
  <c r="BO7" i="1"/>
  <c r="BO5" i="1" s="1"/>
  <c r="BO11" i="1" s="1"/>
  <c r="BT38" i="13"/>
  <c r="BT40" i="13" s="1"/>
  <c r="BJ44" i="6"/>
  <c r="AV164" i="17" s="1"/>
  <c r="AV172" i="17" s="1"/>
  <c r="BT36" i="1" s="1"/>
  <c r="AY15" i="1"/>
  <c r="AY27" i="1" s="1"/>
  <c r="AY84" i="1"/>
  <c r="AY83" i="1"/>
  <c r="AX35" i="1"/>
  <c r="AX85" i="1"/>
  <c r="AX95" i="1" s="1"/>
  <c r="AV85" i="1"/>
  <c r="AV95" i="1" s="1"/>
  <c r="AV35" i="1"/>
  <c r="AW85" i="1"/>
  <c r="AW95" i="1" s="1"/>
  <c r="AW35" i="1"/>
  <c r="BO91" i="1" l="1"/>
  <c r="BO15" i="1"/>
  <c r="BO27" i="1" s="1"/>
  <c r="BO83" i="1"/>
  <c r="BO84" i="1"/>
  <c r="AZ46" i="1"/>
  <c r="AZ99" i="1" s="1"/>
  <c r="AV37" i="1"/>
  <c r="BJ35" i="1"/>
  <c r="BJ85" i="1"/>
  <c r="BJ95" i="1" s="1"/>
  <c r="BJ46" i="6"/>
  <c r="BJ48" i="6" s="1"/>
  <c r="AZ52" i="1"/>
  <c r="AZ87" i="1"/>
  <c r="AZ5" i="3"/>
  <c r="AZ18" i="3" s="1"/>
  <c r="AZ41" i="1"/>
  <c r="BY38" i="13"/>
  <c r="BY40" i="13" s="1"/>
  <c r="BO44" i="6"/>
  <c r="BA164" i="17" s="1"/>
  <c r="BA172" i="17" s="1"/>
  <c r="BY36" i="1" s="1"/>
  <c r="BT48" i="13"/>
  <c r="BT53" i="13" s="1"/>
  <c r="BT7" i="1"/>
  <c r="BT5" i="1" s="1"/>
  <c r="BT11" i="1" s="1"/>
  <c r="BE37" i="1"/>
  <c r="BE46" i="1" s="1"/>
  <c r="BE99" i="1" s="1"/>
  <c r="BE86" i="1"/>
  <c r="BE39" i="1"/>
  <c r="BY28" i="6"/>
  <c r="BT29" i="6"/>
  <c r="BT31" i="6" s="1"/>
  <c r="BT34" i="6" s="1"/>
  <c r="BT42" i="6" s="1"/>
  <c r="AV86" i="1"/>
  <c r="AW86" i="1"/>
  <c r="AX86" i="1"/>
  <c r="AY85" i="1"/>
  <c r="AY35" i="1"/>
  <c r="AU36" i="1"/>
  <c r="AZ47" i="1" l="1"/>
  <c r="AZ48" i="1" s="1"/>
  <c r="BO46" i="6"/>
  <c r="BO48" i="6" s="1"/>
  <c r="BO49" i="6" s="1"/>
  <c r="BJ52" i="6"/>
  <c r="BJ49" i="6"/>
  <c r="AW37" i="1"/>
  <c r="AV46" i="1"/>
  <c r="AV36" i="1"/>
  <c r="AV39" i="1" s="1"/>
  <c r="AV52" i="1" s="1"/>
  <c r="CD28" i="6"/>
  <c r="BY29" i="6"/>
  <c r="BY31" i="6" s="1"/>
  <c r="BY34" i="6" s="1"/>
  <c r="BY42" i="6" s="1"/>
  <c r="BT84" i="1"/>
  <c r="BT91" i="1"/>
  <c r="BT15" i="1"/>
  <c r="BT27" i="1" s="1"/>
  <c r="BT83" i="1"/>
  <c r="BY48" i="13"/>
  <c r="BY53" i="13" s="1"/>
  <c r="BY7" i="1"/>
  <c r="BY5" i="1" s="1"/>
  <c r="BY11" i="1" s="1"/>
  <c r="BO35" i="1"/>
  <c r="BO85" i="1"/>
  <c r="BO95" i="1" s="1"/>
  <c r="BE47" i="1"/>
  <c r="BE87" i="1"/>
  <c r="BE52" i="1"/>
  <c r="BE5" i="3"/>
  <c r="BE18" i="3" s="1"/>
  <c r="BE41" i="1"/>
  <c r="BE96" i="1" s="1"/>
  <c r="BJ86" i="1"/>
  <c r="BJ39" i="1"/>
  <c r="BJ37" i="1"/>
  <c r="BJ46" i="1" s="1"/>
  <c r="BJ99" i="1" s="1"/>
  <c r="CD38" i="13"/>
  <c r="CD40" i="13" s="1"/>
  <c r="BT44" i="6"/>
  <c r="BF164" i="17" s="1"/>
  <c r="BF172" i="17" s="1"/>
  <c r="CD36" i="1" s="1"/>
  <c r="AZ38" i="3"/>
  <c r="H6" i="34"/>
  <c r="H11" i="34" s="1"/>
  <c r="AY86" i="1"/>
  <c r="AV41" i="1" l="1"/>
  <c r="AV96" i="1" s="1"/>
  <c r="AV47" i="1"/>
  <c r="AV73" i="1" s="1"/>
  <c r="AV75" i="1" s="1"/>
  <c r="AV87" i="1"/>
  <c r="AZ73" i="1"/>
  <c r="AZ75" i="1" s="1"/>
  <c r="BO52" i="6"/>
  <c r="CD48" i="13"/>
  <c r="CD53" i="13" s="1"/>
  <c r="CD7" i="1"/>
  <c r="CD5" i="1" s="1"/>
  <c r="CD11" i="1" s="1"/>
  <c r="BO39" i="1"/>
  <c r="BO86" i="1"/>
  <c r="BO37" i="1"/>
  <c r="BO46" i="1" s="1"/>
  <c r="BY44" i="6"/>
  <c r="BK164" i="17" s="1"/>
  <c r="BK172" i="17" s="1"/>
  <c r="CI36" i="1" s="1"/>
  <c r="CI38" i="13"/>
  <c r="CI40" i="13" s="1"/>
  <c r="AW46" i="1"/>
  <c r="AX37" i="1"/>
  <c r="AW36" i="1"/>
  <c r="AW39" i="1" s="1"/>
  <c r="BT46" i="6"/>
  <c r="BT48" i="6" s="1"/>
  <c r="BJ52" i="1"/>
  <c r="BJ5" i="3"/>
  <c r="BJ18" i="3" s="1"/>
  <c r="BJ41" i="1"/>
  <c r="BJ96" i="1" s="1"/>
  <c r="BJ47" i="1"/>
  <c r="BJ87" i="1"/>
  <c r="BE73" i="1"/>
  <c r="BE75" i="1" s="1"/>
  <c r="BE48" i="1"/>
  <c r="BT35" i="1"/>
  <c r="BT85" i="1"/>
  <c r="BT95" i="1" s="1"/>
  <c r="CI28" i="6"/>
  <c r="CD29" i="6"/>
  <c r="CD31" i="6" s="1"/>
  <c r="CD34" i="6" s="1"/>
  <c r="CD42" i="6" s="1"/>
  <c r="BE38" i="3"/>
  <c r="I6" i="34"/>
  <c r="BY15" i="1"/>
  <c r="BY27" i="1" s="1"/>
  <c r="BY84" i="1"/>
  <c r="BY83" i="1"/>
  <c r="BY91" i="1"/>
  <c r="AV48" i="1"/>
  <c r="BY46" i="6" l="1"/>
  <c r="BY48" i="6" s="1"/>
  <c r="BY52" i="6" s="1"/>
  <c r="CN38" i="13"/>
  <c r="CN40" i="13" s="1"/>
  <c r="CD44" i="6"/>
  <c r="BP164" i="17" s="1"/>
  <c r="BP172" i="17" s="1"/>
  <c r="CN36" i="1" s="1"/>
  <c r="CI7" i="1"/>
  <c r="CI5" i="1" s="1"/>
  <c r="CI11" i="1" s="1"/>
  <c r="CI48" i="13"/>
  <c r="CI53" i="13" s="1"/>
  <c r="I8" i="34"/>
  <c r="I11" i="34"/>
  <c r="J6" i="34"/>
  <c r="BJ38" i="3"/>
  <c r="AX46" i="1"/>
  <c r="AY37" i="1"/>
  <c r="AX36" i="1"/>
  <c r="AX39" i="1" s="1"/>
  <c r="CD91" i="1"/>
  <c r="CD83" i="1"/>
  <c r="CD15" i="1"/>
  <c r="CD27" i="1" s="1"/>
  <c r="CD84" i="1"/>
  <c r="BT39" i="1"/>
  <c r="BT86" i="1"/>
  <c r="BT37" i="1"/>
  <c r="BT46" i="1" s="1"/>
  <c r="BY85" i="1"/>
  <c r="BY95" i="1" s="1"/>
  <c r="BY35" i="1"/>
  <c r="AW87" i="1"/>
  <c r="AW52" i="1"/>
  <c r="AW41" i="1"/>
  <c r="AW96" i="1" s="1"/>
  <c r="AW47" i="1"/>
  <c r="BO47" i="1"/>
  <c r="BO5" i="3"/>
  <c r="BO18" i="3" s="1"/>
  <c r="BO52" i="1"/>
  <c r="BO41" i="1"/>
  <c r="BO96" i="1" s="1"/>
  <c r="BO87" i="1"/>
  <c r="CN28" i="6"/>
  <c r="CI29" i="6"/>
  <c r="CI31" i="6" s="1"/>
  <c r="CI34" i="6" s="1"/>
  <c r="CI42" i="6" s="1"/>
  <c r="BJ48" i="1"/>
  <c r="BJ73" i="1"/>
  <c r="BJ75" i="1" s="1"/>
  <c r="BT52" i="6"/>
  <c r="BT49" i="6"/>
  <c r="CD46" i="6" l="1"/>
  <c r="CD48" i="6" s="1"/>
  <c r="CD49" i="6" s="1"/>
  <c r="BY49" i="6"/>
  <c r="CS28" i="6"/>
  <c r="CN29" i="6"/>
  <c r="CN31" i="6" s="1"/>
  <c r="CN34" i="6" s="1"/>
  <c r="CN42" i="6" s="1"/>
  <c r="CI84" i="1"/>
  <c r="CI91" i="1"/>
  <c r="CI15" i="1"/>
  <c r="CI27" i="1" s="1"/>
  <c r="CI83" i="1"/>
  <c r="BO73" i="1"/>
  <c r="BO75" i="1" s="1"/>
  <c r="BO48" i="1"/>
  <c r="AY46" i="1"/>
  <c r="AY36" i="1"/>
  <c r="AY39" i="1" s="1"/>
  <c r="CI44" i="6"/>
  <c r="BU164" i="17" s="1"/>
  <c r="BU172" i="17" s="1"/>
  <c r="CS36" i="1" s="1"/>
  <c r="CS38" i="13"/>
  <c r="CS40" i="13" s="1"/>
  <c r="K6" i="34"/>
  <c r="BO38" i="3"/>
  <c r="CD85" i="1"/>
  <c r="CD95" i="1" s="1"/>
  <c r="CD35" i="1"/>
  <c r="AX52" i="1"/>
  <c r="AX47" i="1"/>
  <c r="AX87" i="1"/>
  <c r="AX41" i="1"/>
  <c r="AX96" i="1" s="1"/>
  <c r="J11" i="34"/>
  <c r="J8" i="34"/>
  <c r="AW73" i="1"/>
  <c r="AW75" i="1" s="1"/>
  <c r="AW48" i="1"/>
  <c r="BY39" i="1"/>
  <c r="BY86" i="1"/>
  <c r="BY37" i="1"/>
  <c r="BY46" i="1" s="1"/>
  <c r="BT47" i="1"/>
  <c r="BT41" i="1"/>
  <c r="BT96" i="1" s="1"/>
  <c r="BT52" i="1"/>
  <c r="BT87" i="1"/>
  <c r="BT5" i="3"/>
  <c r="BT18" i="3" s="1"/>
  <c r="CN7" i="1"/>
  <c r="CN5" i="1" s="1"/>
  <c r="CN11" i="1" s="1"/>
  <c r="CN48" i="13"/>
  <c r="CN53" i="13" s="1"/>
  <c r="AS26" i="13"/>
  <c r="AS33" i="13"/>
  <c r="AT26" i="13"/>
  <c r="AT33" i="13" s="1"/>
  <c r="AR26" i="13"/>
  <c r="AR33" i="13"/>
  <c r="V36" i="17"/>
  <c r="V38" i="17" s="1"/>
  <c r="V32" i="17"/>
  <c r="V29" i="17" s="1"/>
  <c r="V28" i="17" s="1"/>
  <c r="CD52" i="6" l="1"/>
  <c r="CS7" i="1"/>
  <c r="CS5" i="1" s="1"/>
  <c r="CS11" i="1" s="1"/>
  <c r="CS48" i="13"/>
  <c r="CS53" i="13" s="1"/>
  <c r="CN83" i="1"/>
  <c r="CN15" i="1"/>
  <c r="CN27" i="1" s="1"/>
  <c r="CN91" i="1"/>
  <c r="CN84" i="1"/>
  <c r="AY41" i="1"/>
  <c r="AY52" i="1"/>
  <c r="AY87" i="1"/>
  <c r="AY47" i="1"/>
  <c r="CX38" i="13"/>
  <c r="CX40" i="13" s="1"/>
  <c r="CN44" i="6"/>
  <c r="BZ164" i="17" s="1"/>
  <c r="BZ172" i="17" s="1"/>
  <c r="CX36" i="1" s="1"/>
  <c r="BY41" i="1"/>
  <c r="BY96" i="1" s="1"/>
  <c r="BY47" i="1"/>
  <c r="BY52" i="1"/>
  <c r="BY87" i="1"/>
  <c r="BY5" i="3"/>
  <c r="BY18" i="3" s="1"/>
  <c r="K8" i="34"/>
  <c r="K11" i="34"/>
  <c r="CI85" i="1"/>
  <c r="CI95" i="1" s="1"/>
  <c r="CI35" i="1"/>
  <c r="CX28" i="6"/>
  <c r="CX29" i="6" s="1"/>
  <c r="CX31" i="6" s="1"/>
  <c r="CX34" i="6" s="1"/>
  <c r="CX42" i="6" s="1"/>
  <c r="CS29" i="6"/>
  <c r="CS31" i="6" s="1"/>
  <c r="CS34" i="6" s="1"/>
  <c r="CS42" i="6" s="1"/>
  <c r="AX48" i="1"/>
  <c r="AX73" i="1"/>
  <c r="AX75" i="1" s="1"/>
  <c r="L6" i="34"/>
  <c r="BT38" i="3"/>
  <c r="BT48" i="1"/>
  <c r="BT73" i="1"/>
  <c r="BT75" i="1" s="1"/>
  <c r="CD86" i="1"/>
  <c r="CD39" i="1"/>
  <c r="CD37" i="1"/>
  <c r="CD46" i="1" s="1"/>
  <c r="CI46" i="6"/>
  <c r="CI48" i="6" s="1"/>
  <c r="AT6" i="1"/>
  <c r="AT5" i="1" s="1"/>
  <c r="AT11" i="1" s="1"/>
  <c r="AT48" i="13"/>
  <c r="AT53" i="13" s="1"/>
  <c r="AT17" i="1"/>
  <c r="AU17" i="1" s="1"/>
  <c r="W28" i="17"/>
  <c r="W29" i="17" s="1"/>
  <c r="W31" i="17" s="1"/>
  <c r="W32" i="17" s="1"/>
  <c r="W34" i="17" s="1"/>
  <c r="CN46" i="6" l="1"/>
  <c r="CN48" i="6" s="1"/>
  <c r="CN49" i="6" s="1"/>
  <c r="DH38" i="13"/>
  <c r="DH40" i="13" s="1"/>
  <c r="CX44" i="6"/>
  <c r="CJ164" i="17" s="1"/>
  <c r="CJ172" i="17" s="1"/>
  <c r="DH36" i="1" s="1"/>
  <c r="BY48" i="1"/>
  <c r="BY73" i="1"/>
  <c r="BY75" i="1" s="1"/>
  <c r="M6" i="34"/>
  <c r="BY38" i="3"/>
  <c r="CS83" i="1"/>
  <c r="CS15" i="1"/>
  <c r="CS27" i="1" s="1"/>
  <c r="CS84" i="1"/>
  <c r="CS91" i="1"/>
  <c r="L8" i="34"/>
  <c r="L11" i="34"/>
  <c r="CI49" i="6"/>
  <c r="CI52" i="6"/>
  <c r="CI86" i="1"/>
  <c r="CI39" i="1"/>
  <c r="CI37" i="1"/>
  <c r="CI46" i="1" s="1"/>
  <c r="AY73" i="1"/>
  <c r="AY75" i="1" s="1"/>
  <c r="AY48" i="1"/>
  <c r="CD5" i="3"/>
  <c r="CD18" i="3" s="1"/>
  <c r="CD41" i="1"/>
  <c r="CD96" i="1" s="1"/>
  <c r="CD47" i="1"/>
  <c r="CD87" i="1"/>
  <c r="CD52" i="1"/>
  <c r="CS44" i="6"/>
  <c r="CE164" i="17" s="1"/>
  <c r="CE172" i="17" s="1"/>
  <c r="DC36" i="1" s="1"/>
  <c r="DC38" i="13"/>
  <c r="DC40" i="13" s="1"/>
  <c r="CN35" i="1"/>
  <c r="CN85" i="1"/>
  <c r="CN95" i="1" s="1"/>
  <c r="CX48" i="13"/>
  <c r="CX53" i="13" s="1"/>
  <c r="CX7" i="1"/>
  <c r="CX5" i="1" s="1"/>
  <c r="CX11" i="1" s="1"/>
  <c r="AT91" i="1"/>
  <c r="AT84" i="1"/>
  <c r="AT15" i="1"/>
  <c r="AT27" i="1" s="1"/>
  <c r="AT83" i="1"/>
  <c r="AY91" i="1"/>
  <c r="W36" i="17"/>
  <c r="W163" i="17" s="1"/>
  <c r="W172" i="17" s="1"/>
  <c r="W138" i="17"/>
  <c r="AU83" i="1"/>
  <c r="AU27" i="1"/>
  <c r="AU45" i="1"/>
  <c r="AZ93" i="1"/>
  <c r="AU93" i="1"/>
  <c r="CN52" i="6" l="1"/>
  <c r="DC48" i="13"/>
  <c r="DC53" i="13" s="1"/>
  <c r="DC7" i="1"/>
  <c r="DC5" i="1" s="1"/>
  <c r="DC11" i="1" s="1"/>
  <c r="CX15" i="1"/>
  <c r="CX27" i="1" s="1"/>
  <c r="CX91" i="1"/>
  <c r="CX83" i="1"/>
  <c r="CX84" i="1"/>
  <c r="N6" i="34"/>
  <c r="CD38" i="3"/>
  <c r="CI5" i="3"/>
  <c r="CI18" i="3" s="1"/>
  <c r="CI47" i="1"/>
  <c r="CI41" i="1"/>
  <c r="CI96" i="1" s="1"/>
  <c r="CI87" i="1"/>
  <c r="CI52" i="1"/>
  <c r="CS85" i="1"/>
  <c r="CS95" i="1" s="1"/>
  <c r="CS35" i="1"/>
  <c r="CX46" i="6"/>
  <c r="CX48" i="6" s="1"/>
  <c r="CN39" i="1"/>
  <c r="CN86" i="1"/>
  <c r="CN37" i="1"/>
  <c r="CN46" i="1" s="1"/>
  <c r="CS46" i="6"/>
  <c r="CS48" i="6" s="1"/>
  <c r="M11" i="34"/>
  <c r="M8" i="34"/>
  <c r="CD73" i="1"/>
  <c r="CD75" i="1" s="1"/>
  <c r="CD48" i="1"/>
  <c r="DH7" i="1"/>
  <c r="DH5" i="1" s="1"/>
  <c r="DH11" i="1" s="1"/>
  <c r="DH48" i="13"/>
  <c r="DH53" i="13" s="1"/>
  <c r="AT85" i="1"/>
  <c r="AT35" i="1"/>
  <c r="W38" i="17"/>
  <c r="W110" i="17" s="1"/>
  <c r="AB111" i="17" s="1"/>
  <c r="V138" i="17"/>
  <c r="T138" i="17"/>
  <c r="W130" i="17"/>
  <c r="AB130" i="17" s="1"/>
  <c r="AG130" i="17" s="1"/>
  <c r="AL130" i="17" s="1"/>
  <c r="AQ130" i="17" s="1"/>
  <c r="AV130" i="17" s="1"/>
  <c r="BA130" i="17" s="1"/>
  <c r="BF130" i="17" s="1"/>
  <c r="BK130" i="17" s="1"/>
  <c r="BP130" i="17" s="1"/>
  <c r="U138" i="17"/>
  <c r="S138" i="17"/>
  <c r="AU85" i="1"/>
  <c r="AU35" i="1"/>
  <c r="CS49" i="6" l="1"/>
  <c r="CS52" i="6"/>
  <c r="CS39" i="1"/>
  <c r="CS86" i="1"/>
  <c r="CS37" i="1"/>
  <c r="CS46" i="1" s="1"/>
  <c r="N11" i="34"/>
  <c r="N8" i="34"/>
  <c r="C19" i="34" s="1"/>
  <c r="CX35" i="1"/>
  <c r="CX85" i="1"/>
  <c r="CX95" i="1" s="1"/>
  <c r="DH84" i="1"/>
  <c r="DH83" i="1"/>
  <c r="DH91" i="1"/>
  <c r="DH15" i="1"/>
  <c r="DH27" i="1" s="1"/>
  <c r="CI48" i="1"/>
  <c r="CI73" i="1"/>
  <c r="CI75" i="1" s="1"/>
  <c r="CX52" i="6"/>
  <c r="CX49" i="6"/>
  <c r="CY48" i="6"/>
  <c r="CY52" i="6" s="1"/>
  <c r="CN41" i="1"/>
  <c r="CN96" i="1" s="1"/>
  <c r="CN52" i="1"/>
  <c r="CN87" i="1"/>
  <c r="CN47" i="1"/>
  <c r="CN5" i="3"/>
  <c r="CN18" i="3" s="1"/>
  <c r="CI38" i="3"/>
  <c r="O6" i="34"/>
  <c r="DC84" i="1"/>
  <c r="DC91" i="1"/>
  <c r="DC15" i="1"/>
  <c r="DC27" i="1" s="1"/>
  <c r="DC83" i="1"/>
  <c r="AT95" i="1"/>
  <c r="AY95" i="1"/>
  <c r="AT37" i="1"/>
  <c r="AT46" i="1" s="1"/>
  <c r="AT86" i="1"/>
  <c r="AT39" i="1"/>
  <c r="W111" i="17"/>
  <c r="W114" i="17"/>
  <c r="C125" i="17" s="1"/>
  <c r="C126" i="17" s="1"/>
  <c r="AU37" i="1"/>
  <c r="AU46" i="1" s="1"/>
  <c r="AU39" i="1"/>
  <c r="AU86" i="1"/>
  <c r="AZ95" i="1"/>
  <c r="AU95" i="1"/>
  <c r="G63" i="6" l="1"/>
  <c r="G64" i="6" s="1"/>
  <c r="CN38" i="3"/>
  <c r="P6" i="34"/>
  <c r="CS5" i="3"/>
  <c r="CS18" i="3" s="1"/>
  <c r="CS47" i="1"/>
  <c r="CS52" i="1"/>
  <c r="CS41" i="1"/>
  <c r="CS96" i="1" s="1"/>
  <c r="CS87" i="1"/>
  <c r="DC85" i="1"/>
  <c r="DC95" i="1" s="1"/>
  <c r="DC35" i="1"/>
  <c r="CX86" i="1"/>
  <c r="CX39" i="1"/>
  <c r="CX37" i="1"/>
  <c r="CX46" i="1" s="1"/>
  <c r="CN73" i="1"/>
  <c r="CN75" i="1" s="1"/>
  <c r="CN48" i="1"/>
  <c r="O8" i="34"/>
  <c r="O11" i="34"/>
  <c r="DH85" i="1"/>
  <c r="DH35" i="1"/>
  <c r="AT52" i="1"/>
  <c r="AT73" i="1" s="1"/>
  <c r="AT75" i="1" s="1"/>
  <c r="AT87" i="1"/>
  <c r="AT41" i="1"/>
  <c r="AT47" i="1"/>
  <c r="AT48" i="1" s="1"/>
  <c r="AU87" i="1"/>
  <c r="AU47" i="1"/>
  <c r="AU48" i="1" s="1"/>
  <c r="AU41" i="1"/>
  <c r="AU52" i="1"/>
  <c r="AU73" i="1" s="1"/>
  <c r="AU75" i="1" s="1"/>
  <c r="AU18" i="3"/>
  <c r="DH95" i="1" l="1"/>
  <c r="CX5" i="3"/>
  <c r="CX18" i="3" s="1"/>
  <c r="CX52" i="1"/>
  <c r="CX47" i="1"/>
  <c r="CX41" i="1"/>
  <c r="CX96" i="1" s="1"/>
  <c r="CX87" i="1"/>
  <c r="CS38" i="3"/>
  <c r="Q6" i="34"/>
  <c r="DC39" i="1"/>
  <c r="DC86" i="1"/>
  <c r="DC37" i="1"/>
  <c r="DC46" i="1" s="1"/>
  <c r="CS73" i="1"/>
  <c r="CS75" i="1" s="1"/>
  <c r="CS48" i="1"/>
  <c r="DH86" i="1"/>
  <c r="DH39" i="1"/>
  <c r="DH37" i="1"/>
  <c r="DH46" i="1" s="1"/>
  <c r="P8" i="34"/>
  <c r="P11" i="34"/>
  <c r="AY96" i="1"/>
  <c r="AT96" i="1"/>
  <c r="AU45" i="2"/>
  <c r="AU46" i="2" s="1"/>
  <c r="AZ42" i="2"/>
  <c r="AZ96" i="1"/>
  <c r="AU96" i="1"/>
  <c r="G6" i="34"/>
  <c r="AU38" i="3"/>
  <c r="AU40" i="3" s="1"/>
  <c r="DC5" i="3" l="1"/>
  <c r="DC18" i="3" s="1"/>
  <c r="DC41" i="1"/>
  <c r="DC96" i="1" s="1"/>
  <c r="DC87" i="1"/>
  <c r="DC52" i="1"/>
  <c r="CX73" i="1"/>
  <c r="CX75" i="1" s="1"/>
  <c r="CX48" i="1"/>
  <c r="DH5" i="3"/>
  <c r="DH18" i="3" s="1"/>
  <c r="DH87" i="1"/>
  <c r="DH52" i="1"/>
  <c r="DH47" i="1"/>
  <c r="DH41" i="1"/>
  <c r="DC47" i="1"/>
  <c r="Q8" i="34"/>
  <c r="Q11" i="34"/>
  <c r="R6" i="34"/>
  <c r="CX38" i="3"/>
  <c r="BE42" i="2"/>
  <c r="AZ45" i="2"/>
  <c r="AZ46" i="2" s="1"/>
  <c r="AZ39" i="3"/>
  <c r="AZ40" i="3" s="1"/>
  <c r="H8" i="34"/>
  <c r="G8" i="34"/>
  <c r="G11" i="34"/>
  <c r="DH96" i="1" l="1"/>
  <c r="DC73" i="1"/>
  <c r="DC75" i="1" s="1"/>
  <c r="DC48" i="1"/>
  <c r="DH38" i="3"/>
  <c r="T6" i="34"/>
  <c r="S6" i="34"/>
  <c r="DC38" i="3"/>
  <c r="R8" i="34"/>
  <c r="R11" i="34"/>
  <c r="DH48" i="1"/>
  <c r="DH73" i="1"/>
  <c r="DH75" i="1" s="1"/>
  <c r="AZ4" i="2"/>
  <c r="BE39" i="3"/>
  <c r="BE40" i="3" s="1"/>
  <c r="AU12" i="2"/>
  <c r="AU21" i="2" s="1"/>
  <c r="AU48" i="2" s="1"/>
  <c r="AU61" i="2"/>
  <c r="BJ42" i="2"/>
  <c r="BE45" i="2"/>
  <c r="BE46" i="2" s="1"/>
  <c r="T11" i="34" l="1"/>
  <c r="U6" i="34"/>
  <c r="U11" i="34" s="1"/>
  <c r="S11" i="34"/>
  <c r="S8" i="34"/>
  <c r="AU62" i="2"/>
  <c r="BE4" i="2"/>
  <c r="BJ39" i="3"/>
  <c r="BJ40" i="3" s="1"/>
  <c r="BJ45" i="2"/>
  <c r="BJ46" i="2" s="1"/>
  <c r="BO42" i="2"/>
  <c r="C14" i="34"/>
  <c r="AZ61" i="2"/>
  <c r="AZ12" i="2"/>
  <c r="AZ21" i="2" s="1"/>
  <c r="AZ48" i="2" s="1"/>
  <c r="C13" i="34" l="1"/>
  <c r="C15" i="34" s="1"/>
  <c r="C16" i="34" s="1"/>
  <c r="AZ62" i="2"/>
  <c r="AZ63" i="2"/>
  <c r="BJ4" i="2"/>
  <c r="BO39" i="3"/>
  <c r="BO40" i="3" s="1"/>
  <c r="BE12" i="2"/>
  <c r="BE21" i="2" s="1"/>
  <c r="BE48" i="2" s="1"/>
  <c r="BE61" i="2"/>
  <c r="BO45" i="2"/>
  <c r="BO46" i="2" s="1"/>
  <c r="BT42" i="2"/>
  <c r="BT45" i="2" l="1"/>
  <c r="BT46" i="2" s="1"/>
  <c r="BY42" i="2"/>
  <c r="BO4" i="2"/>
  <c r="BT39" i="3"/>
  <c r="BT40" i="3" s="1"/>
  <c r="BJ12" i="2"/>
  <c r="BJ21" i="2" s="1"/>
  <c r="BJ48" i="2" s="1"/>
  <c r="BJ61" i="2"/>
  <c r="BE62" i="2"/>
  <c r="BE63" i="2"/>
  <c r="CD42" i="2" l="1"/>
  <c r="BY45" i="2"/>
  <c r="BY46" i="2" s="1"/>
  <c r="BT4" i="2"/>
  <c r="BY39" i="3"/>
  <c r="BY40" i="3" s="1"/>
  <c r="BO12" i="2"/>
  <c r="BO21" i="2" s="1"/>
  <c r="BO48" i="2" s="1"/>
  <c r="BO61" i="2"/>
  <c r="BJ63" i="2"/>
  <c r="BJ62" i="2"/>
  <c r="BO62" i="2" l="1"/>
  <c r="BO63" i="2"/>
  <c r="BY4" i="2"/>
  <c r="CD39" i="3"/>
  <c r="CD40" i="3" s="1"/>
  <c r="BT61" i="2"/>
  <c r="BT12" i="2"/>
  <c r="BT21" i="2" s="1"/>
  <c r="BT48" i="2" s="1"/>
  <c r="CD45" i="2"/>
  <c r="CD46" i="2" s="1"/>
  <c r="CI42" i="2"/>
  <c r="BY61" i="2" l="1"/>
  <c r="BY12" i="2"/>
  <c r="BY21" i="2" s="1"/>
  <c r="BY48" i="2" s="1"/>
  <c r="CI45" i="2"/>
  <c r="CI46" i="2" s="1"/>
  <c r="CN42" i="2"/>
  <c r="CD4" i="2"/>
  <c r="CI39" i="3"/>
  <c r="CI40" i="3" s="1"/>
  <c r="BT63" i="2"/>
  <c r="BT62" i="2"/>
  <c r="CI4" i="2" l="1"/>
  <c r="CN39" i="3"/>
  <c r="CN40" i="3" s="1"/>
  <c r="CS42" i="2"/>
  <c r="CN45" i="2"/>
  <c r="CN46" i="2" s="1"/>
  <c r="CD12" i="2"/>
  <c r="CD21" i="2" s="1"/>
  <c r="CD48" i="2" s="1"/>
  <c r="CD61" i="2"/>
  <c r="BY63" i="2"/>
  <c r="BY62" i="2"/>
  <c r="CX42" i="2" l="1"/>
  <c r="CS45" i="2"/>
  <c r="CS46" i="2" s="1"/>
  <c r="CD63" i="2"/>
  <c r="CD62" i="2"/>
  <c r="CS39" i="3"/>
  <c r="CS40" i="3" s="1"/>
  <c r="CN4" i="2"/>
  <c r="CI12" i="2"/>
  <c r="CI21" i="2" s="1"/>
  <c r="CI48" i="2" s="1"/>
  <c r="CI61" i="2"/>
  <c r="CI62" i="2" l="1"/>
  <c r="CI63" i="2"/>
  <c r="CN61" i="2"/>
  <c r="CN12" i="2"/>
  <c r="CN21" i="2" s="1"/>
  <c r="CN48" i="2" s="1"/>
  <c r="CS4" i="2"/>
  <c r="CX39" i="3"/>
  <c r="CX40" i="3" s="1"/>
  <c r="CX45" i="2"/>
  <c r="CX46" i="2" s="1"/>
  <c r="DC42" i="2"/>
  <c r="CX4" i="2" l="1"/>
  <c r="DC39" i="3"/>
  <c r="DC40" i="3" s="1"/>
  <c r="DC45" i="2"/>
  <c r="DC46" i="2" s="1"/>
  <c r="DH42" i="2"/>
  <c r="DH45" i="2" s="1"/>
  <c r="DH46" i="2" s="1"/>
  <c r="CN62" i="2"/>
  <c r="CN63" i="2"/>
  <c r="CS12" i="2"/>
  <c r="CS21" i="2" s="1"/>
  <c r="CS48" i="2" s="1"/>
  <c r="CS61" i="2"/>
  <c r="CS62" i="2" l="1"/>
  <c r="CS63" i="2"/>
  <c r="DC4" i="2"/>
  <c r="DH39" i="3"/>
  <c r="DH40" i="3" s="1"/>
  <c r="DH4" i="2" s="1"/>
  <c r="CX12" i="2"/>
  <c r="CX21" i="2" s="1"/>
  <c r="CX48" i="2" s="1"/>
  <c r="CX61" i="2"/>
  <c r="DH12" i="2" l="1"/>
  <c r="DH21" i="2" s="1"/>
  <c r="DH48" i="2" s="1"/>
  <c r="DH61" i="2"/>
  <c r="DC61" i="2"/>
  <c r="DC12" i="2"/>
  <c r="DC21" i="2" s="1"/>
  <c r="DC48" i="2" s="1"/>
  <c r="CX63" i="2"/>
  <c r="CX62" i="2"/>
  <c r="DC62" i="2" l="1"/>
  <c r="DC63" i="2"/>
  <c r="DH63" i="2"/>
  <c r="DH62" i="2"/>
</calcChain>
</file>

<file path=xl/comments1.xml><?xml version="1.0" encoding="utf-8"?>
<comments xmlns="http://schemas.openxmlformats.org/spreadsheetml/2006/main">
  <authors>
    <author>Harrison, Matthew (Research)</author>
  </authors>
  <commentList>
    <comment ref="AZ14" authorId="0">
      <text>
        <r>
          <rPr>
            <b/>
            <sz val="9"/>
            <color indexed="81"/>
            <rFont val="Tahoma"/>
            <family val="2"/>
          </rPr>
          <t>Harrison, Matthew (Research):</t>
        </r>
        <r>
          <rPr>
            <sz val="9"/>
            <color indexed="81"/>
            <rFont val="Tahoma"/>
            <family val="2"/>
          </rPr>
          <t xml:space="preserve">
includes $65M in Limerick facility costs</t>
        </r>
      </text>
    </comment>
    <comment ref="AD23" authorId="0">
      <text>
        <r>
          <rPr>
            <b/>
            <sz val="9"/>
            <color indexed="81"/>
            <rFont val="Tahoma"/>
            <family val="2"/>
          </rPr>
          <t>Harrison, Matthew (Research):</t>
        </r>
        <r>
          <rPr>
            <sz val="9"/>
            <color indexed="81"/>
            <rFont val="Tahoma"/>
            <family val="2"/>
          </rPr>
          <t xml:space="preserve">
incl. $34M from priority review voucher</t>
        </r>
      </text>
    </comment>
    <comment ref="AP36" authorId="0">
      <text>
        <r>
          <rPr>
            <b/>
            <sz val="9"/>
            <color indexed="81"/>
            <rFont val="Tahoma"/>
            <family val="2"/>
          </rPr>
          <t>Harrison, Matthew (Research):</t>
        </r>
        <r>
          <rPr>
            <sz val="9"/>
            <color indexed="81"/>
            <rFont val="Tahoma"/>
            <family val="2"/>
          </rPr>
          <t xml:space="preserve">
includes 1x IP costs to move IP offshore</t>
        </r>
      </text>
    </comment>
  </commentList>
</comments>
</file>

<file path=xl/comments2.xml><?xml version="1.0" encoding="utf-8"?>
<comments xmlns="http://schemas.openxmlformats.org/spreadsheetml/2006/main">
  <authors>
    <author>Harrison, Matthew (Research)</author>
    <author>Harrison, Matthew</author>
  </authors>
  <commentList>
    <comment ref="AG15" authorId="0">
      <text>
        <r>
          <rPr>
            <b/>
            <sz val="9"/>
            <color indexed="81"/>
            <rFont val="Tahoma"/>
            <family val="2"/>
          </rPr>
          <t>Harrison, Matthew (Research):</t>
        </r>
        <r>
          <rPr>
            <sz val="9"/>
            <color indexed="81"/>
            <rFont val="Tahoma"/>
            <family val="2"/>
          </rPr>
          <t xml:space="preserve">
catch-up for changing terms</t>
        </r>
      </text>
    </comment>
    <comment ref="X22" authorId="1">
      <text>
        <r>
          <rPr>
            <b/>
            <sz val="9"/>
            <color indexed="81"/>
            <rFont val="Tahoma"/>
            <family val="2"/>
          </rPr>
          <t>Harrison, Matthew:</t>
        </r>
        <r>
          <rPr>
            <sz val="9"/>
            <color indexed="81"/>
            <rFont val="Tahoma"/>
            <family val="2"/>
          </rPr>
          <t xml:space="preserve">
1x upfront pmt for eye antibodies</t>
        </r>
      </text>
    </comment>
    <comment ref="AB36" authorId="0">
      <text>
        <r>
          <rPr>
            <b/>
            <sz val="9"/>
            <color indexed="81"/>
            <rFont val="Tahoma"/>
            <family val="2"/>
          </rPr>
          <t>Harrison, Matthew (Research):</t>
        </r>
        <r>
          <rPr>
            <sz val="9"/>
            <color indexed="81"/>
            <rFont val="Tahoma"/>
            <family val="2"/>
          </rPr>
          <t xml:space="preserve">
true run-rate was 4.6M b/c a one-time pmt of 15.7M was due to Bayer opting into the bRVO indication</t>
        </r>
      </text>
    </comment>
    <comment ref="AB39" authorId="0">
      <text>
        <r>
          <rPr>
            <b/>
            <sz val="9"/>
            <color indexed="81"/>
            <rFont val="Tahoma"/>
            <family val="2"/>
          </rPr>
          <t>Harrison, Matthew (Research):</t>
        </r>
        <r>
          <rPr>
            <sz val="9"/>
            <color indexed="81"/>
            <rFont val="Tahoma"/>
            <family val="2"/>
          </rPr>
          <t xml:space="preserve">
includes ~2.9M for PDGF development</t>
        </r>
      </text>
    </comment>
    <comment ref="AG50" authorId="0">
      <text>
        <r>
          <rPr>
            <b/>
            <sz val="9"/>
            <color indexed="81"/>
            <rFont val="Tahoma"/>
            <family val="2"/>
          </rPr>
          <t>Harrison, Matthew (Research):</t>
        </r>
        <r>
          <rPr>
            <sz val="9"/>
            <color indexed="81"/>
            <rFont val="Tahoma"/>
            <family val="2"/>
          </rPr>
          <t xml:space="preserve">
1x $20M related to zaltrap</t>
        </r>
      </text>
    </comment>
  </commentList>
</comments>
</file>

<file path=xl/comments3.xml><?xml version="1.0" encoding="utf-8"?>
<comments xmlns="http://schemas.openxmlformats.org/spreadsheetml/2006/main">
  <authors>
    <author>Harrison, Matthew (Research)</author>
  </authors>
  <commentList>
    <comment ref="AK11" authorId="0">
      <text>
        <r>
          <rPr>
            <b/>
            <sz val="9"/>
            <color indexed="81"/>
            <rFont val="Tahoma"/>
            <family val="2"/>
          </rPr>
          <t>Harrison, Matthew (Research):</t>
        </r>
        <r>
          <rPr>
            <sz val="9"/>
            <color indexed="81"/>
            <rFont val="Tahoma"/>
            <family val="2"/>
          </rPr>
          <t xml:space="preserve">
DNA royalty of 5.5% end on May 7, 2016</t>
        </r>
      </text>
    </comment>
    <comment ref="L40" authorId="0">
      <text>
        <r>
          <rPr>
            <b/>
            <sz val="9"/>
            <color indexed="81"/>
            <rFont val="Tahoma"/>
            <family val="2"/>
          </rPr>
          <t>Harrison, Matthew (Research):</t>
        </r>
        <r>
          <rPr>
            <sz val="9"/>
            <color indexed="81"/>
            <rFont val="Tahoma"/>
            <family val="2"/>
          </rPr>
          <t xml:space="preserve">
from 10-K</t>
        </r>
      </text>
    </comment>
    <comment ref="AF102" authorId="0">
      <text>
        <r>
          <rPr>
            <b/>
            <sz val="9"/>
            <color indexed="81"/>
            <rFont val="Tahoma"/>
            <family val="2"/>
          </rPr>
          <t>Harrison, Matthew (Research):</t>
        </r>
        <r>
          <rPr>
            <sz val="9"/>
            <color indexed="81"/>
            <rFont val="Tahoma"/>
            <family val="2"/>
          </rPr>
          <t xml:space="preserve">
Gone May 6, 2016</t>
        </r>
      </text>
    </comment>
  </commentList>
</comments>
</file>

<file path=xl/comments4.xml><?xml version="1.0" encoding="utf-8"?>
<comments xmlns="http://schemas.openxmlformats.org/spreadsheetml/2006/main">
  <authors>
    <author>Purohit, Vikram (Research)</author>
  </authors>
  <commentList>
    <comment ref="AV10" authorId="0">
      <text>
        <r>
          <rPr>
            <b/>
            <sz val="9"/>
            <color indexed="81"/>
            <rFont val="Tahoma"/>
            <family val="2"/>
          </rPr>
          <t>Purohit, Vikram (Research):</t>
        </r>
        <r>
          <rPr>
            <sz val="9"/>
            <color indexed="81"/>
            <rFont val="Tahoma"/>
            <family val="2"/>
          </rPr>
          <t xml:space="preserve">
1Q15 onwards, exchange rate data from x-rates: 
http://x-rates.com/average/?from=USD&amp;to=CHF&amp;amount=1&amp;year=2015</t>
        </r>
      </text>
    </comment>
  </commentList>
</comments>
</file>

<file path=xl/comments5.xml><?xml version="1.0" encoding="utf-8"?>
<comments xmlns="http://schemas.openxmlformats.org/spreadsheetml/2006/main">
  <authors>
    <author>Harrison, Matthew (Research)</author>
  </authors>
  <commentList>
    <comment ref="AA28" authorId="0">
      <text>
        <r>
          <rPr>
            <b/>
            <sz val="9"/>
            <color indexed="81"/>
            <rFont val="Tahoma"/>
            <family val="2"/>
          </rPr>
          <t>Harrison, Matthew (Research):</t>
        </r>
        <r>
          <rPr>
            <sz val="9"/>
            <color indexed="81"/>
            <rFont val="Tahoma"/>
            <family val="2"/>
          </rPr>
          <t xml:space="preserve">
Gone May 6, 2016
</t>
        </r>
      </text>
    </comment>
  </commentList>
</comments>
</file>

<file path=xl/comments6.xml><?xml version="1.0" encoding="utf-8"?>
<comments xmlns="http://schemas.openxmlformats.org/spreadsheetml/2006/main">
  <authors>
    <author>Purohit, Vikram (Research)</author>
    <author>Harrison, Matthew (Research)</author>
  </authors>
  <commentList>
    <comment ref="N7" authorId="0">
      <text>
        <r>
          <rPr>
            <b/>
            <sz val="9"/>
            <color indexed="81"/>
            <rFont val="Tahoma"/>
            <family val="2"/>
          </rPr>
          <t>Purohit, Vikram (Research):</t>
        </r>
        <r>
          <rPr>
            <sz val="9"/>
            <color indexed="81"/>
            <rFont val="Tahoma"/>
            <family val="2"/>
          </rPr>
          <t xml:space="preserve">
5/5/16 - Sanofi reports in 1Q16 financials that 75% of 1Q16 Praluent sales were in the US (9M EUR / 12M EUR)</t>
        </r>
      </text>
    </comment>
    <comment ref="N24" authorId="0">
      <text>
        <r>
          <rPr>
            <b/>
            <sz val="9"/>
            <color indexed="81"/>
            <rFont val="Tahoma"/>
            <family val="2"/>
          </rPr>
          <t>Purohit, Vikram (Research):</t>
        </r>
        <r>
          <rPr>
            <sz val="9"/>
            <color indexed="81"/>
            <rFont val="Tahoma"/>
            <family val="2"/>
          </rPr>
          <t xml:space="preserve">
5/5/16 - Sanofi reports in 1Q16 financials that 25% of Praluent sales were in the EU (3M EUR / 12M EUR)</t>
        </r>
      </text>
    </comment>
    <comment ref="C130" authorId="1">
      <text>
        <r>
          <rPr>
            <b/>
            <sz val="9"/>
            <color indexed="81"/>
            <rFont val="Tahoma"/>
            <family val="2"/>
          </rPr>
          <t>Harrison, Matthew (Research):</t>
        </r>
        <r>
          <rPr>
            <sz val="9"/>
            <color indexed="81"/>
            <rFont val="Tahoma"/>
            <family val="2"/>
          </rPr>
          <t xml:space="preserve">
REGN 10-k</t>
        </r>
      </text>
    </comment>
  </commentList>
</comments>
</file>

<file path=xl/comments7.xml><?xml version="1.0" encoding="utf-8"?>
<comments xmlns="http://schemas.openxmlformats.org/spreadsheetml/2006/main">
  <authors>
    <author>Purohit, Vikram (Research)</author>
  </authors>
  <commentList>
    <comment ref="D12" authorId="0">
      <text>
        <r>
          <rPr>
            <b/>
            <sz val="9"/>
            <color indexed="81"/>
            <rFont val="Tahoma"/>
            <family val="2"/>
          </rPr>
          <t>Purohit, Vikram (Research):</t>
        </r>
        <r>
          <rPr>
            <sz val="9"/>
            <color indexed="81"/>
            <rFont val="Tahoma"/>
            <family val="2"/>
          </rPr>
          <t xml:space="preserve">
2015 and 2016 is total R&amp;D expense; 1Q and 2Q17 is direct R&amp;D</t>
        </r>
      </text>
    </comment>
  </commentList>
</comments>
</file>

<file path=xl/comments8.xml><?xml version="1.0" encoding="utf-8"?>
<comments xmlns="http://schemas.openxmlformats.org/spreadsheetml/2006/main">
  <authors>
    <author>Cyrus Amoozegar</author>
    <author>yigaln</author>
    <author>Harrison, Matthew (Research)</author>
  </authors>
  <commentList>
    <comment ref="I8" authorId="0">
      <text>
        <r>
          <rPr>
            <sz val="8"/>
            <color indexed="81"/>
            <rFont val="Tahoma"/>
            <family val="2"/>
          </rPr>
          <t>Regeneron Analyst Day 2010</t>
        </r>
      </text>
    </comment>
    <comment ref="I9" authorId="1">
      <text>
        <r>
          <rPr>
            <b/>
            <sz val="8"/>
            <color indexed="81"/>
            <rFont val="Tahoma"/>
            <family val="2"/>
          </rPr>
          <t>yigaln:</t>
        </r>
        <r>
          <rPr>
            <sz val="8"/>
            <color indexed="81"/>
            <rFont val="Tahoma"/>
            <family val="2"/>
          </rPr>
          <t xml:space="preserve">
Prevalence of Age-Related Macular Degeneration
in the United States</t>
        </r>
      </text>
    </comment>
    <comment ref="I10" authorId="0">
      <text>
        <r>
          <rPr>
            <sz val="8"/>
            <color indexed="81"/>
            <rFont val="Tahoma"/>
            <family val="2"/>
          </rPr>
          <t>Regeneron Analyst Day 2010</t>
        </r>
      </text>
    </comment>
    <comment ref="I11" authorId="0">
      <text>
        <r>
          <rPr>
            <sz val="8"/>
            <color indexed="81"/>
            <rFont val="Tahoma"/>
            <family val="2"/>
          </rPr>
          <t>Regeneron Analyst Day 2010</t>
        </r>
      </text>
    </comment>
    <comment ref="I12" authorId="0">
      <text>
        <r>
          <rPr>
            <sz val="8"/>
            <color indexed="81"/>
            <rFont val="Tahoma"/>
            <family val="2"/>
          </rPr>
          <t>Regeneron Analyst Day 2010</t>
        </r>
      </text>
    </comment>
    <comment ref="I13" authorId="0">
      <text>
        <r>
          <rPr>
            <sz val="8"/>
            <color indexed="81"/>
            <rFont val="Tahoma"/>
            <family val="2"/>
          </rPr>
          <t>Regeneron Analyst Day 2010</t>
        </r>
      </text>
    </comment>
    <comment ref="I14" authorId="0">
      <text>
        <r>
          <rPr>
            <sz val="8"/>
            <color indexed="81"/>
            <rFont val="Tahoma"/>
            <family val="2"/>
          </rPr>
          <t>Regeneron Analyst Day 2010</t>
        </r>
      </text>
    </comment>
    <comment ref="I15" authorId="0">
      <text>
        <r>
          <rPr>
            <sz val="8"/>
            <color indexed="81"/>
            <rFont val="Tahoma"/>
            <family val="2"/>
          </rPr>
          <t>Regeneron Analyst Day 2010</t>
        </r>
      </text>
    </comment>
    <comment ref="K20" authorId="1">
      <text>
        <r>
          <rPr>
            <b/>
            <sz val="8"/>
            <color indexed="81"/>
            <rFont val="Tahoma"/>
            <family val="2"/>
          </rPr>
          <t>yigaln:</t>
        </r>
        <r>
          <rPr>
            <sz val="8"/>
            <color indexed="81"/>
            <rFont val="Tahoma"/>
            <family val="2"/>
          </rPr>
          <t xml:space="preserve">
In the first quarter a survey suggested EYLEA is capturing approximately 10% of the anti-VEGF market for wet AMD including off-label Avastin
which accounts for approximately 60% of that market.</t>
        </r>
      </text>
    </comment>
    <comment ref="L20" authorId="1">
      <text>
        <r>
          <rPr>
            <b/>
            <sz val="8"/>
            <color indexed="81"/>
            <rFont val="Tahoma"/>
            <family val="2"/>
          </rPr>
          <t>yigaln:</t>
        </r>
        <r>
          <rPr>
            <sz val="8"/>
            <color indexed="81"/>
            <rFont val="Tahoma"/>
            <family val="2"/>
          </rPr>
          <t xml:space="preserve">
In terms of penetration and/or market share within these accounts, our market research suggests that EYLEA has now captured approximately
14% of the overall wet AMD, anti-VEGF market by volume</t>
        </r>
      </text>
    </comment>
    <comment ref="M20" authorId="1">
      <text>
        <r>
          <rPr>
            <b/>
            <sz val="8"/>
            <color indexed="81"/>
            <rFont val="Tahoma"/>
            <family val="2"/>
          </rPr>
          <t>yigaln:</t>
        </r>
        <r>
          <rPr>
            <sz val="8"/>
            <color indexed="81"/>
            <rFont val="Tahoma"/>
            <family val="2"/>
          </rPr>
          <t xml:space="preserve">
Sure. In the past, we have given you information from physician surveys. We would like to try to get more focus on the actual numbers. So I think
what we can tell you is that Avastin has about 50% of the overall market at the present time. Among the two products that are specifically approved
for use in retinal diseases, total sales were $636 million. Our share of those sales is about 40%. So overall what you can look at is in the marketplace
for anti-VEGF therapies used in the eye, we have about a 20% market share.</t>
        </r>
      </text>
    </comment>
    <comment ref="N20" authorId="1">
      <text>
        <r>
          <rPr>
            <b/>
            <sz val="8"/>
            <color indexed="81"/>
            <rFont val="Tahoma"/>
            <family val="2"/>
          </rPr>
          <t>yigaln:</t>
        </r>
        <r>
          <rPr>
            <sz val="8"/>
            <color indexed="81"/>
            <rFont val="Tahoma"/>
            <family val="2"/>
          </rPr>
          <t xml:space="preserve">
Based on the updated qualitative market research surveys that we conducted during the fourth quarter, in terms of unit volume, that decision map
represented 47% of treated eyes. Ranibizumab 30%, and EYLEA captured approximately 22% of the wet AMD market.</t>
        </r>
      </text>
    </comment>
    <comment ref="P20" authorId="1">
      <text>
        <r>
          <rPr>
            <sz val="8"/>
            <color indexed="81"/>
            <rFont val="Tahoma"/>
            <family val="2"/>
          </rPr>
          <t>Our qualitative market research, which comes from physician-based questionnaires and was conducted in the first quarter, indicates that in terms of eyes treated, EYLEA now represents 24% of the US wet AMD market. Ranibizumab represents 30%, and bevacizumab represents 46% of the market. This suggests that EYLEA holds a 44% share of the unlabeled wet AMD market.</t>
        </r>
      </text>
    </comment>
    <comment ref="Q20" authorId="1">
      <text>
        <r>
          <rPr>
            <b/>
            <sz val="8"/>
            <color indexed="81"/>
            <rFont val="Tahoma"/>
            <family val="2"/>
          </rPr>
          <t>yigaln:</t>
        </r>
        <r>
          <rPr>
            <sz val="8"/>
            <color indexed="81"/>
            <rFont val="Tahoma"/>
            <family val="2"/>
          </rPr>
          <t xml:space="preserve">
EYLEA now represents almost half of the US wet AMD market for approved products, with approved products accounting
for more than half of the overall marketplace</t>
        </r>
      </text>
    </comment>
    <comment ref="R20" authorId="1">
      <text>
        <r>
          <rPr>
            <b/>
            <sz val="8"/>
            <color indexed="81"/>
            <rFont val="Tahoma"/>
            <family val="2"/>
          </rPr>
          <t>yigaln:</t>
        </r>
        <r>
          <rPr>
            <sz val="8"/>
            <color indexed="81"/>
            <rFont val="Tahoma"/>
            <family val="2"/>
          </rPr>
          <t xml:space="preserve">
Let me begin with the wet AMD indication. In the third quarter, physicians reported that EYLEA had a 26% market share in wet AMD, with ranibizumab
having a 25% share and off-label bevacizumab having a 48% share.</t>
        </r>
      </text>
    </comment>
    <comment ref="S20" authorId="2">
      <text>
        <r>
          <rPr>
            <b/>
            <sz val="9"/>
            <color indexed="81"/>
            <rFont val="Tahoma"/>
            <family val="2"/>
          </rPr>
          <t>Harrison, Matthew (Research):</t>
        </r>
        <r>
          <rPr>
            <sz val="9"/>
            <color indexed="81"/>
            <rFont val="Tahoma"/>
            <family val="2"/>
          </rPr>
          <t xml:space="preserve">
50% of branded mkt per REGN survey</t>
        </r>
      </text>
    </comment>
    <comment ref="K21" authorId="1">
      <text>
        <r>
          <rPr>
            <b/>
            <sz val="8"/>
            <color indexed="81"/>
            <rFont val="Tahoma"/>
            <family val="2"/>
          </rPr>
          <t>yigaln:</t>
        </r>
        <r>
          <rPr>
            <sz val="8"/>
            <color indexed="81"/>
            <rFont val="Tahoma"/>
            <family val="2"/>
          </rPr>
          <t xml:space="preserve">
Specifically, our survey data suggested approximately 40% of EYLEA patients are new to anti-VEGF
therapy.This means that about 60% of EYLEA use has come from patients switching from other therapies. Importantly, prior Lucentis users account for the majority of switches at roughly 60% but prior Avastin users are an important contributor at roughly 40%.</t>
        </r>
      </text>
    </comment>
    <comment ref="L21" authorId="1">
      <text>
        <r>
          <rPr>
            <b/>
            <sz val="8"/>
            <color indexed="81"/>
            <rFont val="Tahoma"/>
            <family val="2"/>
          </rPr>
          <t>yigaln:</t>
        </r>
        <r>
          <rPr>
            <sz val="8"/>
            <color indexed="81"/>
            <rFont val="Tahoma"/>
            <family val="2"/>
          </rPr>
          <t xml:space="preserve">
Based on qualitative market research survey results we estimate that at the time of our survey, patients continuing on EYLEA represent
approximately 40% of our sales. 35% comes from wet AMD patients new to anti-VEGF therapy and the remaining 25% come from patients switching
from other anti-VEGF therapies</t>
        </r>
      </text>
    </comment>
    <comment ref="M21" authorId="1">
      <text>
        <r>
          <rPr>
            <b/>
            <sz val="8"/>
            <color indexed="81"/>
            <rFont val="Tahoma"/>
            <family val="2"/>
          </rPr>
          <t>yigaln:</t>
        </r>
        <r>
          <rPr>
            <sz val="8"/>
            <color indexed="81"/>
            <rFont val="Tahoma"/>
            <family val="2"/>
          </rPr>
          <t xml:space="preserve">
Data not provided this Q</t>
        </r>
      </text>
    </comment>
    <comment ref="N21" authorId="1">
      <text>
        <r>
          <rPr>
            <b/>
            <sz val="8"/>
            <color indexed="81"/>
            <rFont val="Tahoma"/>
            <family val="2"/>
          </rPr>
          <t>yigaln:</t>
        </r>
        <r>
          <rPr>
            <sz val="8"/>
            <color indexed="81"/>
            <rFont val="Tahoma"/>
            <family val="2"/>
          </rPr>
          <t xml:space="preserve">
Of the patients who were
newly treated with EYLEA, approximately 65% were new to anti-VEGF therapy, and 35% were switches from existing therapy.</t>
        </r>
      </text>
    </comment>
    <comment ref="P21" authorId="1">
      <text>
        <r>
          <rPr>
            <b/>
            <sz val="8"/>
            <color indexed="81"/>
            <rFont val="Tahoma"/>
            <family val="2"/>
          </rPr>
          <t>yigaln:</t>
        </r>
        <r>
          <rPr>
            <sz val="8"/>
            <color indexed="81"/>
            <rFont val="Tahoma"/>
            <family val="2"/>
          </rPr>
          <t xml:space="preserve">
In the first quarter, 59% of EYLEA-treated eyes were eyes
continuing on EYLEA from previous months. 25% were switches from bevacizumab and ranibizumab, and 16% were new to anti-VEGF treatment.
</t>
        </r>
      </text>
    </comment>
    <comment ref="Q21" authorId="1">
      <text>
        <r>
          <rPr>
            <b/>
            <sz val="8"/>
            <color indexed="81"/>
            <rFont val="Tahoma"/>
            <family val="2"/>
          </rPr>
          <t>yigaln:</t>
        </r>
        <r>
          <rPr>
            <sz val="8"/>
            <color indexed="81"/>
            <rFont val="Tahoma"/>
            <family val="2"/>
          </rPr>
          <t xml:space="preserve">
Once again, based on qualitative market research, in the second quarter approximately
60% of the EYLEA treated eyes were continuing on EYLEA from previous months. 18% were switches from bevacizumab and ranibizumab, and
21% were new the to anti-VEGF treatment. Highlighting that the pool of patients available for switching is reaching steady state levels, new patients
represented a larger share than switched patients in EYLEA market share for the first time.</t>
        </r>
      </text>
    </comment>
    <comment ref="R21" authorId="1">
      <text>
        <r>
          <rPr>
            <b/>
            <sz val="8"/>
            <color indexed="81"/>
            <rFont val="Tahoma"/>
            <family val="2"/>
          </rPr>
          <t>yigaln:</t>
        </r>
        <r>
          <rPr>
            <sz val="8"/>
            <color indexed="81"/>
            <rFont val="Tahoma"/>
            <family val="2"/>
          </rPr>
          <t xml:space="preserve">
In the third quarter, physicians reported that EYLEA had a 26% market share in wet AMD, with ranibizumab having a 25% share and off-label bevacizumab having a 48% share.</t>
        </r>
      </text>
    </comment>
    <comment ref="AJ24" authorId="1">
      <text>
        <r>
          <rPr>
            <b/>
            <sz val="8"/>
            <color indexed="81"/>
            <rFont val="Tahoma"/>
            <family val="2"/>
          </rPr>
          <t>yigaln:</t>
        </r>
        <r>
          <rPr>
            <sz val="8"/>
            <color indexed="81"/>
            <rFont val="Tahoma"/>
            <family val="2"/>
          </rPr>
          <t xml:space="preserve">
New launches</t>
        </r>
      </text>
    </comment>
    <comment ref="J27" authorId="1">
      <text>
        <r>
          <rPr>
            <b/>
            <sz val="8"/>
            <color indexed="81"/>
            <rFont val="Tahoma"/>
            <family val="2"/>
          </rPr>
          <t>yigaln:</t>
        </r>
        <r>
          <rPr>
            <sz val="8"/>
            <color indexed="81"/>
            <rFont val="Tahoma"/>
            <family val="2"/>
          </rPr>
          <t xml:space="preserve">
Graefes Arch Clin Exp Ophthalmol (2011) 249:521–527</t>
        </r>
      </text>
    </comment>
    <comment ref="K29" authorId="1">
      <text>
        <r>
          <rPr>
            <b/>
            <sz val="8"/>
            <color indexed="81"/>
            <rFont val="Tahoma"/>
            <family val="2"/>
          </rPr>
          <t>yigaln:</t>
        </r>
        <r>
          <rPr>
            <sz val="8"/>
            <color indexed="81"/>
            <rFont val="Tahoma"/>
            <family val="2"/>
          </rPr>
          <t xml:space="preserve">
start in middle of Q on avg and 3 cons monthly doses for new starts
</t>
        </r>
      </text>
    </comment>
    <comment ref="P29" authorId="1">
      <text>
        <r>
          <rPr>
            <b/>
            <sz val="8"/>
            <color indexed="81"/>
            <rFont val="Tahoma"/>
            <family val="2"/>
          </rPr>
          <t>yigaln:</t>
        </r>
        <r>
          <rPr>
            <sz val="8"/>
            <color indexed="81"/>
            <rFont val="Tahoma"/>
            <family val="2"/>
          </rPr>
          <t xml:space="preserve">
start in middle of Q on avg and 3 cons monthly doses for new starts
</t>
        </r>
      </text>
    </comment>
    <comment ref="U29" authorId="1">
      <text>
        <r>
          <rPr>
            <b/>
            <sz val="8"/>
            <color indexed="81"/>
            <rFont val="Tahoma"/>
            <family val="2"/>
          </rPr>
          <t>yigaln:</t>
        </r>
        <r>
          <rPr>
            <sz val="8"/>
            <color indexed="81"/>
            <rFont val="Tahoma"/>
            <family val="2"/>
          </rPr>
          <t xml:space="preserve">
start in middle of Q on avg and 3 cons monthly doses for new starts
</t>
        </r>
      </text>
    </comment>
    <comment ref="Z29" authorId="1">
      <text>
        <r>
          <rPr>
            <b/>
            <sz val="8"/>
            <color indexed="81"/>
            <rFont val="Tahoma"/>
            <family val="2"/>
          </rPr>
          <t>yigaln:</t>
        </r>
        <r>
          <rPr>
            <sz val="8"/>
            <color indexed="81"/>
            <rFont val="Tahoma"/>
            <family val="2"/>
          </rPr>
          <t xml:space="preserve">
start in middle of Q on avg and 3 cons monthly doses for new starts
</t>
        </r>
      </text>
    </comment>
    <comment ref="J33" authorId="1">
      <text>
        <r>
          <rPr>
            <b/>
            <sz val="8"/>
            <color indexed="81"/>
            <rFont val="Tahoma"/>
            <family val="2"/>
          </rPr>
          <t>yigaln:</t>
        </r>
        <r>
          <rPr>
            <sz val="8"/>
            <color indexed="81"/>
            <rFont val="Tahoma"/>
            <family val="2"/>
          </rPr>
          <t xml:space="preserve">
~15K vials shipped in 4Q11</t>
        </r>
      </text>
    </comment>
    <comment ref="Y34" authorId="1">
      <text>
        <r>
          <rPr>
            <b/>
            <sz val="8"/>
            <color indexed="81"/>
            <rFont val="Tahoma"/>
            <family val="2"/>
          </rPr>
          <t>yigaln:</t>
        </r>
        <r>
          <rPr>
            <sz val="8"/>
            <color indexed="81"/>
            <rFont val="Tahoma"/>
            <family val="2"/>
          </rPr>
          <t xml:space="preserve">
Roche has indicated Lucentis pricing will go down</t>
        </r>
      </text>
    </comment>
    <comment ref="M35" authorId="1">
      <text>
        <r>
          <rPr>
            <b/>
            <sz val="8"/>
            <color indexed="81"/>
            <rFont val="Tahoma"/>
            <family val="2"/>
          </rPr>
          <t>yigaln:</t>
        </r>
        <r>
          <rPr>
            <sz val="8"/>
            <color indexed="81"/>
            <rFont val="Tahoma"/>
            <family val="2"/>
          </rPr>
          <t xml:space="preserve">
stopped reporting</t>
        </r>
      </text>
    </comment>
    <comment ref="N38" authorId="2">
      <text>
        <r>
          <rPr>
            <b/>
            <sz val="9"/>
            <color indexed="81"/>
            <rFont val="Tahoma"/>
            <family val="2"/>
          </rPr>
          <t>Harrison, Matthew (Research):</t>
        </r>
        <r>
          <rPr>
            <sz val="9"/>
            <color indexed="81"/>
            <rFont val="Tahoma"/>
            <family val="2"/>
          </rPr>
          <t xml:space="preserve">
CRVO on label 9/2012</t>
        </r>
      </text>
    </comment>
    <comment ref="N55" authorId="1">
      <text>
        <r>
          <rPr>
            <b/>
            <sz val="8"/>
            <color indexed="81"/>
            <rFont val="Tahoma"/>
            <family val="2"/>
          </rPr>
          <t>yigaln:</t>
        </r>
        <r>
          <rPr>
            <sz val="8"/>
            <color indexed="81"/>
            <rFont val="Tahoma"/>
            <family val="2"/>
          </rPr>
          <t xml:space="preserve">
Approved 11/27/12 for wAMD in EU</t>
        </r>
      </text>
    </comment>
    <comment ref="AJ56" authorId="1">
      <text>
        <r>
          <rPr>
            <b/>
            <sz val="8"/>
            <color indexed="81"/>
            <rFont val="Tahoma"/>
            <family val="2"/>
          </rPr>
          <t>yigaln:</t>
        </r>
        <r>
          <rPr>
            <sz val="8"/>
            <color indexed="81"/>
            <rFont val="Tahoma"/>
            <family val="2"/>
          </rPr>
          <t xml:space="preserve">
New launches</t>
        </r>
      </text>
    </comment>
    <comment ref="N59" authorId="1">
      <text>
        <r>
          <rPr>
            <b/>
            <sz val="8"/>
            <color indexed="81"/>
            <rFont val="Tahoma"/>
            <family val="2"/>
          </rPr>
          <t>yigaln:</t>
        </r>
        <r>
          <rPr>
            <sz val="8"/>
            <color indexed="81"/>
            <rFont val="Tahoma"/>
            <family val="2"/>
          </rPr>
          <t xml:space="preserve">
Graefes Arch Clin Exp Ophthalmol (2011) 249:521–527</t>
        </r>
      </text>
    </comment>
    <comment ref="Y62" authorId="1">
      <text>
        <r>
          <rPr>
            <b/>
            <sz val="8"/>
            <color indexed="81"/>
            <rFont val="Tahoma"/>
            <family val="2"/>
          </rPr>
          <t>yigaln:</t>
        </r>
        <r>
          <rPr>
            <sz val="8"/>
            <color indexed="81"/>
            <rFont val="Tahoma"/>
            <family val="2"/>
          </rPr>
          <t xml:space="preserve">
Roche has indicated Lucentis pricing will go down</t>
        </r>
      </text>
    </comment>
  </commentList>
</comments>
</file>

<file path=xl/comments9.xml><?xml version="1.0" encoding="utf-8"?>
<comments xmlns="http://schemas.openxmlformats.org/spreadsheetml/2006/main">
  <authors>
    <author>Cyrus Amoozegar</author>
    <author>yigaln</author>
    <author>Harrison, Matthew (Research)</author>
  </authors>
  <commentList>
    <comment ref="I4" authorId="0">
      <text>
        <r>
          <rPr>
            <sz val="8"/>
            <color indexed="81"/>
            <rFont val="Tahoma"/>
            <family val="2"/>
          </rPr>
          <t xml:space="preserve">US Census Data
</t>
        </r>
      </text>
    </comment>
    <comment ref="J10" authorId="1">
      <text>
        <r>
          <rPr>
            <b/>
            <sz val="8"/>
            <color indexed="81"/>
            <rFont val="Tahoma"/>
            <family val="2"/>
          </rPr>
          <t>yigaln:</t>
        </r>
        <r>
          <rPr>
            <sz val="8"/>
            <color indexed="81"/>
            <rFont val="Tahoma"/>
            <family val="2"/>
          </rPr>
          <t xml:space="preserve">
Curr Diab Rep. 2012 Aug;12(4):346-54. doi: 10.1007/s11892-012-0283-6.
</t>
        </r>
      </text>
    </comment>
    <comment ref="K13" authorId="1">
      <text>
        <r>
          <rPr>
            <b/>
            <sz val="8"/>
            <color indexed="81"/>
            <rFont val="Tahoma"/>
            <family val="2"/>
          </rPr>
          <t>yigaln:</t>
        </r>
        <r>
          <rPr>
            <sz val="8"/>
            <color indexed="81"/>
            <rFont val="Tahoma"/>
            <family val="2"/>
          </rPr>
          <t xml:space="preserve">
Roche deck 2012 Investor day</t>
        </r>
      </text>
    </comment>
    <comment ref="B14" authorId="1">
      <text>
        <r>
          <rPr>
            <b/>
            <sz val="8"/>
            <color indexed="81"/>
            <rFont val="Tahoma"/>
            <family val="2"/>
          </rPr>
          <t>yigaln:</t>
        </r>
        <r>
          <rPr>
            <sz val="8"/>
            <color indexed="81"/>
            <rFont val="Tahoma"/>
            <family val="2"/>
          </rPr>
          <t xml:space="preserve">
remaining share is other IVT or laser</t>
        </r>
      </text>
    </comment>
    <comment ref="L15" authorId="1">
      <text>
        <r>
          <rPr>
            <b/>
            <sz val="8"/>
            <color indexed="81"/>
            <rFont val="Tahoma"/>
            <family val="2"/>
          </rPr>
          <t>yigaln:</t>
        </r>
        <r>
          <rPr>
            <sz val="8"/>
            <color indexed="81"/>
            <rFont val="Tahoma"/>
            <family val="2"/>
          </rPr>
          <t xml:space="preserve">
May 29, 2013 - Exton, Penn. – BioTrends Research Group, one of the world’s leading research and advisory firms for specialized biopharmaceutical issues, finds that, despite the approval of Genentech’s Lucentis 0.3 mg in August 2012 as the first intravitreal therapy (IVT) for the treatment of diabetic macular edema (DME), Genentech’s Avastin continues to dominate the market with 67 percent share of IVT-treated DME patients — similar to the percentage reported in September 2012 — mostly due to Avastin’s low cost and broad managed care coverage. Nevertheless, one-third of the 100 U.S. retinal specialists and general ophthalmologists surveyed report a recent decrease in their use of Avastin, owing in part to a preference for Lucentis 0.3 mg. 
</t>
        </r>
      </text>
    </comment>
    <comment ref="S15" authorId="1">
      <text>
        <r>
          <rPr>
            <b/>
            <sz val="8"/>
            <color indexed="81"/>
            <rFont val="Tahoma"/>
            <family val="2"/>
          </rPr>
          <t>yigaln:</t>
        </r>
        <r>
          <rPr>
            <sz val="8"/>
            <color indexed="81"/>
            <rFont val="Tahoma"/>
            <family val="2"/>
          </rPr>
          <t xml:space="preserve">
Matt thinks 40%</t>
        </r>
      </text>
    </comment>
    <comment ref="N26" authorId="1">
      <text>
        <r>
          <rPr>
            <b/>
            <sz val="8"/>
            <color indexed="81"/>
            <rFont val="Tahoma"/>
            <family val="2"/>
          </rPr>
          <t>yigaln:</t>
        </r>
        <r>
          <rPr>
            <sz val="8"/>
            <color indexed="81"/>
            <rFont val="Tahoma"/>
            <family val="2"/>
          </rPr>
          <t xml:space="preserve">
VISTA study (US) 66% fellow eye treatment</t>
        </r>
      </text>
    </comment>
    <comment ref="M27" authorId="2">
      <text>
        <r>
          <rPr>
            <b/>
            <sz val="9"/>
            <color indexed="81"/>
            <rFont val="Tahoma"/>
            <family val="2"/>
          </rPr>
          <t>Harrison, Matthew (Research):</t>
        </r>
        <r>
          <rPr>
            <sz val="9"/>
            <color indexed="81"/>
            <rFont val="Tahoma"/>
            <family val="2"/>
          </rPr>
          <t xml:space="preserve">
hard coded for 1 qtr</t>
        </r>
      </text>
    </comment>
    <comment ref="K42" authorId="1">
      <text>
        <r>
          <rPr>
            <b/>
            <sz val="8"/>
            <color indexed="81"/>
            <rFont val="Tahoma"/>
            <family val="2"/>
          </rPr>
          <t>yigaln:</t>
        </r>
        <r>
          <rPr>
            <sz val="8"/>
            <color indexed="81"/>
            <rFont val="Tahoma"/>
            <family val="2"/>
          </rPr>
          <t xml:space="preserve">
Use Roche implied %
</t>
        </r>
      </text>
    </comment>
    <comment ref="J50" authorId="1">
      <text>
        <r>
          <rPr>
            <b/>
            <sz val="8"/>
            <color indexed="81"/>
            <rFont val="Tahoma"/>
            <family val="2"/>
          </rPr>
          <t>yigaln:</t>
        </r>
        <r>
          <rPr>
            <sz val="8"/>
            <color indexed="81"/>
            <rFont val="Tahoma"/>
            <family val="2"/>
          </rPr>
          <t xml:space="preserve">
Modeled off implied launch ramp in DME ex-US</t>
        </r>
      </text>
    </comment>
    <comment ref="S50" authorId="1">
      <text>
        <r>
          <rPr>
            <b/>
            <sz val="8"/>
            <color indexed="81"/>
            <rFont val="Tahoma"/>
            <family val="2"/>
          </rPr>
          <t>yigaln:</t>
        </r>
        <r>
          <rPr>
            <sz val="8"/>
            <color indexed="81"/>
            <rFont val="Tahoma"/>
            <family val="2"/>
          </rPr>
          <t xml:space="preserve">
Keep Lucentis ahead by a bit (first mover)</t>
        </r>
      </text>
    </comment>
    <comment ref="N52" authorId="1">
      <text>
        <r>
          <rPr>
            <b/>
            <sz val="8"/>
            <color indexed="81"/>
            <rFont val="Tahoma"/>
            <family val="2"/>
          </rPr>
          <t>yigaln:</t>
        </r>
        <r>
          <rPr>
            <sz val="8"/>
            <color indexed="81"/>
            <rFont val="Tahoma"/>
            <family val="2"/>
          </rPr>
          <t xml:space="preserve">
VISTA study (US) 66% fellow eye treatment</t>
        </r>
      </text>
    </comment>
  </commentList>
</comments>
</file>

<file path=xl/comments10.xml><?xml version="1.0" encoding="utf-8"?>
<comments xmlns="http://schemas.openxmlformats.org/spreadsheetml/2006/main">
  <authors>
    <author>yigaln</author>
  </authors>
  <commentList>
    <comment ref="B5" authorId="0">
      <text>
        <r>
          <rPr>
            <b/>
            <sz val="8"/>
            <color indexed="81"/>
            <rFont val="Tahoma"/>
            <family val="2"/>
          </rPr>
          <t>yigaln:</t>
        </r>
        <r>
          <rPr>
            <sz val="8"/>
            <color indexed="81"/>
            <rFont val="Tahoma"/>
            <family val="2"/>
          </rPr>
          <t xml:space="preserve">
Long-run YoY growth since 2006</t>
        </r>
      </text>
    </comment>
    <comment ref="B7" authorId="0">
      <text>
        <r>
          <rPr>
            <b/>
            <sz val="8"/>
            <color indexed="81"/>
            <rFont val="Tahoma"/>
            <family val="2"/>
          </rPr>
          <t>yigaln:</t>
        </r>
        <r>
          <rPr>
            <sz val="8"/>
            <color indexed="81"/>
            <rFont val="Tahoma"/>
            <family val="2"/>
          </rPr>
          <t xml:space="preserve">
Ballantyne CM, et al. Am Heart J 2005; 149:470</t>
        </r>
      </text>
    </comment>
    <comment ref="B12" authorId="0">
      <text>
        <r>
          <rPr>
            <b/>
            <sz val="8"/>
            <color indexed="81"/>
            <rFont val="Tahoma"/>
            <family val="2"/>
          </rPr>
          <t>yigaln:</t>
        </r>
        <r>
          <rPr>
            <sz val="8"/>
            <color indexed="81"/>
            <rFont val="Tahoma"/>
            <family val="2"/>
          </rPr>
          <t xml:space="preserve">
Ballantyne CM, et al. Am Heart J 2005; 149:470</t>
        </r>
      </text>
    </comment>
    <comment ref="B14" authorId="0">
      <text>
        <r>
          <rPr>
            <b/>
            <sz val="8"/>
            <color indexed="81"/>
            <rFont val="Tahoma"/>
            <family val="2"/>
          </rPr>
          <t>yigaln:</t>
        </r>
        <r>
          <rPr>
            <sz val="8"/>
            <color indexed="81"/>
            <rFont val="Tahoma"/>
            <family val="2"/>
          </rPr>
          <t xml:space="preserve">
Matthew's diligence at 2013 AHA</t>
        </r>
      </text>
    </comment>
    <comment ref="B36" authorId="0">
      <text>
        <r>
          <rPr>
            <b/>
            <sz val="8"/>
            <color indexed="81"/>
            <rFont val="Tahoma"/>
            <family val="2"/>
          </rPr>
          <t>yigaln:</t>
        </r>
        <r>
          <rPr>
            <sz val="8"/>
            <color indexed="81"/>
            <rFont val="Tahoma"/>
            <family val="2"/>
          </rPr>
          <t xml:space="preserve">
Upper limit of what primary care market can support</t>
        </r>
      </text>
    </comment>
    <comment ref="C53" authorId="0">
      <text>
        <r>
          <rPr>
            <b/>
            <sz val="8"/>
            <color indexed="81"/>
            <rFont val="Tahoma"/>
            <family val="2"/>
          </rPr>
          <t>yigaln:</t>
        </r>
        <r>
          <rPr>
            <sz val="8"/>
            <color indexed="81"/>
            <rFont val="Tahoma"/>
            <family val="2"/>
          </rPr>
          <t xml:space="preserve">
32100 CHOLESTEROL RED</t>
        </r>
      </text>
    </comment>
    <comment ref="C100" authorId="0">
      <text>
        <r>
          <rPr>
            <b/>
            <sz val="8"/>
            <color indexed="81"/>
            <rFont val="Tahoma"/>
            <family val="2"/>
          </rPr>
          <t>yigaln:</t>
        </r>
        <r>
          <rPr>
            <sz val="8"/>
            <color indexed="81"/>
            <rFont val="Tahoma"/>
            <family val="2"/>
          </rPr>
          <t xml:space="preserve">
32100 CHOLESTEROL RED</t>
        </r>
      </text>
    </comment>
  </commentList>
</comments>
</file>

<file path=xl/comments11.xml><?xml version="1.0" encoding="utf-8"?>
<comments xmlns="http://schemas.openxmlformats.org/spreadsheetml/2006/main">
  <authors>
    <author>yigaln</author>
  </authors>
  <commentList>
    <comment ref="L17" authorId="0">
      <text>
        <r>
          <rPr>
            <b/>
            <sz val="8"/>
            <color indexed="81"/>
            <rFont val="Tahoma"/>
            <family val="2"/>
          </rPr>
          <t>yigaln:</t>
        </r>
        <r>
          <rPr>
            <sz val="8"/>
            <color indexed="81"/>
            <rFont val="Tahoma"/>
            <family val="2"/>
          </rPr>
          <t xml:space="preserve">
Assume Xolair pricing (projected to 2018 - see graph on this sheet).  Avg pt requires 225 mg / month (two vials) - see Table 1 of N Engl J Med 2006;354:2689-95.
</t>
        </r>
      </text>
    </comment>
  </commentList>
</comments>
</file>

<file path=xl/comments12.xml><?xml version="1.0" encoding="utf-8"?>
<comments xmlns="http://schemas.openxmlformats.org/spreadsheetml/2006/main">
  <authors>
    <author>yigaln</author>
  </authors>
  <commentList>
    <comment ref="L16" authorId="0">
      <text>
        <r>
          <rPr>
            <b/>
            <sz val="8"/>
            <color indexed="81"/>
            <rFont val="Tahoma"/>
            <family val="2"/>
          </rPr>
          <t>yigaln:</t>
        </r>
        <r>
          <rPr>
            <sz val="8"/>
            <color indexed="81"/>
            <rFont val="Tahoma"/>
            <family val="2"/>
          </rPr>
          <t xml:space="preserve">
Assume same pricing as asthma as same schedule (1x weekly) and dose (300 mg) as asthma evaluated in AD trials thus far</t>
        </r>
      </text>
    </comment>
  </commentList>
</comments>
</file>

<file path=xl/sharedStrings.xml><?xml version="1.0" encoding="utf-8"?>
<sst xmlns="http://schemas.openxmlformats.org/spreadsheetml/2006/main" count="2181" uniqueCount="1270">
  <si>
    <t>Total Revenue</t>
  </si>
  <si>
    <t>x</t>
  </si>
  <si>
    <t>SG&amp;A</t>
  </si>
  <si>
    <t>G&amp;A</t>
  </si>
  <si>
    <t>R&amp;D</t>
  </si>
  <si>
    <t>Consensus Revenue</t>
  </si>
  <si>
    <t>COGS</t>
  </si>
  <si>
    <t>Gross Profit</t>
  </si>
  <si>
    <t>Operating Income</t>
  </si>
  <si>
    <t>Total Non-operating Income</t>
  </si>
  <si>
    <t>Interest income, net</t>
  </si>
  <si>
    <t>Other income</t>
  </si>
  <si>
    <t>Pretax Income</t>
  </si>
  <si>
    <t>Tax Rate</t>
  </si>
  <si>
    <t>Taxes</t>
  </si>
  <si>
    <t>Net Income</t>
  </si>
  <si>
    <t>EPS</t>
  </si>
  <si>
    <t>FY</t>
  </si>
  <si>
    <t>Basic shares outstanding</t>
  </si>
  <si>
    <t>Margin Analysis</t>
  </si>
  <si>
    <t>Operating Margin</t>
  </si>
  <si>
    <t>Pretax Margin</t>
  </si>
  <si>
    <t>Net Margin</t>
  </si>
  <si>
    <t>Year-over-Year Growth</t>
  </si>
  <si>
    <t>SG&amp;A (% of Revenue)</t>
  </si>
  <si>
    <t>R&amp;D (% of Revenue)</t>
  </si>
  <si>
    <t>Cash and cash equivalents</t>
  </si>
  <si>
    <t>Prepaid expenses and other current assets</t>
  </si>
  <si>
    <t>Total current assets</t>
  </si>
  <si>
    <t>Property, plant and equipment, net</t>
  </si>
  <si>
    <t>Other assets</t>
  </si>
  <si>
    <t>Total assets</t>
  </si>
  <si>
    <t>Total current liabilities</t>
  </si>
  <si>
    <t>Total long-term liabilities</t>
  </si>
  <si>
    <t>Total Liabilities</t>
  </si>
  <si>
    <t>Preferred stock</t>
  </si>
  <si>
    <t>Common stock</t>
  </si>
  <si>
    <t>Additional paid-in capital</t>
  </si>
  <si>
    <t>Total Equity</t>
  </si>
  <si>
    <t>Total liabilities and equity</t>
  </si>
  <si>
    <t>Check</t>
  </si>
  <si>
    <t>Working capital ratios</t>
  </si>
  <si>
    <t>Days sales outstanding</t>
  </si>
  <si>
    <t>Days inventory on hand</t>
  </si>
  <si>
    <t>Inventory turns</t>
  </si>
  <si>
    <t>Days payable outstanding</t>
  </si>
  <si>
    <t>Other balance sheet items</t>
  </si>
  <si>
    <t>Prepaid assets as a % of revenue</t>
  </si>
  <si>
    <t>Accrued expenses as a % of COGS</t>
  </si>
  <si>
    <t>Balance sheet metrics</t>
  </si>
  <si>
    <t>Total debt</t>
  </si>
  <si>
    <t>Total cash</t>
  </si>
  <si>
    <t>Net debt</t>
  </si>
  <si>
    <t>Total capitalization</t>
  </si>
  <si>
    <t>Net operating asset turnover</t>
  </si>
  <si>
    <t>Profitability ratios</t>
  </si>
  <si>
    <t>Cash return on capital invested</t>
  </si>
  <si>
    <t>Return on equity</t>
  </si>
  <si>
    <t>Return on assets</t>
  </si>
  <si>
    <t>Return on net operating assets</t>
  </si>
  <si>
    <t>Activity ratios</t>
  </si>
  <si>
    <t>Asset turnover</t>
  </si>
  <si>
    <t>Liquidity ratios</t>
  </si>
  <si>
    <t>Current ratio</t>
  </si>
  <si>
    <t>Quick ratio</t>
  </si>
  <si>
    <t>Cash ratio</t>
  </si>
  <si>
    <t>Cash conversion cycle</t>
  </si>
  <si>
    <t>Solvency Ratios</t>
  </si>
  <si>
    <t>Liabilities to assets ratio</t>
  </si>
  <si>
    <t>Liabilities to equity ratio</t>
  </si>
  <si>
    <t>Debt to equity ratio</t>
  </si>
  <si>
    <t>Net debt to equity ratio</t>
  </si>
  <si>
    <t>Net debt to capital ratio</t>
  </si>
  <si>
    <t>Interest coverage</t>
  </si>
  <si>
    <t>Operating Activities</t>
  </si>
  <si>
    <t>GAAP Net Income (loss)</t>
  </si>
  <si>
    <t>Depreciation and amortization</t>
  </si>
  <si>
    <t>Changes in operating assets and liabilities:</t>
  </si>
  <si>
    <t>Net cash produced (used in) operating activities</t>
  </si>
  <si>
    <t>Capital expenditures</t>
  </si>
  <si>
    <t>Investing Activities</t>
  </si>
  <si>
    <t>Financing Activities</t>
  </si>
  <si>
    <t>Net cash provided by financing activities</t>
  </si>
  <si>
    <t>Net cash provided by (used in) investing activities</t>
  </si>
  <si>
    <t>Change in cash</t>
  </si>
  <si>
    <t>Cash beginning of period</t>
  </si>
  <si>
    <t>Cash at end of period</t>
  </si>
  <si>
    <t>Interest income</t>
  </si>
  <si>
    <t>Interest expense</t>
  </si>
  <si>
    <t>Other long-term liabilities</t>
  </si>
  <si>
    <t>Accumulated other comprehensive income/loss</t>
  </si>
  <si>
    <t>Purchases of available-for-sale securities</t>
  </si>
  <si>
    <t>Maturities and sales of available-for-sale securities</t>
  </si>
  <si>
    <t>Deferred revenue</t>
  </si>
  <si>
    <t>1Q09</t>
  </si>
  <si>
    <t>2Q09</t>
  </si>
  <si>
    <t>3Q09</t>
  </si>
  <si>
    <t>4Q09</t>
  </si>
  <si>
    <t>1Q10</t>
  </si>
  <si>
    <t>2Q10</t>
  </si>
  <si>
    <t>3Q10</t>
  </si>
  <si>
    <t>4Q10</t>
  </si>
  <si>
    <t>1Q11</t>
  </si>
  <si>
    <t>2Q11</t>
  </si>
  <si>
    <t>3Q11</t>
  </si>
  <si>
    <t>4Q11</t>
  </si>
  <si>
    <t>1Q14E</t>
  </si>
  <si>
    <t>2Q14E</t>
  </si>
  <si>
    <t>3Q14E</t>
  </si>
  <si>
    <t>4Q14E</t>
  </si>
  <si>
    <t>2014E</t>
  </si>
  <si>
    <t>1Q15E</t>
  </si>
  <si>
    <t>2Q15E</t>
  </si>
  <si>
    <t>3Q15E</t>
  </si>
  <si>
    <t>4Q15E</t>
  </si>
  <si>
    <t>2015E</t>
  </si>
  <si>
    <t>1Q16E</t>
  </si>
  <si>
    <t>2Q16E</t>
  </si>
  <si>
    <t>3Q16E</t>
  </si>
  <si>
    <t>4Q16E</t>
  </si>
  <si>
    <t>2016E</t>
  </si>
  <si>
    <t>1Q17E</t>
  </si>
  <si>
    <t>2Q17E</t>
  </si>
  <si>
    <t>3Q17E</t>
  </si>
  <si>
    <t>4Q17E</t>
  </si>
  <si>
    <t>2017E</t>
  </si>
  <si>
    <t>1Q18E</t>
  </si>
  <si>
    <t>2Q18E</t>
  </si>
  <si>
    <t>3Q18E</t>
  </si>
  <si>
    <t>4Q18E</t>
  </si>
  <si>
    <t>2018E</t>
  </si>
  <si>
    <t>1Q19E</t>
  </si>
  <si>
    <t>2Q19E</t>
  </si>
  <si>
    <t>3Q19E</t>
  </si>
  <si>
    <t>4Q19E</t>
  </si>
  <si>
    <t>2019E</t>
  </si>
  <si>
    <t>1Q20E</t>
  </si>
  <si>
    <t>2Q20E</t>
  </si>
  <si>
    <t>3Q20E</t>
  </si>
  <si>
    <t>4Q20E</t>
  </si>
  <si>
    <t>2020E</t>
  </si>
  <si>
    <t>1Q21E</t>
  </si>
  <si>
    <t>2Q21E</t>
  </si>
  <si>
    <t>3Q21E</t>
  </si>
  <si>
    <t>4Q21E</t>
  </si>
  <si>
    <t>2021E</t>
  </si>
  <si>
    <t>1Q22E</t>
  </si>
  <si>
    <t>2Q22E</t>
  </si>
  <si>
    <t>3Q22E</t>
  </si>
  <si>
    <t>4Q22E</t>
  </si>
  <si>
    <t>2022E</t>
  </si>
  <si>
    <t>1Q23E</t>
  </si>
  <si>
    <t>2Q23E</t>
  </si>
  <si>
    <t>3Q23E</t>
  </si>
  <si>
    <t>4Q23E</t>
  </si>
  <si>
    <t>2023E</t>
  </si>
  <si>
    <t>1Q24E</t>
  </si>
  <si>
    <t>2Q24E</t>
  </si>
  <si>
    <t>3Q24E</t>
  </si>
  <si>
    <t>4Q24E</t>
  </si>
  <si>
    <t>2024E</t>
  </si>
  <si>
    <t>1Q25E</t>
  </si>
  <si>
    <t>2Q25E</t>
  </si>
  <si>
    <t>3Q25E</t>
  </si>
  <si>
    <t>4Q25E</t>
  </si>
  <si>
    <t>2025E</t>
  </si>
  <si>
    <t>1Q26E</t>
  </si>
  <si>
    <t>2Q26E</t>
  </si>
  <si>
    <t>3Q26E</t>
  </si>
  <si>
    <t>4Q26E</t>
  </si>
  <si>
    <t>2026E</t>
  </si>
  <si>
    <t>2027E</t>
  </si>
  <si>
    <t>2028E</t>
  </si>
  <si>
    <t>2029E</t>
  </si>
  <si>
    <t>Year</t>
  </si>
  <si>
    <t>Discount factor</t>
  </si>
  <si>
    <t>1Q08</t>
  </si>
  <si>
    <t>2Q08</t>
  </si>
  <si>
    <t>3Q08</t>
  </si>
  <si>
    <t>4Q08</t>
  </si>
  <si>
    <t>Growth</t>
  </si>
  <si>
    <t>1Q12</t>
  </si>
  <si>
    <t>Tax rate</t>
  </si>
  <si>
    <t>Total R&amp;D</t>
  </si>
  <si>
    <t>Total</t>
  </si>
  <si>
    <t>2Q12</t>
  </si>
  <si>
    <t>Capital Expenses</t>
  </si>
  <si>
    <t>D&amp;A</t>
  </si>
  <si>
    <t>Interest Income</t>
  </si>
  <si>
    <t>3Q12</t>
  </si>
  <si>
    <t xml:space="preserve">Eylea </t>
  </si>
  <si>
    <t xml:space="preserve">Arcalyst </t>
  </si>
  <si>
    <t>Total Product Sales</t>
  </si>
  <si>
    <t>Collabortation revenues</t>
  </si>
  <si>
    <t>Sanofi</t>
  </si>
  <si>
    <t>Bayer</t>
  </si>
  <si>
    <t>Technology licensing revenue</t>
  </si>
  <si>
    <t>Contract research and other revenue</t>
  </si>
  <si>
    <t>RVO</t>
  </si>
  <si>
    <t>DME</t>
  </si>
  <si>
    <t>Total Eylea Sales</t>
  </si>
  <si>
    <t>Net product sales</t>
  </si>
  <si>
    <t>Collaboration revenue</t>
  </si>
  <si>
    <t>Regeneron's share in profit/loss in ZALTRAP commercial activities</t>
  </si>
  <si>
    <t>Milestone payments</t>
  </si>
  <si>
    <t>Total ZALTRAP</t>
  </si>
  <si>
    <t>Antibody:</t>
  </si>
  <si>
    <t>ZALTRAP:</t>
  </si>
  <si>
    <t>Reimbursement of Regeneron research and development expenses</t>
  </si>
  <si>
    <t>Total Antibody</t>
  </si>
  <si>
    <t>Total Sanofi</t>
  </si>
  <si>
    <t>Cost-sharing of Regeneron Eylea development expenses</t>
  </si>
  <si>
    <t>Regeneron's net profit in connection with Eylea exUS commercial activities</t>
  </si>
  <si>
    <t>Total Bayer</t>
  </si>
  <si>
    <t>Total Collaboration revenues</t>
  </si>
  <si>
    <t>Total revenues</t>
  </si>
  <si>
    <t>Selling expenses</t>
  </si>
  <si>
    <t>Operating Profit</t>
  </si>
  <si>
    <t>Japan sales</t>
  </si>
  <si>
    <t>Reimbursement of Zaltrap R&amp;D</t>
  </si>
  <si>
    <t>4Q12</t>
  </si>
  <si>
    <t>Eylea</t>
  </si>
  <si>
    <t xml:space="preserve">Funded </t>
  </si>
  <si>
    <t>Unfunded</t>
  </si>
  <si>
    <t>Gross Margin (product sales)</t>
  </si>
  <si>
    <t>US</t>
  </si>
  <si>
    <t>Offset for reimbursement of R&amp;D costs</t>
  </si>
  <si>
    <t>No of pts</t>
  </si>
  <si>
    <t>Cost/pt</t>
  </si>
  <si>
    <t>REGN 20%</t>
  </si>
  <si>
    <t>Terminal</t>
  </si>
  <si>
    <t>1Q13</t>
  </si>
  <si>
    <t>Net Cash</t>
  </si>
  <si>
    <t>Marketable securities</t>
  </si>
  <si>
    <t>Accounts receivable - trade, net</t>
  </si>
  <si>
    <t>Accounts receivable - Sanofi</t>
  </si>
  <si>
    <t>Deferred tax assets</t>
  </si>
  <si>
    <t>Restricted cash</t>
  </si>
  <si>
    <t>Accounts payable and accrued expenses</t>
  </si>
  <si>
    <t>Deferred revenue from Sanofi</t>
  </si>
  <si>
    <t>Deferred revenue, other</t>
  </si>
  <si>
    <t>Facility lease obligations</t>
  </si>
  <si>
    <t>Convertible senior notes</t>
  </si>
  <si>
    <t>Class A Stock</t>
  </si>
  <si>
    <t>Accumulated income (deficit)</t>
  </si>
  <si>
    <t>Non-cash compensation expense</t>
  </si>
  <si>
    <t>Non-cash interest expense</t>
  </si>
  <si>
    <t>Other non-cash charges and expenses, net</t>
  </si>
  <si>
    <t>Deferred taxes</t>
  </si>
  <si>
    <t>Accounts payable, accrued expenses, and other liabilities</t>
  </si>
  <si>
    <t>Increase in restricted cash and marketable securities</t>
  </si>
  <si>
    <t>Proceeds from issuance of Common Stock</t>
  </si>
  <si>
    <t>Excess tax benefit from stock-based compensation</t>
  </si>
  <si>
    <t>Proceeds from with facility lease obligation</t>
  </si>
  <si>
    <t>Payments from with facility and capital lease obligations</t>
  </si>
  <si>
    <t>Proceeds from issuance of convertible notes</t>
  </si>
  <si>
    <t>Proceeds from issuance of warrants</t>
  </si>
  <si>
    <t>Payment from purchase of convertible note hedges</t>
  </si>
  <si>
    <t>Payments from Stock tendered for employee tax obligations</t>
  </si>
  <si>
    <t>$400M 1.875% Notes (Maturity 10/1/2016 - 11.9021 shares per $1,000 face = $84.02/shr)</t>
  </si>
  <si>
    <t>Interest rate</t>
  </si>
  <si>
    <t>Convertible interest expense</t>
  </si>
  <si>
    <t>Convertible amortization expense</t>
  </si>
  <si>
    <t>Total Interest Expense</t>
  </si>
  <si>
    <t>Total Debt</t>
  </si>
  <si>
    <t>Unamortized Debt Discount</t>
  </si>
  <si>
    <t>Net Carrying Cost</t>
  </si>
  <si>
    <t>Building A&amp;B</t>
  </si>
  <si>
    <t>Building C</t>
  </si>
  <si>
    <t>Capitalized Building Lease Expense</t>
  </si>
  <si>
    <t>Non-GAAP Interest expense</t>
  </si>
  <si>
    <t>Non-GAAP Adjustments</t>
  </si>
  <si>
    <t>Net cash</t>
  </si>
  <si>
    <t>2Q13</t>
  </si>
  <si>
    <t>Key Assumptions</t>
  </si>
  <si>
    <t>◄ Open for Key Assumptions</t>
  </si>
  <si>
    <t>Q1 2006</t>
  </si>
  <si>
    <t>Q2 2006</t>
  </si>
  <si>
    <t>Q3 2006</t>
  </si>
  <si>
    <t>Q4 2006</t>
  </si>
  <si>
    <t>Q1 2007</t>
  </si>
  <si>
    <t>Q2 2007</t>
  </si>
  <si>
    <t>Q3 2007</t>
  </si>
  <si>
    <t>Q4 2007</t>
  </si>
  <si>
    <t>Q1 2008</t>
  </si>
  <si>
    <t>Q2 2008</t>
  </si>
  <si>
    <t>Q3 2008</t>
  </si>
  <si>
    <t>Q4 2008</t>
  </si>
  <si>
    <t>Q1 2009</t>
  </si>
  <si>
    <t>Q2 2009</t>
  </si>
  <si>
    <t>Q3 2009</t>
  </si>
  <si>
    <t>Q4 2009</t>
  </si>
  <si>
    <t>Q1 2010</t>
  </si>
  <si>
    <t>Q2 2010</t>
  </si>
  <si>
    <t>Q3 2010</t>
  </si>
  <si>
    <t>Q4 2010</t>
  </si>
  <si>
    <t>Q1 2011</t>
  </si>
  <si>
    <t>Q2 2011</t>
  </si>
  <si>
    <t>Q3 2011</t>
  </si>
  <si>
    <t>Q4 2011</t>
  </si>
  <si>
    <t>Q1 2012</t>
  </si>
  <si>
    <t>Q2 2012</t>
  </si>
  <si>
    <t>Q3 2012</t>
  </si>
  <si>
    <t>Q4 2012</t>
  </si>
  <si>
    <t>Q1 2013</t>
  </si>
  <si>
    <t>Q2 2013</t>
  </si>
  <si>
    <t>Q3 2013</t>
  </si>
  <si>
    <t>Q4 2013</t>
  </si>
  <si>
    <t>◄ Historical Data</t>
  </si>
  <si>
    <t>Q1 2014</t>
  </si>
  <si>
    <t>Q2 2014</t>
  </si>
  <si>
    <t>Q3 2014</t>
  </si>
  <si>
    <t>Q4 2014</t>
  </si>
  <si>
    <t>Q1 2015</t>
  </si>
  <si>
    <t>Q2 2015</t>
  </si>
  <si>
    <t>Q3 2015</t>
  </si>
  <si>
    <t>Q4 2015</t>
  </si>
  <si>
    <t>Q1 2016</t>
  </si>
  <si>
    <t>Q2 2016</t>
  </si>
  <si>
    <t>Q3 2016</t>
  </si>
  <si>
    <t>Q4 2016</t>
  </si>
  <si>
    <t>Q1 2017</t>
  </si>
  <si>
    <t>Q2 2017</t>
  </si>
  <si>
    <t>Q3 2017</t>
  </si>
  <si>
    <t>Q4 2017</t>
  </si>
  <si>
    <t>Q1 2018</t>
  </si>
  <si>
    <t>Q2 2018</t>
  </si>
  <si>
    <t>Q3 2018</t>
  </si>
  <si>
    <t>Q4 2018</t>
  </si>
  <si>
    <t>Q1 2019</t>
  </si>
  <si>
    <t>Q2 2019</t>
  </si>
  <si>
    <t>Q3 2019</t>
  </si>
  <si>
    <t>Q4 2019</t>
  </si>
  <si>
    <t>Q1 2020</t>
  </si>
  <si>
    <t>Q2 2020</t>
  </si>
  <si>
    <t>Q3 2020</t>
  </si>
  <si>
    <t>Q4 2020</t>
  </si>
  <si>
    <t>Bull = 1  Base = 2  Bear = 3</t>
  </si>
  <si>
    <t>US Patients on statins (MM)</t>
  </si>
  <si>
    <t>YoY Growth in Statins treated patients</t>
  </si>
  <si>
    <t>YoY Growth in statin treated patients</t>
  </si>
  <si>
    <t>Patients on Statins not to goal (70 mg / dL) (MM)</t>
  </si>
  <si>
    <t>% patients on statins not to goal</t>
  </si>
  <si>
    <t>Patients on Statins not to goal prescribed Vytorin / Zetia (MM)</t>
  </si>
  <si>
    <t>Assume continued decline in % pts on Vytorin / Zetia in 2014+</t>
  </si>
  <si>
    <t>% patients not to goal prescribed Vytorin / Zetia</t>
  </si>
  <si>
    <t>Vytorin / Zetia Patients not to goal (70 mg / dL) (K)</t>
  </si>
  <si>
    <t>% patients not to goal on Vytorin / Zetia</t>
  </si>
  <si>
    <t>Peak PCSK9 Treatment Rate</t>
  </si>
  <si>
    <t>PCSK9 Treatment Rate</t>
  </si>
  <si>
    <t>PCSK9 Market Share Split</t>
  </si>
  <si>
    <t>Regeneron (REGN727)</t>
  </si>
  <si>
    <t>Amgen (AMG145)</t>
  </si>
  <si>
    <t>Others</t>
  </si>
  <si>
    <t>Roche (RG7652)</t>
  </si>
  <si>
    <t>Novartis (LGT209)</t>
  </si>
  <si>
    <t>Alnylam (ALN-PCS02)</t>
  </si>
  <si>
    <t>Lilly (LY3015014)</t>
  </si>
  <si>
    <t>Merck (1D05-IgG2)</t>
  </si>
  <si>
    <t>PCSK9 Market Patient Build (K)</t>
  </si>
  <si>
    <t>Initial Price / yr</t>
  </si>
  <si>
    <t>Pricing / year</t>
  </si>
  <si>
    <t>YoY Price Increase</t>
  </si>
  <si>
    <t>Revenue Build ($MM)</t>
  </si>
  <si>
    <t>Total US PCSK9 Market</t>
  </si>
  <si>
    <t>YoY Growth</t>
  </si>
  <si>
    <t>Statin Market Build</t>
  </si>
  <si>
    <t>Cholesterol Lowering $</t>
  </si>
  <si>
    <t>BRAND</t>
  </si>
  <si>
    <t>BRAND (ex Zetia / Vytorin)</t>
  </si>
  <si>
    <t>ADVICOR</t>
  </si>
  <si>
    <t>COLESTID</t>
  </si>
  <si>
    <t>CRESTOR</t>
  </si>
  <si>
    <t>LESCOL</t>
  </si>
  <si>
    <t>LESCOL XL</t>
  </si>
  <si>
    <t>LIPITOR</t>
  </si>
  <si>
    <t>LIPTRUZET</t>
  </si>
  <si>
    <t>LIVALO</t>
  </si>
  <si>
    <t>LOPID</t>
  </si>
  <si>
    <t>MEVACOR</t>
  </si>
  <si>
    <t>PRAVACHOL</t>
  </si>
  <si>
    <t>PRAVIGARD PAC</t>
  </si>
  <si>
    <t>QUESTRAN</t>
  </si>
  <si>
    <t>QUESTRAN LIGHT</t>
  </si>
  <si>
    <t>TRICOR</t>
  </si>
  <si>
    <t>TRILIPIX</t>
  </si>
  <si>
    <t>VYTORIN</t>
  </si>
  <si>
    <t>WELCHOL</t>
  </si>
  <si>
    <t>ZETIA</t>
  </si>
  <si>
    <t>ZOCOR</t>
  </si>
  <si>
    <t>BRANDED GENERIC</t>
  </si>
  <si>
    <t>ALTOPREV</t>
  </si>
  <si>
    <t>ANTARA</t>
  </si>
  <si>
    <t>FENOGLIDE</t>
  </si>
  <si>
    <t>FIBRICOR</t>
  </si>
  <si>
    <t>LIPOFEN</t>
  </si>
  <si>
    <t>LOFIBRA</t>
  </si>
  <si>
    <t>PREVALITE</t>
  </si>
  <si>
    <t>SIMCOR</t>
  </si>
  <si>
    <t>TRIGLIDE</t>
  </si>
  <si>
    <t>GENERIC</t>
  </si>
  <si>
    <t>ATORVASTATIN CA</t>
  </si>
  <si>
    <t>CHOLESTYRAMINE</t>
  </si>
  <si>
    <t>CHOLESTYRAMINE LIGHT</t>
  </si>
  <si>
    <t>COLESTIPOL HCL</t>
  </si>
  <si>
    <t>FENOFIBRATE</t>
  </si>
  <si>
    <t>FENOFIBRIC ACID</t>
  </si>
  <si>
    <t>FENOFIBRIC ACID C</t>
  </si>
  <si>
    <t>FLUVASTATIN SOD</t>
  </si>
  <si>
    <t>GEMFIBROZIL</t>
  </si>
  <si>
    <t>LOVASTATIN</t>
  </si>
  <si>
    <t>PRAVASTATIN SOD</t>
  </si>
  <si>
    <t>SIMVASTATIN</t>
  </si>
  <si>
    <t>Cholesterol Lowering TRx</t>
  </si>
  <si>
    <t>Q1 2006
TRx</t>
  </si>
  <si>
    <t>Q2 2006
TRx</t>
  </si>
  <si>
    <t>Q3 2006
TRx</t>
  </si>
  <si>
    <t>Q4 2006
TRx</t>
  </si>
  <si>
    <t>Q1 2007
TRx</t>
  </si>
  <si>
    <t>Q2 2007
TRx</t>
  </si>
  <si>
    <t>Q3 2007
TRx</t>
  </si>
  <si>
    <t>BRAND TRx</t>
  </si>
  <si>
    <t>BRAND TRx (ex Zetia / Vytorin)</t>
  </si>
  <si>
    <t>BRANDED GENERIC TRx</t>
  </si>
  <si>
    <t>GENERIC TRx</t>
  </si>
  <si>
    <t>Statin TRx</t>
  </si>
  <si>
    <t>Cholesterol Lowering Pill Count (Ext Units)</t>
  </si>
  <si>
    <t>Q1 2006 
NSP Ext. Units</t>
  </si>
  <si>
    <t>Q2 2006 
NSP Ext. Units</t>
  </si>
  <si>
    <t>Q3 2006 
NSP Ext. Units</t>
  </si>
  <si>
    <t>Q4 2006 
NSP Ext. Units</t>
  </si>
  <si>
    <t>Q1 2007 
NSP Ext. Units</t>
  </si>
  <si>
    <t>Q2 2007 
NSP Ext. Units</t>
  </si>
  <si>
    <t>Q3 2007 
NSP Ext. Units</t>
  </si>
  <si>
    <t>Q4 2007
NSP Ext. Units</t>
  </si>
  <si>
    <t>Q1 2008
NSP Ext. Units</t>
  </si>
  <si>
    <t>Q2 2008
NSP Ext. Units</t>
  </si>
  <si>
    <t>Q3 2008
NSP Ext. Units</t>
  </si>
  <si>
    <t>Q4 2008
NSP Ext. Units</t>
  </si>
  <si>
    <t>Q1 2009
NSP Ext. Units</t>
  </si>
  <si>
    <t>Q2 2009
NSP Ext. Units</t>
  </si>
  <si>
    <t>Q3 2009
NSP Ext. Units</t>
  </si>
  <si>
    <t>Q4 2009
NSP Ext. Units</t>
  </si>
  <si>
    <t>Q1 2010
NSP Ext. Units</t>
  </si>
  <si>
    <t>Q2 2010
NSP Ext. Units</t>
  </si>
  <si>
    <t>Q3 2010
NSP Ext. Units</t>
  </si>
  <si>
    <t>Q4 2010
NSP Ext. Units</t>
  </si>
  <si>
    <t>Q1 2011
NSP Ext. Units</t>
  </si>
  <si>
    <t>Q2 2011
NSP Ext. Units</t>
  </si>
  <si>
    <t>Q3 2011
NSP Ext. Units</t>
  </si>
  <si>
    <t>Q4 2011
NSP Ext. Units</t>
  </si>
  <si>
    <t>Q1 2012
NSP Ext. Units</t>
  </si>
  <si>
    <t>Q2 2012
NSP Ext. Units</t>
  </si>
  <si>
    <t>Q3 2012
NSP Ext. Units</t>
  </si>
  <si>
    <t>Q4 2012
NSP Ext. Units</t>
  </si>
  <si>
    <t>Q1 2013
NSP Ext. Units</t>
  </si>
  <si>
    <t>Q2 2013
NSP Ext. Units</t>
  </si>
  <si>
    <t>Q3 2013
NSP Ext. Units</t>
  </si>
  <si>
    <t>BRAND Pills (ex-Zetia / Vytorin)</t>
  </si>
  <si>
    <t>Branded Patients (ex-Zetia / Vytorin)</t>
  </si>
  <si>
    <t>Vytorin Patients</t>
  </si>
  <si>
    <t>Zetia Patients</t>
  </si>
  <si>
    <t>Branded Generic Patients</t>
  </si>
  <si>
    <t>Generic Patients</t>
  </si>
  <si>
    <t>US Population (MM)</t>
  </si>
  <si>
    <t>YoY population growth rate</t>
  </si>
  <si>
    <t>Prevalence of Asthma (MM)</t>
  </si>
  <si>
    <t>% w / asthma</t>
  </si>
  <si>
    <t>Prevalence of Severe Asthma (MM)</t>
  </si>
  <si>
    <t>% asthmatics w / severe asthma</t>
  </si>
  <si>
    <t>% overall population w / severe asthma</t>
  </si>
  <si>
    <t>Prevalence of chronic eosinophilic asthma uncontrolled by ICS (MM)</t>
  </si>
  <si>
    <t>% w / chronic eosinophilic disease uncontrolled by ICS</t>
  </si>
  <si>
    <t>Dupilumab Patients (K)</t>
  </si>
  <si>
    <t>Hill Coeff</t>
  </si>
  <si>
    <t>Range</t>
  </si>
  <si>
    <t>Peak</t>
  </si>
  <si>
    <t>Dupilumab Penetration</t>
  </si>
  <si>
    <t>Price / pt / year</t>
  </si>
  <si>
    <t>Price Increases</t>
  </si>
  <si>
    <t>Prevalence of Atopic Dermatitis (MM)</t>
  </si>
  <si>
    <t>% w / atopic dermatitis</t>
  </si>
  <si>
    <t>% w / chronic unremitting symptoms</t>
  </si>
  <si>
    <t>Dupilumab AD Revenue ($MM)</t>
  </si>
  <si>
    <t>Dupilumab EA Revenue ($MM)</t>
  </si>
  <si>
    <t>United States</t>
  </si>
  <si>
    <t>2004</t>
  </si>
  <si>
    <t>2005</t>
  </si>
  <si>
    <t>2006</t>
  </si>
  <si>
    <t>2007</t>
  </si>
  <si>
    <t>2008</t>
  </si>
  <si>
    <t>2009</t>
  </si>
  <si>
    <t>2010</t>
  </si>
  <si>
    <t>2011</t>
  </si>
  <si>
    <t>2012</t>
  </si>
  <si>
    <t>3Q13</t>
  </si>
  <si>
    <t>4Q13</t>
  </si>
  <si>
    <t>1Q14</t>
  </si>
  <si>
    <t>2Q14</t>
  </si>
  <si>
    <t>3Q14</t>
  </si>
  <si>
    <t>4Q14</t>
  </si>
  <si>
    <t>1Q15</t>
  </si>
  <si>
    <t>2Q15</t>
  </si>
  <si>
    <t>3Q15</t>
  </si>
  <si>
    <t>4Q15</t>
  </si>
  <si>
    <t>Age-Related Macular Degeneration</t>
  </si>
  <si>
    <t>Growth Rate of AMD prevalence</t>
  </si>
  <si>
    <t>Rate of Diagnosis</t>
  </si>
  <si>
    <t>Diagnosed Wet AMD Prevelance</t>
  </si>
  <si>
    <t>Rate of Treatment</t>
  </si>
  <si>
    <t>Diagnosed and Treated Wet AMD Prevelance</t>
  </si>
  <si>
    <t>Incident patients</t>
  </si>
  <si>
    <t>Continuing patients</t>
  </si>
  <si>
    <t>Market Share:</t>
  </si>
  <si>
    <t>Lucentis</t>
  </si>
  <si>
    <t>Avastin</t>
  </si>
  <si>
    <t>Eylea % new patients</t>
  </si>
  <si>
    <t>Eylea % switchers</t>
  </si>
  <si>
    <t>Eylear % continuing</t>
  </si>
  <si>
    <t>Eylea Patients</t>
  </si>
  <si>
    <t>Average number of eyes</t>
  </si>
  <si>
    <t>Average number of visits</t>
  </si>
  <si>
    <t>New patients</t>
  </si>
  <si>
    <t>Switchers (6 visits per year perfect compliance)</t>
  </si>
  <si>
    <t>Compliance Rate</t>
  </si>
  <si>
    <t>Continuing (6 visits per year perfect compliance)</t>
  </si>
  <si>
    <t>Average number of vials</t>
  </si>
  <si>
    <t>Cost per vial</t>
  </si>
  <si>
    <t xml:space="preserve">   Gross-to-net</t>
  </si>
  <si>
    <t>Eylea AMD Revenue (Million)</t>
  </si>
  <si>
    <t>Reported Sales</t>
  </si>
  <si>
    <t>EU5 Population Growth Rate</t>
  </si>
  <si>
    <t>Cost per Dose</t>
  </si>
  <si>
    <t>Diabetic Macular Edema</t>
  </si>
  <si>
    <t>US Population (millions)</t>
  </si>
  <si>
    <t>US Population Growth Rate</t>
  </si>
  <si>
    <t>Diabetes Prevelance (millions)</t>
  </si>
  <si>
    <t>Diabetes Prevelance (%)</t>
  </si>
  <si>
    <t>% Diagnosed</t>
  </si>
  <si>
    <t>Diagnosed Diabetes Prevelance</t>
  </si>
  <si>
    <t>Prevalence of Diabetes Related Clinically Significant Macular Edema</t>
  </si>
  <si>
    <t>US DME Prevalence</t>
  </si>
  <si>
    <t>DME % Treated</t>
  </si>
  <si>
    <t>US DME Treated</t>
  </si>
  <si>
    <t>US Eylea DME Revenue</t>
  </si>
  <si>
    <t>EU5 DME Prevalence</t>
  </si>
  <si>
    <t>Japan</t>
  </si>
  <si>
    <t>Eylea injections 1st yr full compliance</t>
  </si>
  <si>
    <t>Jan</t>
  </si>
  <si>
    <t>Feb</t>
  </si>
  <si>
    <t>Mar</t>
  </si>
  <si>
    <t>April</t>
  </si>
  <si>
    <t>May</t>
  </si>
  <si>
    <t>June</t>
  </si>
  <si>
    <t>July</t>
  </si>
  <si>
    <t>August</t>
  </si>
  <si>
    <t>September</t>
  </si>
  <si>
    <t>October</t>
  </si>
  <si>
    <t>November</t>
  </si>
  <si>
    <t>December</t>
  </si>
  <si>
    <t>Eylea injections 2nd yr full compliance</t>
  </si>
  <si>
    <t>Ex-US</t>
  </si>
  <si>
    <t>US Population</t>
  </si>
  <si>
    <t>wAMD</t>
  </si>
  <si>
    <t>EU28 + Japan + Australia Population</t>
  </si>
  <si>
    <t>Wet AMD Prevalance</t>
  </si>
  <si>
    <t>Ex-US Eylea DME Revenue</t>
  </si>
  <si>
    <t>Ex-US DME Treated</t>
  </si>
  <si>
    <t> Q1</t>
  </si>
  <si>
    <t> -</t>
  </si>
  <si>
    <t> Q2</t>
  </si>
  <si>
    <t> Q3</t>
  </si>
  <si>
    <t> Q4</t>
  </si>
  <si>
    <t>Xolair</t>
  </si>
  <si>
    <r>
      <t> </t>
    </r>
    <r>
      <rPr>
        <b/>
        <sz val="10"/>
        <color indexed="63"/>
        <rFont val="Arial"/>
        <family val="2"/>
      </rPr>
      <t>2003</t>
    </r>
  </si>
  <si>
    <r>
      <t> </t>
    </r>
    <r>
      <rPr>
        <b/>
        <sz val="10"/>
        <color indexed="63"/>
        <rFont val="Arial"/>
        <family val="2"/>
      </rPr>
      <t>2004</t>
    </r>
  </si>
  <si>
    <r>
      <t> </t>
    </r>
    <r>
      <rPr>
        <b/>
        <sz val="10"/>
        <color indexed="63"/>
        <rFont val="Arial"/>
        <family val="2"/>
      </rPr>
      <t>2005</t>
    </r>
  </si>
  <si>
    <r>
      <t> </t>
    </r>
    <r>
      <rPr>
        <b/>
        <sz val="10"/>
        <color indexed="63"/>
        <rFont val="Arial"/>
        <family val="2"/>
      </rPr>
      <t>2006</t>
    </r>
  </si>
  <si>
    <r>
      <t> </t>
    </r>
    <r>
      <rPr>
        <b/>
        <sz val="10"/>
        <color indexed="63"/>
        <rFont val="Arial"/>
        <family val="2"/>
      </rPr>
      <t>2007</t>
    </r>
  </si>
  <si>
    <r>
      <t> </t>
    </r>
    <r>
      <rPr>
        <b/>
        <sz val="10"/>
        <color indexed="63"/>
        <rFont val="Arial"/>
        <family val="2"/>
      </rPr>
      <t>2008</t>
    </r>
  </si>
  <si>
    <t>Other (Steroids (Ozurdex))</t>
  </si>
  <si>
    <t>Other (Fovista + Avastin, Eylea follow-on, Darpin)</t>
  </si>
  <si>
    <t>Eylea % continuing</t>
  </si>
  <si>
    <t>YoY growth</t>
  </si>
  <si>
    <t>Intermediate Growth</t>
  </si>
  <si>
    <t>Step-downs for patent expiries</t>
  </si>
  <si>
    <t>Sum of Discounted CF</t>
  </si>
  <si>
    <t>Equity Value</t>
  </si>
  <si>
    <t>Equity Value Per Share</t>
  </si>
  <si>
    <t>Discount Rate</t>
  </si>
  <si>
    <t>Intermediate Growth Rate</t>
  </si>
  <si>
    <t>Terminal Growth Rate</t>
  </si>
  <si>
    <t>Time of Valuation</t>
  </si>
  <si>
    <t>Shares Outstanding</t>
  </si>
  <si>
    <t>Eylea, Zaltrap, Arcalyst</t>
  </si>
  <si>
    <t>Consensus EPS</t>
  </si>
  <si>
    <t>Cost of collaboration manufacturing</t>
  </si>
  <si>
    <t>Regeneron Income Statement</t>
  </si>
  <si>
    <t>Net Product Revenue</t>
  </si>
  <si>
    <t xml:space="preserve">US </t>
  </si>
  <si>
    <t>ROW</t>
  </si>
  <si>
    <t>US CC Y/Y</t>
  </si>
  <si>
    <t>Roche Mgt Comments</t>
  </si>
  <si>
    <t>AMD</t>
  </si>
  <si>
    <t>share stablizing</t>
  </si>
  <si>
    <t>AMD mkt continues to grow</t>
  </si>
  <si>
    <t>stable share</t>
  </si>
  <si>
    <t>Share growth, ~25% of market</t>
  </si>
  <si>
    <t>1Q06</t>
  </si>
  <si>
    <t>2Q06</t>
  </si>
  <si>
    <t>3Q06</t>
  </si>
  <si>
    <t>4Q06</t>
  </si>
  <si>
    <t>1Q07</t>
  </si>
  <si>
    <t>2Q07</t>
  </si>
  <si>
    <t>3Q07</t>
  </si>
  <si>
    <t>4Q07</t>
  </si>
  <si>
    <t>Exchange rate</t>
  </si>
  <si>
    <t>USD/CHF Exchange Rates</t>
  </si>
  <si>
    <t>Apr</t>
  </si>
  <si>
    <t>Jun</t>
  </si>
  <si>
    <t>Jul</t>
  </si>
  <si>
    <t>Aug</t>
  </si>
  <si>
    <t>Sep</t>
  </si>
  <si>
    <t>Oct</t>
  </si>
  <si>
    <t>Nov</t>
  </si>
  <si>
    <t>Dec</t>
  </si>
  <si>
    <t>1Q</t>
  </si>
  <si>
    <t>2Q</t>
  </si>
  <si>
    <t>3Q</t>
  </si>
  <si>
    <t>4Q</t>
  </si>
  <si>
    <t>Novartis Mgt Comments</t>
  </si>
  <si>
    <t>11% DME, RVO and mCNV</t>
  </si>
  <si>
    <t>89% wAMD</t>
  </si>
  <si>
    <t>ROW - CC Y/Y</t>
  </si>
  <si>
    <t>ROW - Y/Y</t>
  </si>
  <si>
    <t>DME, etc</t>
  </si>
  <si>
    <t>Global Market</t>
  </si>
  <si>
    <t>Global</t>
  </si>
  <si>
    <t>Lucentis (USD)</t>
  </si>
  <si>
    <t>double-digit vol growth, offset by 1x pricing for DME reimbursement</t>
  </si>
  <si>
    <t>double digit volume, offset by 1x pricing for DME</t>
  </si>
  <si>
    <t>At analyst day sees 12% CAGR through 2018 off 2013 sales for VEGF mkt in eye</t>
  </si>
  <si>
    <t>DME = 15% of sales</t>
  </si>
  <si>
    <t>AMD growing with mkt and stable share</t>
  </si>
  <si>
    <t>RVO growing</t>
  </si>
  <si>
    <t>CRVO/BRVO/Other</t>
  </si>
  <si>
    <t>Reported US Sales</t>
  </si>
  <si>
    <t>% COGS</t>
  </si>
  <si>
    <t>C/BRVO, Other</t>
  </si>
  <si>
    <t>US Eylea</t>
  </si>
  <si>
    <t>ROW Eylea</t>
  </si>
  <si>
    <t>Revenues - ROW (excluding Japan)</t>
  </si>
  <si>
    <t>50% of OP (Regeneron Share)</t>
  </si>
  <si>
    <t>Total Eylea Profit/(Loss) - Reported by Regeneron</t>
  </si>
  <si>
    <t>Total revenues (Reported by Regeneron)</t>
  </si>
  <si>
    <t>Revenues - Japan (Reported by Santen)</t>
  </si>
  <si>
    <t>Royalty rate</t>
  </si>
  <si>
    <t>Japanese Currency</t>
  </si>
  <si>
    <t>Sales reported by Santen in millions of Yen</t>
  </si>
  <si>
    <t>Less Global R&amp;D Payback</t>
  </si>
  <si>
    <t>Newly Accrued</t>
  </si>
  <si>
    <t>Total R&amp;D Balance</t>
  </si>
  <si>
    <t>Net ROW Eylea Profit to Regeneron</t>
  </si>
  <si>
    <t>Royalty on Japan Sales (33.5-40%)</t>
  </si>
  <si>
    <t>Paid to Bayer (max of 5% of total balance due)</t>
  </si>
  <si>
    <t>After Tax Income (ROW)</t>
  </si>
  <si>
    <t>After Tax Income (US)</t>
  </si>
  <si>
    <t>Global Eylea Income, After Tax</t>
  </si>
  <si>
    <t>X</t>
  </si>
  <si>
    <t>Sum of Discounted Cash Flows</t>
  </si>
  <si>
    <t>Discounted cash flows</t>
  </si>
  <si>
    <t>2030E</t>
  </si>
  <si>
    <t>Data for Santen</t>
  </si>
  <si>
    <t>Total Zaltrap Profit/(Loss) - Reported by Regeneron</t>
  </si>
  <si>
    <t>Royalty on Japan Sales (35%)</t>
  </si>
  <si>
    <t>Total Global Zaltrap Sales</t>
  </si>
  <si>
    <t>Global Sales (except Japan)</t>
  </si>
  <si>
    <t>Net Zaltrap Profit/(Loss) to Regeneron</t>
  </si>
  <si>
    <t>Estimates for Cost of Collaboration Manufacturing</t>
  </si>
  <si>
    <t>Bulk drug product cost</t>
  </si>
  <si>
    <t>Genetech royalty</t>
  </si>
  <si>
    <t>Total to CoCM</t>
  </si>
  <si>
    <t>Reimbursement to Regeneron (to Zaltrap on REVS)</t>
  </si>
  <si>
    <t>Reimbursement to Regeneron (to Eylea on REVS)</t>
  </si>
  <si>
    <t>Total Eylea + Zaltrap sales</t>
  </si>
  <si>
    <t>CoCM</t>
  </si>
  <si>
    <t>% of sales</t>
  </si>
  <si>
    <t>USD Japan Sales</t>
  </si>
  <si>
    <t>Market growth (Y/Y)</t>
  </si>
  <si>
    <t>Market share</t>
  </si>
  <si>
    <t>Options expense</t>
  </si>
  <si>
    <t>% of operating expenses</t>
  </si>
  <si>
    <t>Tax impact</t>
  </si>
  <si>
    <t>Net Income (including options)</t>
  </si>
  <si>
    <t>Non-operating Income</t>
  </si>
  <si>
    <t>Non-cash expense related to converts</t>
  </si>
  <si>
    <t>Non-dilutive coupon payments for converts</t>
  </si>
  <si>
    <t>Reconcilliation to GAAP</t>
  </si>
  <si>
    <t>Tax adjustments</t>
  </si>
  <si>
    <t>GAAP Net Income</t>
  </si>
  <si>
    <t>GAAP EPS (including options)</t>
  </si>
  <si>
    <t>Co. Guidance</t>
  </si>
  <si>
    <t>US (50-50 Split)</t>
  </si>
  <si>
    <t>ROW (65-35 Split, moving to 55-45)</t>
  </si>
  <si>
    <t>Sarilumab</t>
  </si>
  <si>
    <t>Alirocumab (PCSK9)</t>
  </si>
  <si>
    <t>ROW (65-35 to 55-45 split as revs grow)</t>
  </si>
  <si>
    <t>US Selling Expenses Calculations</t>
  </si>
  <si>
    <t>Numbers of Reps</t>
  </si>
  <si>
    <t>Cost/Rep</t>
  </si>
  <si>
    <t>Total Reps</t>
  </si>
  <si>
    <t>M&amp;A</t>
  </si>
  <si>
    <t>Total Selling</t>
  </si>
  <si>
    <t>MSL + G&amp;A</t>
  </si>
  <si>
    <t>% Share</t>
  </si>
  <si>
    <t>Regeneron Share of US Operating Profit</t>
  </si>
  <si>
    <t>Total Alirocumab Operating Profit to Regeneron</t>
  </si>
  <si>
    <t>Regeneron Share of ROW Operating Profit</t>
  </si>
  <si>
    <t>Tax rate (Irish domacile)</t>
  </si>
  <si>
    <t>Regeneron After-tax Profit</t>
  </si>
  <si>
    <t>ROW Revenues</t>
  </si>
  <si>
    <t>US Revenues</t>
  </si>
  <si>
    <t>Total Sarilumab Operating Profit to Regeneron</t>
  </si>
  <si>
    <t>Dupilumab</t>
  </si>
  <si>
    <t>Total Dupilumab Operating Profit to Regeneron</t>
  </si>
  <si>
    <t>Total Antibody Taxes</t>
  </si>
  <si>
    <t>Total Eylea Taxes</t>
  </si>
  <si>
    <t>Total selling/r&amp;d costs from P&amp;L</t>
  </si>
  <si>
    <t>Total allocated</t>
  </si>
  <si>
    <t>Total unallocated</t>
  </si>
  <si>
    <t>US Tax rate</t>
  </si>
  <si>
    <t>Offset</t>
  </si>
  <si>
    <t>Net Taxes</t>
  </si>
  <si>
    <t>R&amp;D Payback calculations</t>
  </si>
  <si>
    <t>Amount Due Sanofi</t>
  </si>
  <si>
    <t>Cost share on Sarilumab</t>
  </si>
  <si>
    <t>Cost share on Dupilumab</t>
  </si>
  <si>
    <t>Cost share on Alirocumab</t>
  </si>
  <si>
    <t>Sarilumab PhIII Costs</t>
  </si>
  <si>
    <t>Alirocumab PhIII Costs</t>
  </si>
  <si>
    <t>Dupilumab PhIII Costs</t>
  </si>
  <si>
    <t>50% of "Other"</t>
  </si>
  <si>
    <t>"Other"</t>
  </si>
  <si>
    <t>Total new R&amp;D</t>
  </si>
  <si>
    <t>Total Paid Back</t>
  </si>
  <si>
    <t>Antibody DCF</t>
  </si>
  <si>
    <t>Total After-tax Antibody Profit/Loss</t>
  </si>
  <si>
    <t>Regeneron Balance Sheet</t>
  </si>
  <si>
    <t>Historical Sales</t>
  </si>
  <si>
    <t>Non-GAAP EPS (excluding options)</t>
  </si>
  <si>
    <t>Non-GAAP EPS (including options)</t>
  </si>
  <si>
    <t>Other</t>
  </si>
  <si>
    <t>Up-front payments to Sanofi for acquisition right related to two antibodies</t>
  </si>
  <si>
    <t>Paid to Sanofi (max of 20% of profits)</t>
  </si>
  <si>
    <t>Inventory</t>
  </si>
  <si>
    <t>Regeneron Cash Flows</t>
  </si>
  <si>
    <t>Diluted shares outstanding - GAAP</t>
  </si>
  <si>
    <t>Diluted shares outstanding - Non-GAAP</t>
  </si>
  <si>
    <t>Rate</t>
  </si>
  <si>
    <t>Change in inventories</t>
  </si>
  <si>
    <t>Period End Shares</t>
  </si>
  <si>
    <t>Statutory tax rate</t>
  </si>
  <si>
    <t>Modelware required tags</t>
  </si>
  <si>
    <t>Unrecorded goodwill</t>
  </si>
  <si>
    <t>USD</t>
  </si>
  <si>
    <t>REGN.O</t>
  </si>
  <si>
    <t>Regeneron Pharmaceuticals Inc.</t>
  </si>
  <si>
    <t>ModelWare Calculations</t>
  </si>
  <si>
    <t>Tax Impact</t>
  </si>
  <si>
    <t>Net Issuance/Repurchases</t>
  </si>
  <si>
    <t>Currency</t>
  </si>
  <si>
    <t>Current Stock Price</t>
  </si>
  <si>
    <t>Count</t>
  </si>
  <si>
    <t>REGN.O,mscalc:sedolCodeCalc</t>
  </si>
  <si>
    <t>REGN.O,mscalc:closePriceCurrencyCalc</t>
  </si>
  <si>
    <t>REGN.O,mscalc:targetPrice,,,,USD</t>
  </si>
  <si>
    <t>$F$2</t>
  </si>
  <si>
    <t>Bull / Base / Bear</t>
  </si>
  <si>
    <t>Bull</t>
  </si>
  <si>
    <t>Bear</t>
  </si>
  <si>
    <t>Base</t>
  </si>
  <si>
    <t>Seeking Treatment</t>
  </si>
  <si>
    <t>% seeking treatment</t>
  </si>
  <si>
    <t>Western EU</t>
  </si>
  <si>
    <t>International</t>
  </si>
  <si>
    <t>USD, millions</t>
  </si>
  <si>
    <t>Global Sarilumab (estimates)</t>
  </si>
  <si>
    <t>Total Actemra (historical)</t>
  </si>
  <si>
    <t>AD uncontrolled by topicals</t>
  </si>
  <si>
    <t>2730190</t>
  </si>
  <si>
    <t>Non-GAAP net income</t>
  </si>
  <si>
    <t>Loss on extinguishment of debt</t>
  </si>
  <si>
    <t>Branded prescription drug fee incremental charge</t>
  </si>
  <si>
    <t>Free Cash Flow</t>
  </si>
  <si>
    <t>Present Value of FCF</t>
  </si>
  <si>
    <t>Sanofi Reimbursement for Regeneron Selling Expenses</t>
  </si>
  <si>
    <t>27% DME, RVO and mCNV</t>
  </si>
  <si>
    <t>63% wAMD</t>
  </si>
  <si>
    <t>Treasury stock</t>
  </si>
  <si>
    <t>Accounts receivable - Bayer HealthCare</t>
  </si>
  <si>
    <t>Sanofi, Bayer Healthcare &amp; trade accounts receivable</t>
  </si>
  <si>
    <t>Loss on extingushment of debt</t>
  </si>
  <si>
    <t>f/x adjusted</t>
  </si>
  <si>
    <t>Royalty to Regeneron</t>
  </si>
  <si>
    <t>PCSK9 Treated Vytorin / Zetia Patients not to goal  (70 mg / dL) (K)</t>
  </si>
  <si>
    <t>Total Immuno-oncology</t>
  </si>
  <si>
    <t>Immuno-oncology:</t>
  </si>
  <si>
    <t>1Q16</t>
  </si>
  <si>
    <t>2Q16</t>
  </si>
  <si>
    <t>3Q16</t>
  </si>
  <si>
    <t>4Q16</t>
  </si>
  <si>
    <t>Other current liabilities</t>
  </si>
  <si>
    <t>Buildings D&amp;E</t>
  </si>
  <si>
    <t>1Q16A</t>
  </si>
  <si>
    <t>2Q16A</t>
  </si>
  <si>
    <t>Upfront payment for license &amp; collaboration agreement</t>
  </si>
  <si>
    <t>3Q16A</t>
  </si>
  <si>
    <t>Regeneron Net Share of US Operating Profit</t>
  </si>
  <si>
    <t>US Profit Loss</t>
  </si>
  <si>
    <t>US Profit Loss Scenarios from Patent Litigation</t>
  </si>
  <si>
    <t>4Q16A</t>
  </si>
  <si>
    <t>2016A</t>
  </si>
  <si>
    <t>Capital lease obligations</t>
  </si>
  <si>
    <t>1Q17A</t>
  </si>
  <si>
    <t>Bulk drug product cost Eylea</t>
  </si>
  <si>
    <t>Bulk drug product cost Praulent</t>
  </si>
  <si>
    <t>Bulk drug product cost Dupixent</t>
  </si>
  <si>
    <t>Bulk drug product cost Kevzara</t>
  </si>
  <si>
    <t>Total Eylea</t>
  </si>
  <si>
    <t>1Q17</t>
  </si>
  <si>
    <t>2Q17</t>
  </si>
  <si>
    <t>3Q17</t>
  </si>
  <si>
    <t>4Q17</t>
  </si>
  <si>
    <t>Sales ($M)</t>
  </si>
  <si>
    <t>PCSK9 estimates (IMS based):</t>
  </si>
  <si>
    <t>US composition of matter and methods of treatment patents expire December 2029, formulation patent expires July 2032</t>
  </si>
  <si>
    <t>IP:</t>
  </si>
  <si>
    <t>EU compound patents through December 2029, patents pending through September 2032</t>
  </si>
  <si>
    <t>Japan compound patents through December 2029, patents pending through September 2032</t>
  </si>
  <si>
    <t>U.S. through 2028, EU and Japan through 2027</t>
  </si>
  <si>
    <t>U.S. through 2027, EU and Japan through 2029</t>
  </si>
  <si>
    <t>Antibodies</t>
  </si>
  <si>
    <t>US (CHF)</t>
  </si>
  <si>
    <t>US (USD)</t>
  </si>
  <si>
    <t>ROW (USD)</t>
  </si>
  <si>
    <t>US Market Share</t>
  </si>
  <si>
    <t>Biosimilars</t>
  </si>
  <si>
    <t>Other branded</t>
  </si>
  <si>
    <t>Eylea biosimilars</t>
  </si>
  <si>
    <t>Lucentis biosimilars</t>
  </si>
  <si>
    <t>ROW Market Share</t>
  </si>
  <si>
    <t>2Q17A</t>
  </si>
  <si>
    <t>Profit/loss in connection with commercialization of antibodies</t>
  </si>
  <si>
    <t>Teva</t>
  </si>
  <si>
    <t>Substantive development milestone</t>
  </si>
  <si>
    <t>Total Teva</t>
  </si>
  <si>
    <t>Praluent</t>
  </si>
  <si>
    <t>Dupixent</t>
  </si>
  <si>
    <t>Fasinumab</t>
  </si>
  <si>
    <t>REGN2810</t>
  </si>
  <si>
    <t>Other research programs &amp; unallocated costs</t>
  </si>
  <si>
    <t>Other product candidates in clinical development</t>
  </si>
  <si>
    <t>Suptavumab (REGN2222)</t>
  </si>
  <si>
    <t>Other candidates &amp; other research programs</t>
  </si>
  <si>
    <t>Total Direct R&amp;D expenses</t>
  </si>
  <si>
    <t>To antibodies</t>
  </si>
  <si>
    <t>To I/O</t>
  </si>
  <si>
    <t>To Teva</t>
  </si>
  <si>
    <t>Bull (no injunction on Praluent)</t>
  </si>
  <si>
    <t>Base (35% prob. of injunction in 2020E)</t>
  </si>
  <si>
    <t>Bear (100% prob. of injunction in 2020E)</t>
  </si>
  <si>
    <t>3Q17A</t>
  </si>
  <si>
    <t>Profit/loss in connection with commercialization of PD-1</t>
  </si>
  <si>
    <t>US PD-1</t>
  </si>
  <si>
    <t>CSCC Patients</t>
  </si>
  <si>
    <t>Penetration</t>
  </si>
  <si>
    <t>Annual Cost</t>
  </si>
  <si>
    <t>US CSCC Revenues</t>
  </si>
  <si>
    <t>Selling costs</t>
  </si>
  <si>
    <t>% share</t>
  </si>
  <si>
    <t>Total US Operating Profit to Regeneron</t>
  </si>
  <si>
    <t>ROW Operating Profit</t>
  </si>
  <si>
    <t>Global Operating Profit</t>
  </si>
  <si>
    <t>base</t>
  </si>
  <si>
    <t>bull</t>
  </si>
  <si>
    <t>bear</t>
  </si>
  <si>
    <t>1Q18</t>
  </si>
  <si>
    <t>2Q18</t>
  </si>
  <si>
    <t>3Q18</t>
  </si>
  <si>
    <t>4Q18</t>
  </si>
  <si>
    <t>$1,230M-$1,330M</t>
  </si>
  <si>
    <t>$1,350M-$1,450M</t>
  </si>
  <si>
    <t>15%-19%</t>
  </si>
  <si>
    <t>$450M-$500M</t>
  </si>
  <si>
    <t>4Q17A</t>
  </si>
  <si>
    <t>2017A</t>
  </si>
  <si>
    <t>Cemiplimab</t>
  </si>
  <si>
    <t>ROW CSCC Revenues</t>
  </si>
  <si>
    <t>What to where?</t>
  </si>
  <si>
    <t>To net revenues</t>
  </si>
  <si>
    <t>To COGS</t>
  </si>
  <si>
    <t>To SG&amp;A</t>
  </si>
  <si>
    <t>To Sanofi Antibody I/O Collaboration revs</t>
  </si>
  <si>
    <t>415</t>
  </si>
  <si>
    <t>Research</t>
  </si>
  <si>
    <t>MSA72HLP</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</si>
  <si>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</si>
  <si>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</si>
  <si>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</si>
  <si>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</si>
  <si>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</si>
  <si>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</si>
  <si>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Matthew Harrison</t>
  </si>
  <si>
    <t>Date: 13 Apr 2018</t>
  </si>
  <si>
    <t>Ticker: REGN.O</t>
  </si>
  <si>
    <t>Stock Rating: Equal-Weight</t>
  </si>
  <si>
    <t>Industry: Biotechnology</t>
  </si>
  <si>
    <t>Industry View: In-Line</t>
  </si>
  <si>
    <t>Price as of 13 Apr 2018: 323.22</t>
  </si>
  <si>
    <t>Target Price: 400</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</si>
  <si>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</si>
  <si>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</si>
  <si>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</si>
  <si>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</si>
  <si>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Regeneron Pharmaceuticals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</si>
  <si>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</si>
  <si>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</si>
  <si>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</si>
  <si>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</si>
  <si>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</si>
  <si>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</si>
  <si>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</si>
  <si>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</si>
  <si>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</si>
  <si>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</si>
  <si>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</si>
  <si>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</si>
  <si>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</si>
  <si>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</si>
  <si>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</si>
  <si>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</si>
  <si>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</si>
  <si>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</si>
  <si>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</si>
  <si>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</si>
  <si>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</si>
  <si>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</si>
  <si>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</si>
  <si>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</si>
  <si>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</si>
  <si>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</si>
  <si>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</si>
  <si>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</si>
  <si>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</si>
  <si>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</si>
  <si>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</si>
  <si>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</si>
  <si>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</si>
  <si>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</si>
  <si>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</si>
  <si>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</si>
  <si>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</si>
  <si>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</si>
  <si>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</si>
  <si>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</si>
  <si>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</si>
  <si>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</si>
  <si>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</si>
  <si>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</si>
  <si>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</si>
  <si>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</si>
  <si>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</si>
  <si>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</si>
  <si>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</si>
  <si>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</si>
  <si>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</si>
  <si>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</si>
  <si>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</si>
  <si>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</si>
  <si>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</si>
  <si>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</si>
  <si>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</si>
  <si>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</si>
  <si>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</si>
  <si>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</si>
  <si>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</si>
  <si>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</si>
  <si>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</si>
  <si>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</si>
  <si>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</si>
  <si>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</si>
  <si>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</si>
  <si>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</si>
  <si>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</si>
  <si>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</si>
  <si>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</si>
  <si>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</si>
  <si>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</si>
  <si>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</si>
  <si>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</si>
  <si>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</si>
  <si>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</si>
  <si>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</si>
  <si>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</si>
  <si>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</si>
  <si>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</si>
  <si>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</si>
  <si>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</si>
  <si>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</si>
  <si>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</si>
  <si>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</si>
  <si>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</si>
  <si>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</si>
  <si>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</si>
  <si>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</si>
  <si>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</si>
  <si>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</si>
  <si>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</si>
  <si>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</si>
  <si>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</si>
  <si>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</si>
  <si>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</si>
  <si>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</si>
  <si>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</si>
  <si>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</si>
  <si>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</si>
  <si>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</si>
  <si>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</si>
  <si>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</si>
  <si>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</si>
  <si>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</si>
  <si>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</si>
  <si>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</si>
  <si>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</si>
  <si>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</si>
  <si>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</si>
  <si>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</si>
  <si>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</si>
  <si>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</si>
  <si>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</si>
  <si>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</si>
  <si>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</si>
  <si>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</si>
  <si>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</si>
  <si>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</si>
  <si>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</si>
  <si>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</si>
  <si>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</si>
  <si>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</si>
  <si>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</si>
  <si>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</si>
  <si>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</si>
  <si>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</si>
  <si>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</si>
  <si>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</si>
  <si>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</si>
  <si>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</si>
  <si>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</si>
  <si>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</si>
  <si>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</si>
  <si>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</si>
  <si>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</si>
  <si>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</si>
  <si>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</si>
  <si>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</si>
  <si>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</si>
  <si>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</si>
  <si>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</si>
  <si>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</si>
  <si>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</si>
  <si>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</si>
  <si>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</si>
  <si>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</si>
  <si>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</si>
  <si>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</si>
  <si>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</si>
  <si>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</si>
  <si>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</si>
  <si>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</si>
  <si>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</si>
  <si>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</si>
  <si>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</si>
  <si>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</si>
  <si>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</si>
  <si>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</si>
  <si>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</si>
  <si>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</si>
  <si>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</si>
  <si>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</si>
  <si>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</si>
  <si>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</si>
  <si>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</si>
  <si>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</si>
  <si>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</si>
  <si>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</si>
  <si>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</si>
  <si>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</si>
  <si>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</si>
  <si>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</si>
  <si>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</si>
  <si>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</si>
  <si>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Regeneron Pharmaceuticals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</si>
  <si>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</si>
  <si>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</si>
  <si>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</si>
  <si>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</si>
  <si>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</si>
  <si>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</si>
  <si>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</si>
  <si>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</si>
  <si>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</si>
  <si>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</si>
  <si>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</si>
  <si>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</si>
  <si>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</si>
  <si>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</si>
  <si>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</si>
  <si>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</si>
  <si>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</si>
  <si>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</si>
  <si>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</si>
  <si>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</si>
  <si>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</si>
  <si>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</si>
  <si>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</si>
  <si>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</si>
  <si>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</si>
  <si>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</si>
  <si>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</si>
  <si>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</si>
  <si>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</si>
  <si>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</si>
  <si>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</si>
  <si>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</si>
  <si>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</si>
  <si>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</si>
  <si>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</si>
  <si>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</si>
  <si>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</si>
  <si>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</si>
  <si>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</si>
  <si>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</si>
  <si>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</si>
  <si>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</si>
  <si>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</si>
  <si>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</si>
  <si>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</si>
  <si>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</si>
  <si>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</si>
  <si>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</si>
  <si>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</si>
  <si>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</si>
  <si>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</si>
  <si>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</si>
  <si>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</si>
  <si>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</si>
  <si>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</si>
  <si>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</si>
  <si>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</si>
  <si>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</si>
  <si>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</si>
  <si>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</si>
  <si>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</si>
  <si>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</si>
  <si>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</si>
  <si>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</si>
  <si>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</si>
  <si>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</si>
  <si>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</si>
  <si>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</si>
  <si>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Regeneron Pharmaceuticals Inc..</t>
  </si>
  <si>
    <t>Within the last 12 months, Morgan Stanley has provided or is providing investment banking services to,</t>
  </si>
  <si>
    <t>or has an investment banking client relationship with, the following company: Regeneron Pharmaceuticals</t>
  </si>
  <si>
    <t>Inc..</t>
  </si>
  <si>
    <t>In the next 3 months, Morgan Stanley expects to receive or intends to seek compensation for investment</t>
  </si>
  <si>
    <t>banking services from Regeneron Pharmaceuticals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</si>
  <si>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</si>
  <si>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</si>
  <si>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</si>
  <si>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</si>
  <si>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</si>
  <si>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Matthew Harrison.</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</si>
  <si>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</si>
  <si>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</si>
  <si>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</si>
  <si>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</si>
  <si>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</si>
  <si>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</si>
  <si>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</si>
  <si>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</si>
  <si>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</si>
  <si>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</si>
  <si>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</si>
  <si>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</si>
  <si>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</si>
  <si>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</si>
  <si>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</si>
  <si>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</si>
  <si>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</si>
  <si>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</si>
  <si>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</si>
  <si>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</si>
  <si>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</si>
  <si>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</si>
  <si>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</si>
  <si>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</si>
  <si>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</si>
  <si>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</si>
  <si>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</si>
  <si>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</si>
  <si>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</si>
  <si>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</si>
  <si>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</si>
  <si>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</si>
  <si>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</si>
  <si>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</si>
  <si>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</si>
  <si>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</si>
  <si>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</si>
  <si>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</si>
  <si>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</si>
  <si>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</si>
  <si>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</si>
  <si>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</si>
  <si>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</si>
  <si>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</si>
  <si>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</si>
  <si>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 xml:space="preserve"> </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</si>
  <si>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</si>
  <si>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</si>
  <si>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</si>
  <si>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</si>
  <si>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</si>
  <si>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</si>
  <si>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</si>
  <si>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</si>
  <si>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</si>
  <si>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</si>
  <si>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</si>
  <si>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</si>
  <si>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</si>
  <si>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</si>
  <si>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</si>
  <si>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</si>
  <si>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</si>
  <si>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</si>
  <si>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</si>
  <si>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</si>
  <si>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</si>
  <si>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</si>
  <si>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</si>
  <si>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</si>
  <si>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Regular Update</t>
  </si>
  <si>
    <t>NorthAmerica</t>
  </si>
  <si>
    <t>purohvik</t>
  </si>
  <si>
    <t>75886F107</t>
  </si>
  <si>
    <t>L:\HEALTH\Biotech\Harrison\Models\REGN_MH.xlsm</t>
  </si>
  <si>
    <t>[BRO MSA]</t>
  </si>
  <si>
    <t>[PRODUCT MODEL]</t>
  </si>
  <si>
    <t>[EMAIL_ALERT YES]</t>
  </si>
  <si>
    <t>[DISCIPLINE Company]</t>
  </si>
  <si>
    <t>[SUPPRESSED NO]</t>
  </si>
  <si>
    <t>[DOCDAT 2018-04-13]</t>
  </si>
  <si>
    <t>[DOCTIME 10:46]</t>
  </si>
  <si>
    <t>[PSYM REGN.O(S&amp;P) (None)]</t>
  </si>
  <si>
    <t>[COU 1]</t>
  </si>
  <si>
    <t>[ANA ]</t>
  </si>
  <si>
    <t>[HL REGN.O Model]</t>
  </si>
  <si>
    <t>[IND BIOTEC]</t>
  </si>
  <si>
    <t>[PANA MSA72HLP]</t>
  </si>
</sst>
</file>

<file path=xl/styles.xml><?xml version="1.0" encoding="utf-8"?>
<styleSheet xmlns="http://schemas.openxmlformats.org/spreadsheetml/2006/main" xmlns:mc="http://schemas.openxmlformats.org/markup-compatibility/2006" xmlns:x14ac="http://schemas.microsoft.com/office/spreadsheetml/2009/9/ac" mc:Ignorable="x14ac">
  <numFmts count="38">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0000&quot;E&quot;"/>
    <numFmt numFmtId="165" formatCode="0.0"/>
    <numFmt numFmtId="166" formatCode="0.0%"/>
    <numFmt numFmtId="167" formatCode="_(* #,##0.0_);_(* \(#,##0.0\);_(* &quot;-&quot;??_);_(@_)"/>
    <numFmt numFmtId="168" formatCode="_(* #,##0_);_(* \(#,##0\);_(* &quot;-&quot;??_);_(@_)"/>
    <numFmt numFmtId="169" formatCode="#,##0.0"/>
    <numFmt numFmtId="170" formatCode="_(* #,##0.0000_);_(* \(#,##0.0000\);_(* &quot;-&quot;??_);_(@_)"/>
    <numFmt numFmtId="171" formatCode="&quot;$&quot;#,##0"/>
    <numFmt numFmtId="172" formatCode="&quot;$&quot;#,##0.00"/>
    <numFmt numFmtId="173" formatCode="&quot;$&quot;#,##0.0"/>
    <numFmt numFmtId="174" formatCode="#,##0.0_);\(#,##0.0\)"/>
    <numFmt numFmtId="176" formatCode="0.000%"/>
    <numFmt numFmtId="177" formatCode="0.0000%"/>
    <numFmt numFmtId="178" formatCode="0000"/>
    <numFmt numFmtId="179" formatCode="\$#,###,###,###"/>
    <numFmt numFmtId="180" formatCode="&quot;$&quot;#,##0.0_);[Red]\(&quot;$&quot;#,##0.0\)"/>
    <numFmt numFmtId="181" formatCode="0_);[Red]\(0\)"/>
    <numFmt numFmtId="182" formatCode="&quot;$&quot;#,##0.000_);[Red]\(&quot;$&quot;#,##0.000\)"/>
    <numFmt numFmtId="183" formatCode="#,##0.000000"/>
    <numFmt numFmtId="184" formatCode="#,##0.0000000"/>
    <numFmt numFmtId="185" formatCode="_(* #,##0.0000_);_(* \(#,##0.0000\);_(* &quot;-&quot;_);_(@_)"/>
    <numFmt numFmtId="186" formatCode="0.000"/>
    <numFmt numFmtId="191" formatCode="0%_);\(0%\)"/>
    <numFmt numFmtId="192" formatCode="&quot;$&quot;#,##0.0_);\(&quot;$&quot;#,##0.0\)"/>
    <numFmt numFmtId="194" formatCode="#,##0.00000"/>
    <numFmt numFmtId="195" formatCode="#,##0.000"/>
    <numFmt numFmtId="196" formatCode="#,##0.000_);\(#,##0.000\)"/>
    <numFmt numFmtId="197" formatCode="####&quot;E&quot;"/>
    <numFmt numFmtId="198" formatCode="####&quot;A&quot;"/>
    <numFmt numFmtId="199" formatCode="#,##0_);\ \(#,##0\);\ &quot;- &quot;"/>
    <numFmt numFmtId="205" formatCode="mm/dd/yy\ hh:mm"/>
  </numFmts>
  <fonts count="129">
    <font>
      <sz val="10.5"/>
      <name val="Frutiger 45 Light"/>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indexed="8"/>
      <name val="Arial"/>
      <family val="2"/>
    </font>
    <font>
      <sz val="10.5"/>
      <name val="Frutiger 45 Light"/>
    </font>
    <font>
      <sz val="8"/>
      <name val="Frutiger 45 Light"/>
      <family val="2"/>
    </font>
    <font>
      <sz val="8"/>
      <color indexed="81"/>
      <name val="Tahoma"/>
      <family val="2"/>
    </font>
    <font>
      <b/>
      <sz val="8"/>
      <color indexed="81"/>
      <name val="Tahoma"/>
      <family val="2"/>
    </font>
    <font>
      <sz val="10"/>
      <name val="Arial"/>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sz val="10"/>
      <name val="MS Sans Serif"/>
      <family val="2"/>
    </font>
    <font>
      <sz val="10"/>
      <color indexed="24"/>
      <name val="Arial"/>
      <family val="2"/>
    </font>
    <font>
      <i/>
      <sz val="11"/>
      <color indexed="23"/>
      <name val="Calibri"/>
      <family val="2"/>
    </font>
    <font>
      <sz val="11"/>
      <color indexed="17"/>
      <name val="Calibri"/>
      <family val="2"/>
    </font>
    <font>
      <sz val="8"/>
      <name val="Arial"/>
      <family val="2"/>
    </font>
    <font>
      <b/>
      <sz val="18"/>
      <color indexed="24"/>
      <name val="Arial"/>
      <family val="2"/>
    </font>
    <font>
      <b/>
      <sz val="12"/>
      <color indexed="24"/>
      <name val="Arial"/>
      <family val="2"/>
    </font>
    <font>
      <b/>
      <sz val="11"/>
      <color indexed="62"/>
      <name val="Calibri"/>
      <family val="2"/>
    </font>
    <font>
      <b/>
      <sz val="10"/>
      <name val="Arial"/>
      <family val="2"/>
    </font>
    <font>
      <sz val="11"/>
      <color indexed="10"/>
      <name val="Calibri"/>
      <family val="2"/>
    </font>
    <font>
      <sz val="11"/>
      <color indexed="19"/>
      <name val="Calibri"/>
      <family val="2"/>
    </font>
    <font>
      <b/>
      <sz val="11"/>
      <color indexed="63"/>
      <name val="Calibri"/>
      <family val="2"/>
    </font>
    <font>
      <b/>
      <sz val="24"/>
      <name val="Sabon"/>
      <family val="2"/>
    </font>
    <font>
      <i/>
      <sz val="8"/>
      <name val="Times New Roman"/>
      <family val="1"/>
    </font>
    <font>
      <b/>
      <sz val="9"/>
      <color indexed="81"/>
      <name val="Tahoma"/>
      <family val="2"/>
    </font>
    <font>
      <sz val="9"/>
      <color indexed="81"/>
      <name val="Tahoma"/>
      <family val="2"/>
    </font>
    <font>
      <sz val="10"/>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sz val="8"/>
      <name val="Arial"/>
      <family val="2"/>
    </font>
    <font>
      <i/>
      <sz val="10"/>
      <name val="Arial"/>
      <family val="2"/>
    </font>
    <font>
      <sz val="10"/>
      <color indexed="8"/>
      <name val="Arial"/>
      <family val="2"/>
    </font>
    <font>
      <b/>
      <u/>
      <sz val="10"/>
      <name val="Arial"/>
      <family val="2"/>
    </font>
    <font>
      <sz val="10"/>
      <color indexed="63"/>
      <name val="Arial"/>
      <family val="2"/>
    </font>
    <font>
      <b/>
      <sz val="10"/>
      <color indexed="63"/>
      <name val="Arial"/>
      <family val="2"/>
    </font>
    <font>
      <sz val="10"/>
      <color indexed="9"/>
      <name val="Arial"/>
      <family val="2"/>
    </font>
    <font>
      <b/>
      <sz val="10"/>
      <color indexed="8"/>
      <name val="Arial"/>
      <family val="2"/>
    </font>
    <font>
      <sz val="10"/>
      <color indexed="12"/>
      <name val="Arial"/>
      <family val="2"/>
    </font>
    <font>
      <b/>
      <sz val="10"/>
      <color indexed="8"/>
      <name val="Arial"/>
      <family val="2"/>
    </font>
    <font>
      <b/>
      <sz val="10"/>
      <color indexed="9"/>
      <name val="Arial"/>
      <family val="2"/>
    </font>
    <font>
      <i/>
      <sz val="10"/>
      <color indexed="8"/>
      <name val="Arial"/>
      <family val="2"/>
    </font>
    <font>
      <i/>
      <sz val="10"/>
      <color indexed="12"/>
      <name val="Arial"/>
      <family val="2"/>
    </font>
    <font>
      <b/>
      <sz val="10"/>
      <color indexed="12"/>
      <name val="Arial"/>
      <family val="2"/>
    </font>
    <font>
      <sz val="10"/>
      <color indexed="23"/>
      <name val="Arial"/>
      <family val="2"/>
    </font>
    <font>
      <i/>
      <sz val="10"/>
      <color indexed="23"/>
      <name val="Arial"/>
      <family val="2"/>
    </font>
    <font>
      <sz val="10"/>
      <color indexed="10"/>
      <name val="Arial"/>
      <family val="2"/>
    </font>
    <font>
      <b/>
      <sz val="10"/>
      <color indexed="17"/>
      <name val="Arial"/>
      <family val="2"/>
    </font>
    <font>
      <b/>
      <sz val="10"/>
      <color indexed="10"/>
      <name val="Arial"/>
      <family val="2"/>
    </font>
    <font>
      <b/>
      <i/>
      <sz val="10"/>
      <name val="Arial"/>
      <family val="2"/>
    </font>
    <font>
      <i/>
      <sz val="10"/>
      <color indexed="10"/>
      <name val="Arial"/>
      <family val="2"/>
    </font>
    <font>
      <sz val="10"/>
      <color indexed="16"/>
      <name val="Arial"/>
      <family val="2"/>
    </font>
    <font>
      <sz val="10"/>
      <color indexed="52"/>
      <name val="Arial"/>
      <family val="2"/>
    </font>
    <font>
      <b/>
      <sz val="10.5"/>
      <name val="Frutiger 45 Light"/>
    </font>
    <font>
      <sz val="8"/>
      <name val="Frutiger 45 Light"/>
    </font>
    <font>
      <sz val="11"/>
      <color theme="1"/>
      <name val="Arial"/>
      <family val="2"/>
    </font>
    <font>
      <sz val="10"/>
      <color theme="0" tint="-0.499984740745262"/>
      <name val="Arial"/>
      <family val="2"/>
    </font>
    <font>
      <sz val="10"/>
      <color theme="1"/>
      <name val="Arial"/>
      <family val="2"/>
    </font>
    <font>
      <b/>
      <sz val="10"/>
      <color theme="1"/>
      <name val="Arial"/>
      <family val="2"/>
    </font>
    <font>
      <i/>
      <sz val="10"/>
      <color theme="1"/>
      <name val="Arial"/>
      <family val="2"/>
    </font>
    <font>
      <b/>
      <i/>
      <sz val="10"/>
      <color theme="1"/>
      <name val="Arial"/>
      <family val="2"/>
    </font>
    <font>
      <sz val="10"/>
      <color rgb="FF0000FF"/>
      <name val="Arial"/>
      <family val="2"/>
    </font>
    <font>
      <b/>
      <sz val="10"/>
      <color theme="0"/>
      <name val="Arial"/>
      <family val="2"/>
    </font>
    <font>
      <b/>
      <sz val="10"/>
      <color theme="9" tint="-0.499984740745262"/>
      <name val="Arial"/>
      <family val="2"/>
    </font>
    <font>
      <i/>
      <sz val="10"/>
      <color rgb="FF0000FF"/>
      <name val="Arial"/>
      <family val="2"/>
    </font>
    <font>
      <sz val="10"/>
      <color theme="9" tint="-0.499984740745262"/>
      <name val="Arial"/>
      <family val="2"/>
    </font>
    <font>
      <sz val="10"/>
      <name val="Arial"/>
      <family val="2"/>
      <scheme val="major"/>
    </font>
    <font>
      <b/>
      <sz val="10"/>
      <name val="Arial"/>
      <family val="2"/>
      <scheme val="major"/>
    </font>
    <font>
      <sz val="10"/>
      <color rgb="FF0000FF"/>
      <name val="Arial"/>
      <family val="2"/>
      <scheme val="major"/>
    </font>
    <font>
      <sz val="10"/>
      <color indexed="8"/>
      <name val="Arial"/>
      <family val="2"/>
      <scheme val="major"/>
    </font>
    <font>
      <sz val="10"/>
      <color indexed="10"/>
      <name val="Arial"/>
      <family val="2"/>
      <scheme val="major"/>
    </font>
    <font>
      <sz val="10"/>
      <color theme="0"/>
      <name val="Arial"/>
      <family val="2"/>
    </font>
    <font>
      <sz val="10"/>
      <color theme="0" tint="-4.9989318521683403E-2"/>
      <name val="Arial"/>
      <family val="2"/>
    </font>
    <font>
      <b/>
      <sz val="10"/>
      <color rgb="FF0000FF"/>
      <name val="Arial"/>
      <family val="2"/>
    </font>
    <font>
      <i/>
      <sz val="10"/>
      <name val="Arial"/>
      <family val="2"/>
      <scheme val="major"/>
    </font>
    <font>
      <sz val="10"/>
      <color theme="8" tint="-0.249977111117893"/>
      <name val="Arial"/>
      <family val="2"/>
    </font>
    <font>
      <i/>
      <sz val="10"/>
      <color rgb="FF0000FF"/>
      <name val="Arial"/>
      <family val="2"/>
      <scheme val="major"/>
    </font>
    <font>
      <i/>
      <sz val="10"/>
      <color indexed="10"/>
      <name val="Arial"/>
      <family val="2"/>
      <scheme val="major"/>
    </font>
    <font>
      <b/>
      <sz val="10"/>
      <color theme="9" tint="-0.499984740745262"/>
      <name val="Arial"/>
      <family val="2"/>
      <scheme val="major"/>
    </font>
    <font>
      <b/>
      <sz val="10"/>
      <color indexed="8"/>
      <name val="Arial"/>
      <family val="2"/>
      <scheme val="major"/>
    </font>
    <font>
      <b/>
      <sz val="10"/>
      <color indexed="9"/>
      <name val="Arial"/>
      <family val="2"/>
      <scheme val="major"/>
    </font>
    <font>
      <b/>
      <u/>
      <sz val="10"/>
      <name val="Arial"/>
      <family val="2"/>
      <scheme val="major"/>
    </font>
    <font>
      <sz val="10"/>
      <color indexed="9"/>
      <name val="Arial"/>
      <family val="2"/>
      <scheme val="major"/>
    </font>
    <font>
      <b/>
      <sz val="10"/>
      <color rgb="FFFF0000"/>
      <name val="Arial"/>
      <family val="2"/>
      <scheme val="major"/>
    </font>
    <font>
      <b/>
      <sz val="10"/>
      <color rgb="FFFF0000"/>
      <name val="Arial"/>
      <family val="2"/>
    </font>
    <font>
      <u/>
      <sz val="10"/>
      <name val="Arial"/>
      <family val="2"/>
    </font>
    <font>
      <b/>
      <i/>
      <sz val="10"/>
      <color rgb="FFFF0000"/>
      <name val="Arial"/>
      <family val="2"/>
    </font>
    <font>
      <sz val="10"/>
      <color rgb="FFFF0000"/>
      <name val="Arial"/>
      <family val="2"/>
    </font>
    <font>
      <sz val="12"/>
      <color theme="1"/>
      <name val="Arial"/>
      <family val="2"/>
      <scheme val="minor"/>
    </font>
    <font>
      <b/>
      <sz val="10"/>
      <color rgb="FF0000FF"/>
      <name val="Arial"/>
      <family val="2"/>
      <scheme val="major"/>
    </font>
    <font>
      <sz val="11"/>
      <name val="Arial"/>
      <family val="2"/>
    </font>
    <font>
      <i/>
      <sz val="10"/>
      <color rgb="FFFF0000"/>
      <name val="Arial"/>
      <family val="2"/>
    </font>
    <font>
      <b/>
      <sz val="10"/>
      <color rgb="FF00B050"/>
      <name val="Arial"/>
      <family val="2"/>
    </font>
    <font>
      <sz val="10"/>
      <name val="Arial"/>
      <family val="2"/>
    </font>
    <font>
      <b/>
      <sz val="15"/>
      <color indexed="62"/>
      <name val="Calibri"/>
      <family val="2"/>
    </font>
    <font>
      <b/>
      <sz val="13"/>
      <color indexed="62"/>
      <name val="Calibri"/>
      <family val="2"/>
    </font>
    <font>
      <u/>
      <sz val="10"/>
      <color indexed="12"/>
      <name val="Arial"/>
      <family val="2"/>
    </font>
    <font>
      <sz val="11"/>
      <color indexed="62"/>
      <name val="Calibri"/>
      <family val="2"/>
    </font>
    <font>
      <sz val="11"/>
      <color indexed="52"/>
      <name val="Calibri"/>
      <family val="2"/>
    </font>
    <font>
      <b/>
      <sz val="18"/>
      <color indexed="62"/>
      <name val="Cambria"/>
      <family val="2"/>
    </font>
    <font>
      <b/>
      <sz val="11"/>
      <color indexed="8"/>
      <name val="Calibri"/>
      <family val="2"/>
    </font>
    <font>
      <sz val="11"/>
      <color indexed="16"/>
      <name val="Calibri"/>
      <family val="2"/>
    </font>
    <font>
      <b/>
      <sz val="11"/>
      <color indexed="53"/>
      <name val="Calibri"/>
      <family val="2"/>
    </font>
    <font>
      <sz val="11"/>
      <color indexed="58"/>
      <name val="Calibri"/>
      <family val="2"/>
    </font>
    <font>
      <sz val="11"/>
      <color indexed="13"/>
      <name val="Calibri"/>
      <family val="2"/>
    </font>
    <font>
      <sz val="10"/>
      <color rgb="FFFF0000"/>
      <name val="Arial"/>
      <family val="2"/>
      <scheme val="major"/>
    </font>
    <font>
      <sz val="10"/>
      <color rgb="FFC00000"/>
      <name val="Arial"/>
      <family val="2"/>
    </font>
    <font>
      <b/>
      <i/>
      <sz val="10"/>
      <name val="Arial"/>
      <family val="2"/>
      <scheme val="major"/>
    </font>
    <font>
      <b/>
      <i/>
      <u/>
      <sz val="10"/>
      <color theme="0"/>
      <name val="Arial"/>
      <family val="2"/>
    </font>
    <font>
      <i/>
      <sz val="10"/>
      <color rgb="FFC00000"/>
      <name val="Arial"/>
      <family val="2"/>
    </font>
    <font>
      <b/>
      <i/>
      <sz val="10"/>
      <color indexed="8"/>
      <name val="Arial"/>
      <family val="2"/>
    </font>
    <font>
      <sz val="14"/>
      <color theme="1"/>
      <name val="Arial"/>
      <family val="2"/>
    </font>
    <font>
      <b/>
      <sz val="10.5"/>
      <color theme="0"/>
      <name val="Frutiger 45 Light"/>
    </font>
    <font>
      <i/>
      <sz val="10.5"/>
      <name val="Frutiger 45 Light"/>
    </font>
    <font>
      <sz val="10"/>
      <name val="Arial"/>
      <family val="2"/>
    </font>
    <font>
      <sz val="10"/>
      <color theme="0" tint="-0.14999847407452621"/>
      <name val="Arial"/>
      <family val="2"/>
    </font>
    <font>
      <u/>
      <sz val="10"/>
      <color theme="10"/>
      <name val="Arial"/>
      <family val="2"/>
    </font>
    <font>
      <sz val="10"/>
      <name val="Courier"/>
      <family val="3"/>
    </font>
    <font>
      <sz val="10"/>
      <color rgb="FF000000"/>
      <name val="Arial"/>
      <family val="2"/>
    </font>
    <font>
      <b/>
      <sz val="12"/>
      <color rgb="FF000080"/>
      <name val="Arial"/>
      <family val="2"/>
    </font>
  </fonts>
  <fills count="57">
    <fill>
      <patternFill patternType="none"/>
    </fill>
    <fill>
      <patternFill patternType="gray125"/>
    </fill>
    <fill>
      <patternFill patternType="solid">
        <fgColor indexed="43"/>
      </patternFill>
    </fill>
    <fill>
      <patternFill patternType="solid">
        <fgColor indexed="44"/>
      </patternFill>
    </fill>
    <fill>
      <patternFill patternType="solid">
        <fgColor indexed="29"/>
      </patternFill>
    </fill>
    <fill>
      <patternFill patternType="solid">
        <fgColor indexed="47"/>
      </patternFill>
    </fill>
    <fill>
      <patternFill patternType="solid">
        <fgColor indexed="26"/>
      </patternFill>
    </fill>
    <fill>
      <patternFill patternType="solid">
        <fgColor indexed="27"/>
      </patternFill>
    </fill>
    <fill>
      <patternFill patternType="solid">
        <fgColor indexed="45"/>
      </patternFill>
    </fill>
    <fill>
      <patternFill patternType="solid">
        <fgColor indexed="22"/>
      </patternFill>
    </fill>
    <fill>
      <patternFill patternType="solid">
        <fgColor indexed="53"/>
      </patternFill>
    </fill>
    <fill>
      <patternFill patternType="solid">
        <fgColor indexed="51"/>
      </patternFill>
    </fill>
    <fill>
      <patternFill patternType="solid">
        <fgColor indexed="42"/>
        <bgColor indexed="64"/>
      </patternFill>
    </fill>
    <fill>
      <patternFill patternType="solid">
        <fgColor indexed="43"/>
        <bgColor indexed="64"/>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indexed="13"/>
        <bgColor indexed="64"/>
      </patternFill>
    </fill>
    <fill>
      <patternFill patternType="solid">
        <fgColor indexed="9"/>
        <bgColor indexed="64"/>
      </patternFill>
    </fill>
    <fill>
      <patternFill patternType="solid">
        <fgColor indexed="60"/>
        <bgColor indexed="64"/>
      </patternFill>
    </fill>
    <fill>
      <patternFill patternType="solid">
        <fgColor indexed="8"/>
        <bgColor indexed="64"/>
      </patternFill>
    </fill>
    <fill>
      <patternFill patternType="solid">
        <fgColor indexed="12"/>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rgb="FFFFC000"/>
        <bgColor indexed="64"/>
      </patternFill>
    </fill>
    <fill>
      <patternFill patternType="solid">
        <fgColor theme="8" tint="0.39997558519241921"/>
        <bgColor indexed="64"/>
      </patternFill>
    </fill>
    <fill>
      <patternFill patternType="solid">
        <fgColor theme="3" tint="0.399975585192419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9" tint="-0.249977111117893"/>
        <bgColor indexed="64"/>
      </patternFill>
    </fill>
    <fill>
      <patternFill patternType="solid">
        <fgColor indexed="65"/>
        <bgColor indexed="64"/>
      </patternFill>
    </fill>
    <fill>
      <patternFill patternType="solid">
        <fgColor rgb="FFFFFF00"/>
        <bgColor indexed="64"/>
      </patternFill>
    </fill>
    <fill>
      <patternFill patternType="solid">
        <fgColor theme="9" tint="0.79998168889431442"/>
        <bgColor indexed="64"/>
      </patternFill>
    </fill>
    <fill>
      <patternFill patternType="solid">
        <fgColor indexed="41"/>
      </patternFill>
    </fill>
    <fill>
      <patternFill patternType="solid">
        <fgColor indexed="42"/>
      </patternFill>
    </fill>
    <fill>
      <patternFill patternType="solid">
        <fgColor indexed="60"/>
      </patternFill>
    </fill>
    <fill>
      <patternFill patternType="solid">
        <fgColor indexed="15"/>
      </patternFill>
    </fill>
    <fill>
      <patternFill patternType="solid">
        <fgColor indexed="28"/>
      </patternFill>
    </fill>
    <fill>
      <patternFill patternType="solid">
        <fgColor indexed="35"/>
      </patternFill>
    </fill>
    <fill>
      <patternFill patternType="solid">
        <fgColor indexed="48"/>
      </patternFill>
    </fill>
    <fill>
      <patternFill patternType="solid">
        <fgColor indexed="38"/>
      </patternFill>
    </fill>
    <fill>
      <patternFill patternType="solid">
        <fgColor indexed="39"/>
      </patternFill>
    </fill>
    <fill>
      <patternFill patternType="solid">
        <fgColor indexed="23"/>
      </patternFill>
    </fill>
    <fill>
      <patternFill patternType="solid">
        <fgColor indexed="31"/>
      </patternFill>
    </fill>
    <fill>
      <patternFill patternType="solid">
        <fgColor rgb="FFACD6FF"/>
        <bgColor indexed="64"/>
      </patternFill>
    </fill>
    <fill>
      <patternFill patternType="solid">
        <fgColor theme="4" tint="-0.49998474074526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2"/>
        <bgColor indexed="64"/>
      </patternFill>
    </fill>
    <fill>
      <patternFill patternType="solid">
        <fgColor theme="6" tint="0.39997558519241921"/>
        <bgColor indexed="64"/>
      </patternFill>
    </fill>
  </fills>
  <borders count="50">
    <border>
      <left/>
      <right/>
      <top/>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right/>
      <top/>
      <bottom style="thin">
        <color indexed="64"/>
      </bottom>
      <diagonal/>
    </border>
    <border>
      <left/>
      <right/>
      <top/>
      <bottom style="medium">
        <color indexed="64"/>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style="thin">
        <color indexed="64"/>
      </bottom>
      <diagonal/>
    </border>
    <border>
      <left style="double">
        <color indexed="63"/>
      </left>
      <right style="double">
        <color indexed="63"/>
      </right>
      <top style="double">
        <color indexed="63"/>
      </top>
      <bottom style="double">
        <color indexed="63"/>
      </bottom>
      <diagonal/>
    </border>
    <border>
      <left/>
      <right style="thin">
        <color indexed="64"/>
      </right>
      <top/>
      <bottom/>
      <diagonal/>
    </border>
    <border>
      <left/>
      <right/>
      <top style="double">
        <color indexed="64"/>
      </top>
      <bottom/>
      <diagonal/>
    </border>
    <border>
      <left style="thin">
        <color indexed="64"/>
      </left>
      <right/>
      <top style="thin">
        <color indexed="64"/>
      </top>
      <bottom/>
      <diagonal/>
    </border>
    <border>
      <left/>
      <right/>
      <top style="medium">
        <color indexed="64"/>
      </top>
      <bottom style="medium">
        <color indexed="64"/>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right/>
      <top/>
      <bottom style="thin">
        <color indexed="8"/>
      </bottom>
      <diagonal/>
    </border>
    <border>
      <left/>
      <right/>
      <top style="thin">
        <color indexed="64"/>
      </top>
      <bottom style="medium">
        <color indexed="64"/>
      </bottom>
      <diagonal/>
    </border>
    <border>
      <left/>
      <right/>
      <top style="thin">
        <color indexed="64"/>
      </top>
      <bottom style="double">
        <color indexed="64"/>
      </bottom>
      <diagonal/>
    </border>
    <border>
      <left style="thin">
        <color indexed="64"/>
      </left>
      <right/>
      <top style="thin">
        <color indexed="64"/>
      </top>
      <bottom style="thin">
        <color indexed="64"/>
      </bottom>
      <diagonal/>
    </border>
    <border>
      <left/>
      <right/>
      <top style="medium">
        <color indexed="64"/>
      </top>
      <bottom style="thin">
        <color indexed="64"/>
      </bottom>
      <diagonal/>
    </border>
    <border>
      <left/>
      <right/>
      <top style="medium">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right/>
      <top style="thin">
        <color indexed="49"/>
      </top>
      <bottom style="double">
        <color indexed="49"/>
      </bottom>
      <diagonal/>
    </border>
    <border>
      <left/>
      <right/>
      <top/>
      <bottom style="medium">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41">
    <xf numFmtId="0" fontId="0" fillId="0" borderId="0"/>
    <xf numFmtId="0" fontId="12" fillId="0" borderId="0"/>
    <xf numFmtId="0" fontId="12" fillId="0" borderId="0" applyNumberFormat="0" applyFill="0" applyBorder="0" applyAlignment="0" applyProtection="0"/>
    <xf numFmtId="0" fontId="34" fillId="0" borderId="0">
      <alignment vertical="top"/>
    </xf>
    <xf numFmtId="0" fontId="12" fillId="13" borderId="0" applyNumberFormat="0" applyFont="0" applyBorder="0" applyAlignment="0" applyProtection="0"/>
    <xf numFmtId="0" fontId="12" fillId="0" borderId="0"/>
    <xf numFmtId="44" fontId="12" fillId="0" borderId="0" applyFont="0" applyFill="0" applyBorder="0" applyAlignment="0" applyProtection="0"/>
    <xf numFmtId="0" fontId="34" fillId="0" borderId="0"/>
    <xf numFmtId="0" fontId="35" fillId="0" borderId="0"/>
    <xf numFmtId="0" fontId="18" fillId="0" borderId="0"/>
    <xf numFmtId="0" fontId="18" fillId="0" borderId="0"/>
    <xf numFmtId="0" fontId="35" fillId="0" borderId="0"/>
    <xf numFmtId="0" fontId="13" fillId="3" borderId="0" applyNumberFormat="0" applyBorder="0" applyAlignment="0" applyProtection="0"/>
    <xf numFmtId="0" fontId="13" fillId="4" borderId="0" applyNumberFormat="0" applyBorder="0" applyAlignment="0" applyProtection="0"/>
    <xf numFmtId="0" fontId="13" fillId="6" borderId="0" applyNumberFormat="0" applyBorder="0" applyAlignment="0" applyProtection="0"/>
    <xf numFmtId="0" fontId="13" fillId="5" borderId="0" applyNumberFormat="0" applyBorder="0" applyAlignment="0" applyProtection="0"/>
    <xf numFmtId="0" fontId="13" fillId="7"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4" borderId="0" applyNumberFormat="0" applyBorder="0" applyAlignment="0" applyProtection="0"/>
    <xf numFmtId="0" fontId="13" fillId="2" borderId="0" applyNumberFormat="0" applyBorder="0" applyAlignment="0" applyProtection="0"/>
    <xf numFmtId="0" fontId="13" fillId="8" borderId="0" applyNumberFormat="0" applyBorder="0" applyAlignment="0" applyProtection="0"/>
    <xf numFmtId="0" fontId="13" fillId="7" borderId="0" applyNumberFormat="0" applyBorder="0" applyAlignment="0" applyProtection="0"/>
    <xf numFmtId="0" fontId="13" fillId="6" borderId="0" applyNumberFormat="0" applyBorder="0" applyAlignment="0" applyProtection="0"/>
    <xf numFmtId="0" fontId="14" fillId="7"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8"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14"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5" fillId="18" borderId="0" applyNumberFormat="0" applyBorder="0" applyAlignment="0" applyProtection="0"/>
    <xf numFmtId="0" fontId="36" fillId="0" borderId="0"/>
    <xf numFmtId="0" fontId="16" fillId="19" borderId="6" applyNumberFormat="0" applyAlignment="0" applyProtection="0"/>
    <xf numFmtId="0" fontId="17" fillId="20" borderId="8" applyNumberFormat="0" applyAlignment="0" applyProtection="0"/>
    <xf numFmtId="43" fontId="8" fillId="0" borderId="0" applyFont="0" applyFill="0" applyBorder="0" applyAlignment="0" applyProtection="0"/>
    <xf numFmtId="0" fontId="20" fillId="0" borderId="0" applyNumberFormat="0" applyFill="0" applyBorder="0" applyAlignment="0" applyProtection="0"/>
    <xf numFmtId="0" fontId="21" fillId="7" borderId="0" applyNumberFormat="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5" fillId="0" borderId="13" applyNumberFormat="0" applyFill="0" applyAlignment="0" applyProtection="0"/>
    <xf numFmtId="0" fontId="25" fillId="0" borderId="0" applyNumberFormat="0" applyFill="0" applyBorder="0" applyAlignment="0" applyProtection="0"/>
    <xf numFmtId="174" fontId="22" fillId="9" borderId="0"/>
    <xf numFmtId="0" fontId="27" fillId="0" borderId="14" applyNumberFormat="0" applyFill="0" applyAlignment="0" applyProtection="0"/>
    <xf numFmtId="0" fontId="28" fillId="2" borderId="0" applyNumberFormat="0" applyBorder="0" applyAlignment="0" applyProtection="0"/>
    <xf numFmtId="0" fontId="64" fillId="0" borderId="0"/>
    <xf numFmtId="0" fontId="34" fillId="0" borderId="0"/>
    <xf numFmtId="0" fontId="12" fillId="0" borderId="0" applyNumberFormat="0" applyFill="0" applyBorder="0" applyAlignment="0" applyProtection="0"/>
    <xf numFmtId="0" fontId="12" fillId="0" borderId="0" applyNumberFormat="0" applyFill="0" applyBorder="0" applyAlignment="0" applyProtection="0"/>
    <xf numFmtId="0" fontId="13" fillId="0" borderId="0"/>
    <xf numFmtId="0" fontId="12" fillId="6" borderId="15" applyNumberFormat="0" applyFont="0" applyAlignment="0" applyProtection="0"/>
    <xf numFmtId="0" fontId="29" fillId="19" borderId="16" applyNumberFormat="0" applyAlignment="0" applyProtection="0"/>
    <xf numFmtId="0" fontId="37" fillId="0" borderId="0">
      <alignment vertical="center"/>
    </xf>
    <xf numFmtId="9" fontId="8" fillId="0" borderId="0" applyFont="0" applyFill="0" applyBorder="0" applyAlignment="0" applyProtection="0"/>
    <xf numFmtId="9" fontId="12" fillId="0" borderId="0" applyFont="0" applyFill="0" applyBorder="0" applyAlignment="0" applyProtection="0"/>
    <xf numFmtId="9" fontId="7" fillId="0" borderId="0" applyFont="0" applyFill="0" applyBorder="0" applyAlignment="0" applyProtection="0"/>
    <xf numFmtId="0" fontId="38" fillId="0" borderId="0"/>
    <xf numFmtId="0" fontId="38" fillId="0" borderId="18">
      <alignment horizontal="centerContinuous"/>
    </xf>
    <xf numFmtId="0" fontId="31" fillId="0" borderId="18"/>
    <xf numFmtId="0" fontId="30" fillId="0" borderId="0" applyNumberFormat="0" applyFill="0" applyBorder="0" applyProtection="0">
      <alignment vertical="center"/>
    </xf>
    <xf numFmtId="0" fontId="19" fillId="0" borderId="10" applyNumberFormat="0" applyFont="0" applyFill="0" applyAlignment="0" applyProtection="0"/>
    <xf numFmtId="0" fontId="27" fillId="0" borderId="0" applyNumberFormat="0" applyFill="0" applyBorder="0" applyAlignment="0" applyProtection="0"/>
    <xf numFmtId="0" fontId="12" fillId="0" borderId="0"/>
    <xf numFmtId="0" fontId="12" fillId="0" borderId="0" applyNumberFormat="0" applyFill="0" applyBorder="0" applyAlignment="0" applyProtection="0"/>
    <xf numFmtId="43" fontId="12" fillId="0" borderId="0" applyFont="0" applyFill="0" applyBorder="0" applyAlignment="0" applyProtection="0"/>
    <xf numFmtId="0" fontId="12" fillId="0" borderId="0"/>
    <xf numFmtId="0" fontId="6" fillId="0" borderId="0"/>
    <xf numFmtId="0" fontId="12" fillId="0" borderId="0"/>
    <xf numFmtId="0" fontId="12" fillId="0" borderId="0"/>
    <xf numFmtId="0" fontId="12" fillId="0" borderId="0"/>
    <xf numFmtId="0" fontId="97" fillId="0" borderId="0"/>
    <xf numFmtId="9" fontId="12" fillId="0" borderId="0" applyFont="0" applyFill="0" applyBorder="0" applyAlignment="0" applyProtection="0"/>
    <xf numFmtId="191" fontId="12" fillId="0" borderId="0" applyFont="0" applyFill="0" applyBorder="0" applyAlignment="0" applyProtection="0"/>
    <xf numFmtId="9" fontId="8" fillId="0" borderId="0" applyFont="0" applyFill="0" applyBorder="0" applyAlignment="0" applyProtection="0"/>
    <xf numFmtId="0" fontId="5" fillId="0" borderId="0"/>
    <xf numFmtId="0" fontId="4" fillId="0" borderId="0"/>
    <xf numFmtId="0" fontId="102" fillId="0" borderId="0"/>
    <xf numFmtId="0" fontId="12" fillId="0" borderId="0">
      <alignment vertical="top"/>
    </xf>
    <xf numFmtId="0" fontId="12" fillId="0" borderId="0"/>
    <xf numFmtId="0" fontId="18" fillId="0" borderId="0"/>
    <xf numFmtId="0" fontId="18" fillId="0" borderId="0"/>
    <xf numFmtId="0" fontId="13" fillId="40" borderId="0" applyNumberFormat="0" applyBorder="0" applyAlignment="0" applyProtection="0"/>
    <xf numFmtId="0" fontId="13" fillId="5" borderId="0" applyNumberFormat="0" applyBorder="0" applyAlignment="0" applyProtection="0"/>
    <xf numFmtId="0" fontId="13" fillId="41" borderId="0" applyNumberFormat="0" applyBorder="0" applyAlignment="0" applyProtection="0"/>
    <xf numFmtId="0" fontId="13" fillId="42" borderId="0" applyNumberFormat="0" applyBorder="0" applyAlignment="0" applyProtection="0"/>
    <xf numFmtId="0" fontId="13" fillId="40" borderId="0" applyNumberFormat="0" applyBorder="0" applyAlignment="0" applyProtection="0"/>
    <xf numFmtId="0" fontId="13" fillId="5" borderId="0" applyNumberFormat="0" applyBorder="0" applyAlignment="0" applyProtection="0"/>
    <xf numFmtId="0" fontId="13" fillId="3" borderId="0" applyNumberFormat="0" applyBorder="0" applyAlignment="0" applyProtection="0"/>
    <xf numFmtId="0" fontId="13" fillId="5" borderId="0" applyNumberFormat="0" applyBorder="0" applyAlignment="0" applyProtection="0"/>
    <xf numFmtId="0" fontId="13" fillId="4" borderId="0" applyNumberFormat="0" applyBorder="0" applyAlignment="0" applyProtection="0"/>
    <xf numFmtId="0" fontId="13" fillId="9" borderId="0" applyNumberFormat="0" applyBorder="0" applyAlignment="0" applyProtection="0"/>
    <xf numFmtId="0" fontId="13" fillId="43" borderId="0" applyNumberFormat="0" applyBorder="0" applyAlignment="0" applyProtection="0"/>
    <xf numFmtId="0" fontId="13" fillId="5" borderId="0" applyNumberFormat="0" applyBorder="0" applyAlignment="0" applyProtection="0"/>
    <xf numFmtId="0" fontId="14" fillId="3" borderId="0" applyNumberFormat="0" applyBorder="0" applyAlignment="0" applyProtection="0"/>
    <xf numFmtId="0" fontId="14" fillId="44" borderId="0" applyNumberFormat="0" applyBorder="0" applyAlignment="0" applyProtection="0"/>
    <xf numFmtId="0" fontId="14" fillId="4" borderId="0" applyNumberFormat="0" applyBorder="0" applyAlignment="0" applyProtection="0"/>
    <xf numFmtId="0" fontId="14" fillId="9" borderId="0" applyNumberFormat="0" applyBorder="0" applyAlignment="0" applyProtection="0"/>
    <xf numFmtId="0" fontId="14" fillId="45" borderId="0" applyNumberFormat="0" applyBorder="0" applyAlignment="0" applyProtection="0"/>
    <xf numFmtId="0" fontId="14" fillId="5" borderId="0" applyNumberFormat="0" applyBorder="0" applyAlignment="0" applyProtection="0"/>
    <xf numFmtId="0" fontId="14" fillId="46" borderId="0" applyNumberFormat="0" applyBorder="0" applyAlignment="0" applyProtection="0"/>
    <xf numFmtId="0" fontId="14"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46" borderId="0" applyNumberFormat="0" applyBorder="0" applyAlignment="0" applyProtection="0"/>
    <xf numFmtId="0" fontId="14" fillId="10" borderId="0" applyNumberFormat="0" applyBorder="0" applyAlignment="0" applyProtection="0"/>
    <xf numFmtId="0" fontId="110" fillId="50" borderId="0" applyNumberFormat="0" applyBorder="0" applyAlignment="0" applyProtection="0"/>
    <xf numFmtId="0" fontId="111" fillId="19" borderId="6" applyNumberFormat="0" applyAlignment="0" applyProtection="0"/>
    <xf numFmtId="0" fontId="112" fillId="4" borderId="0" applyNumberFormat="0" applyBorder="0" applyAlignment="0" applyProtection="0"/>
    <xf numFmtId="0" fontId="103" fillId="0" borderId="38" applyNumberFormat="0" applyFill="0" applyAlignment="0" applyProtection="0"/>
    <xf numFmtId="0" fontId="104" fillId="0" borderId="39" applyNumberFormat="0" applyFill="0" applyAlignment="0" applyProtection="0"/>
    <xf numFmtId="0" fontId="25" fillId="0" borderId="40" applyNumberFormat="0" applyFill="0" applyAlignment="0" applyProtection="0"/>
    <xf numFmtId="0" fontId="105" fillId="0" borderId="0" applyNumberFormat="0" applyFill="0" applyBorder="0" applyAlignment="0" applyProtection="0"/>
    <xf numFmtId="0" fontId="106" fillId="2" borderId="6" applyNumberFormat="0" applyAlignment="0" applyProtection="0"/>
    <xf numFmtId="0" fontId="107" fillId="0" borderId="41" applyNumberFormat="0" applyFill="0" applyAlignment="0" applyProtection="0"/>
    <xf numFmtId="0" fontId="113" fillId="2" borderId="0" applyNumberFormat="0" applyBorder="0" applyAlignment="0" applyProtection="0"/>
    <xf numFmtId="0" fontId="3" fillId="0" borderId="0"/>
    <xf numFmtId="0" fontId="12" fillId="2" borderId="15" applyNumberFormat="0" applyFont="0" applyAlignment="0" applyProtection="0"/>
    <xf numFmtId="9" fontId="13" fillId="0" borderId="0" applyFont="0" applyFill="0" applyBorder="0" applyAlignment="0" applyProtection="0"/>
    <xf numFmtId="0" fontId="108" fillId="0" borderId="0" applyNumberFormat="0" applyFill="0" applyBorder="0" applyAlignment="0" applyProtection="0"/>
    <xf numFmtId="0" fontId="109" fillId="0" borderId="42" applyNumberFormat="0" applyFill="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9" fontId="2" fillId="0" borderId="0" applyFont="0" applyFill="0" applyBorder="0" applyAlignment="0" applyProtection="0"/>
    <xf numFmtId="0" fontId="123" fillId="0" borderId="0"/>
    <xf numFmtId="44" fontId="123" fillId="0" borderId="0" applyFont="0" applyFill="0" applyBorder="0" applyAlignment="0" applyProtection="0"/>
    <xf numFmtId="0" fontId="125" fillId="0" borderId="0" applyNumberFormat="0" applyFill="0" applyBorder="0" applyAlignment="0" applyProtection="0">
      <alignment vertical="top"/>
      <protection locked="0"/>
    </xf>
    <xf numFmtId="0" fontId="1" fillId="0" borderId="0"/>
    <xf numFmtId="0" fontId="126" fillId="0" borderId="0"/>
  </cellStyleXfs>
  <cellXfs count="1140">
    <xf numFmtId="0" fontId="0" fillId="0" borderId="0" xfId="0"/>
    <xf numFmtId="0" fontId="12" fillId="0" borderId="0" xfId="1"/>
    <xf numFmtId="0" fontId="34" fillId="23" borderId="0" xfId="53" applyFont="1" applyFill="1"/>
    <xf numFmtId="0" fontId="34" fillId="0" borderId="0" xfId="53" applyFont="1"/>
    <xf numFmtId="1" fontId="34" fillId="0" borderId="0" xfId="53" applyNumberFormat="1" applyFont="1"/>
    <xf numFmtId="0" fontId="34" fillId="0" borderId="0" xfId="53" applyFont="1" applyFill="1" applyBorder="1"/>
    <xf numFmtId="0" fontId="40" fillId="0" borderId="0" xfId="53" applyFont="1" applyAlignment="1">
      <alignment horizontal="right"/>
    </xf>
    <xf numFmtId="176" fontId="40" fillId="0" borderId="0" xfId="58" applyNumberFormat="1" applyFont="1"/>
    <xf numFmtId="176" fontId="40" fillId="0" borderId="0" xfId="53" applyNumberFormat="1" applyFont="1"/>
    <xf numFmtId="166" fontId="40" fillId="0" borderId="0" xfId="53" applyNumberFormat="1" applyFont="1"/>
    <xf numFmtId="9" fontId="34" fillId="0" borderId="0" xfId="53" applyNumberFormat="1" applyFont="1"/>
    <xf numFmtId="165" fontId="34" fillId="0" borderId="0" xfId="53" applyNumberFormat="1" applyFont="1"/>
    <xf numFmtId="9" fontId="40" fillId="0" borderId="0" xfId="53" applyNumberFormat="1" applyFont="1"/>
    <xf numFmtId="0" fontId="26" fillId="0" borderId="0" xfId="53" applyFont="1" applyAlignment="1">
      <alignment horizontal="left"/>
    </xf>
    <xf numFmtId="165" fontId="26" fillId="0" borderId="0" xfId="53" applyNumberFormat="1" applyFont="1"/>
    <xf numFmtId="1" fontId="26" fillId="0" borderId="0" xfId="53" applyNumberFormat="1" applyFont="1"/>
    <xf numFmtId="0" fontId="12" fillId="0" borderId="0" xfId="53" applyFont="1" applyAlignment="1">
      <alignment horizontal="left"/>
    </xf>
    <xf numFmtId="0" fontId="34" fillId="0" borderId="0" xfId="53" applyFont="1" applyAlignment="1">
      <alignment horizontal="center"/>
    </xf>
    <xf numFmtId="9" fontId="34" fillId="0" borderId="0" xfId="53" applyNumberFormat="1" applyFont="1" applyAlignment="1">
      <alignment horizontal="center"/>
    </xf>
    <xf numFmtId="9" fontId="40" fillId="0" borderId="0" xfId="58" applyFont="1"/>
    <xf numFmtId="166" fontId="34" fillId="0" borderId="0" xfId="58" applyNumberFormat="1" applyFont="1" applyAlignment="1">
      <alignment horizontal="center"/>
    </xf>
    <xf numFmtId="6" fontId="34" fillId="0" borderId="0" xfId="53" applyNumberFormat="1" applyFont="1"/>
    <xf numFmtId="0" fontId="26" fillId="0" borderId="0" xfId="53" applyFont="1"/>
    <xf numFmtId="6" fontId="26" fillId="0" borderId="0" xfId="53" applyNumberFormat="1" applyFont="1"/>
    <xf numFmtId="0" fontId="34" fillId="0" borderId="0" xfId="53" applyFont="1" applyFill="1"/>
    <xf numFmtId="8" fontId="41" fillId="0" borderId="0" xfId="53" applyNumberFormat="1" applyFont="1" applyFill="1" applyBorder="1" applyAlignment="1">
      <alignment horizontal="right" wrapText="1"/>
    </xf>
    <xf numFmtId="9" fontId="34" fillId="0" borderId="0" xfId="58" applyFont="1"/>
    <xf numFmtId="14" fontId="34" fillId="0" borderId="0" xfId="53" applyNumberFormat="1" applyFont="1" applyAlignment="1">
      <alignment horizontal="center"/>
    </xf>
    <xf numFmtId="14" fontId="41" fillId="0" borderId="0" xfId="53" applyNumberFormat="1" applyFont="1" applyFill="1" applyBorder="1" applyAlignment="1">
      <alignment horizontal="center" wrapText="1"/>
    </xf>
    <xf numFmtId="166" fontId="34" fillId="0" borderId="0" xfId="58" applyNumberFormat="1" applyFont="1"/>
    <xf numFmtId="8" fontId="34" fillId="0" borderId="0" xfId="53" applyNumberFormat="1" applyFont="1"/>
    <xf numFmtId="0" fontId="12" fillId="0" borderId="0" xfId="53" applyFont="1"/>
    <xf numFmtId="1" fontId="12" fillId="0" borderId="0" xfId="53" applyNumberFormat="1" applyFont="1"/>
    <xf numFmtId="0" fontId="34" fillId="0" borderId="0" xfId="52" applyFont="1"/>
    <xf numFmtId="0" fontId="42" fillId="0" borderId="0" xfId="52" applyFont="1"/>
    <xf numFmtId="0" fontId="12" fillId="0" borderId="0" xfId="52" applyAlignment="1">
      <alignment horizontal="center"/>
    </xf>
    <xf numFmtId="0" fontId="12" fillId="0" borderId="0" xfId="52"/>
    <xf numFmtId="0" fontId="12" fillId="0" borderId="7" xfId="52" applyBorder="1" applyAlignment="1">
      <alignment horizontal="center"/>
    </xf>
    <xf numFmtId="165" fontId="26" fillId="0" borderId="7" xfId="52" applyNumberFormat="1" applyFont="1" applyBorder="1" applyAlignment="1">
      <alignment horizontal="center"/>
    </xf>
    <xf numFmtId="1" fontId="12" fillId="0" borderId="0" xfId="52" applyNumberFormat="1" applyAlignment="1">
      <alignment horizontal="center"/>
    </xf>
    <xf numFmtId="1" fontId="12" fillId="0" borderId="7" xfId="52" applyNumberFormat="1" applyBorder="1" applyAlignment="1">
      <alignment horizontal="center"/>
    </xf>
    <xf numFmtId="0" fontId="34" fillId="0" borderId="0" xfId="52" applyFont="1" applyAlignment="1">
      <alignment horizontal="center"/>
    </xf>
    <xf numFmtId="0" fontId="43" fillId="23" borderId="0" xfId="0" applyFont="1" applyFill="1" applyBorder="1" applyAlignment="1">
      <alignment horizontal="right" vertical="top" wrapText="1"/>
    </xf>
    <xf numFmtId="0" fontId="44" fillId="23" borderId="0" xfId="0" applyFont="1" applyFill="1" applyBorder="1" applyAlignment="1">
      <alignment horizontal="right" vertical="center" wrapText="1"/>
    </xf>
    <xf numFmtId="0" fontId="44" fillId="23" borderId="0" xfId="0" applyFont="1" applyFill="1" applyBorder="1" applyAlignment="1">
      <alignment horizontal="right" vertical="top" wrapText="1"/>
    </xf>
    <xf numFmtId="171" fontId="43" fillId="23" borderId="0" xfId="0" applyNumberFormat="1" applyFont="1" applyFill="1" applyBorder="1" applyAlignment="1">
      <alignment horizontal="right" vertical="top" wrapText="1"/>
    </xf>
    <xf numFmtId="171" fontId="44" fillId="23" borderId="0" xfId="0" applyNumberFormat="1" applyFont="1" applyFill="1" applyBorder="1" applyAlignment="1">
      <alignment horizontal="right" vertical="top" wrapText="1"/>
    </xf>
    <xf numFmtId="0" fontId="26" fillId="23" borderId="0" xfId="0" applyFont="1" applyFill="1" applyBorder="1"/>
    <xf numFmtId="0" fontId="12" fillId="0" borderId="0" xfId="50" applyFont="1" applyFill="1" applyBorder="1" applyAlignment="1">
      <alignment horizontal="center"/>
    </xf>
    <xf numFmtId="0" fontId="12" fillId="0" borderId="0" xfId="50" applyFont="1" applyFill="1" applyBorder="1" applyAlignment="1">
      <alignment vertical="center" wrapText="1"/>
    </xf>
    <xf numFmtId="0" fontId="12" fillId="0" borderId="0" xfId="50" applyFont="1" applyFill="1" applyAlignment="1">
      <alignment horizontal="center"/>
    </xf>
    <xf numFmtId="171" fontId="12" fillId="0" borderId="0" xfId="50" applyNumberFormat="1" applyFont="1"/>
    <xf numFmtId="9" fontId="40" fillId="0" borderId="0" xfId="60" applyFont="1"/>
    <xf numFmtId="0" fontId="48" fillId="0" borderId="0" xfId="54" applyFont="1" applyFill="1" applyBorder="1" applyAlignment="1">
      <alignment horizontal="center" vertical="center" wrapText="1"/>
    </xf>
    <xf numFmtId="0" fontId="48" fillId="0" borderId="0" xfId="54" applyFont="1" applyFill="1" applyBorder="1" applyAlignment="1">
      <alignment horizontal="center" vertical="center"/>
    </xf>
    <xf numFmtId="0" fontId="48" fillId="0" borderId="0" xfId="54" applyNumberFormat="1" applyFont="1" applyFill="1" applyBorder="1" applyAlignment="1">
      <alignment horizontal="center" vertical="center" wrapText="1"/>
    </xf>
    <xf numFmtId="0" fontId="41" fillId="0" borderId="0" xfId="54" applyFont="1" applyFill="1" applyBorder="1"/>
    <xf numFmtId="0" fontId="45" fillId="0" borderId="0" xfId="54" applyFont="1" applyFill="1" applyBorder="1" applyAlignment="1">
      <alignment horizontal="center" vertical="center"/>
    </xf>
    <xf numFmtId="0" fontId="49" fillId="25" borderId="0" xfId="54" applyFont="1" applyFill="1" applyBorder="1" applyAlignment="1">
      <alignment horizontal="center" vertical="center" wrapText="1"/>
    </xf>
    <xf numFmtId="0" fontId="45" fillId="0" borderId="0" xfId="54" applyFont="1" applyFill="1" applyBorder="1" applyAlignment="1">
      <alignment horizontal="center"/>
    </xf>
    <xf numFmtId="0" fontId="49" fillId="25" borderId="0" xfId="54" applyNumberFormat="1" applyFont="1" applyFill="1" applyBorder="1" applyAlignment="1">
      <alignment horizontal="center" vertical="center" wrapText="1"/>
    </xf>
    <xf numFmtId="0" fontId="48" fillId="0" borderId="0" xfId="54" applyFont="1" applyFill="1" applyBorder="1" applyAlignment="1">
      <alignment horizontal="center"/>
    </xf>
    <xf numFmtId="0" fontId="48" fillId="23" borderId="0" xfId="54" applyFont="1" applyFill="1" applyBorder="1" applyAlignment="1">
      <alignment horizontal="left"/>
    </xf>
    <xf numFmtId="4" fontId="48" fillId="23" borderId="0" xfId="54" applyNumberFormat="1" applyFont="1" applyFill="1" applyBorder="1"/>
    <xf numFmtId="0" fontId="48" fillId="23" borderId="0" xfId="54" applyNumberFormat="1" applyFont="1" applyFill="1" applyBorder="1" applyAlignment="1">
      <alignment horizontal="center" vertical="center" wrapText="1"/>
    </xf>
    <xf numFmtId="0" fontId="48" fillId="23" borderId="0" xfId="54" applyFont="1" applyFill="1" applyBorder="1" applyAlignment="1">
      <alignment horizontal="center"/>
    </xf>
    <xf numFmtId="169" fontId="48" fillId="23" borderId="0" xfId="54" applyNumberFormat="1" applyFont="1" applyFill="1" applyBorder="1" applyAlignment="1">
      <alignment horizontal="right"/>
    </xf>
    <xf numFmtId="169" fontId="48" fillId="23" borderId="0" xfId="54" applyNumberFormat="1" applyFont="1" applyFill="1" applyBorder="1" applyAlignment="1">
      <alignment horizontal="right" vertical="center" wrapText="1"/>
    </xf>
    <xf numFmtId="0" fontId="50" fillId="0" borderId="0" xfId="54" applyFont="1" applyFill="1" applyBorder="1" applyAlignment="1">
      <alignment horizontal="right"/>
    </xf>
    <xf numFmtId="9" fontId="50" fillId="0" borderId="0" xfId="58" applyFont="1" applyFill="1" applyBorder="1" applyAlignment="1">
      <alignment horizontal="center"/>
    </xf>
    <xf numFmtId="0" fontId="51" fillId="0" borderId="0" xfId="54" applyFont="1" applyFill="1" applyBorder="1" applyAlignment="1">
      <alignment horizontal="left" indent="2"/>
    </xf>
    <xf numFmtId="4" fontId="47" fillId="0" borderId="0" xfId="54" applyNumberFormat="1" applyFont="1" applyFill="1" applyBorder="1"/>
    <xf numFmtId="9" fontId="51" fillId="0" borderId="0" xfId="58" applyFont="1" applyFill="1" applyBorder="1"/>
    <xf numFmtId="0" fontId="52" fillId="0" borderId="0" xfId="54" applyNumberFormat="1" applyFont="1" applyFill="1" applyBorder="1" applyAlignment="1">
      <alignment horizontal="center" vertical="center" wrapText="1"/>
    </xf>
    <xf numFmtId="0" fontId="52" fillId="0" borderId="0" xfId="54" applyFont="1" applyFill="1" applyBorder="1" applyAlignment="1">
      <alignment horizontal="center"/>
    </xf>
    <xf numFmtId="9" fontId="51" fillId="0" borderId="0" xfId="58" applyFont="1" applyFill="1" applyBorder="1" applyAlignment="1">
      <alignment horizontal="right"/>
    </xf>
    <xf numFmtId="0" fontId="52" fillId="0" borderId="0" xfId="54" applyNumberFormat="1" applyFont="1" applyFill="1" applyBorder="1" applyAlignment="1">
      <alignment horizontal="right" vertical="center" wrapText="1"/>
    </xf>
    <xf numFmtId="0" fontId="52" fillId="0" borderId="0" xfId="54" applyFont="1" applyFill="1" applyBorder="1" applyAlignment="1">
      <alignment horizontal="right"/>
    </xf>
    <xf numFmtId="0" fontId="41" fillId="0" borderId="0" xfId="54" applyFont="1" applyFill="1" applyBorder="1" applyAlignment="1">
      <alignment horizontal="right"/>
    </xf>
    <xf numFmtId="0" fontId="41" fillId="0" borderId="0" xfId="54" applyFont="1" applyFill="1" applyBorder="1" applyAlignment="1">
      <alignment horizontal="center"/>
    </xf>
    <xf numFmtId="0" fontId="41" fillId="0" borderId="0" xfId="54" applyFont="1" applyFill="1" applyBorder="1" applyAlignment="1">
      <alignment horizontal="left"/>
    </xf>
    <xf numFmtId="2" fontId="41" fillId="0" borderId="0" xfId="54" applyNumberFormat="1" applyFont="1" applyFill="1" applyBorder="1"/>
    <xf numFmtId="165" fontId="41" fillId="0" borderId="0" xfId="54" applyNumberFormat="1" applyFont="1" applyFill="1" applyBorder="1"/>
    <xf numFmtId="9" fontId="50" fillId="0" borderId="0" xfId="54" applyNumberFormat="1" applyFont="1" applyFill="1" applyBorder="1" applyAlignment="1">
      <alignment horizontal="center"/>
    </xf>
    <xf numFmtId="4" fontId="41" fillId="0" borderId="0" xfId="54" applyNumberFormat="1" applyFont="1" applyFill="1" applyBorder="1"/>
    <xf numFmtId="9" fontId="51" fillId="0" borderId="0" xfId="58" applyNumberFormat="1" applyFont="1" applyFill="1" applyBorder="1"/>
    <xf numFmtId="9" fontId="50" fillId="0" borderId="0" xfId="58" applyNumberFormat="1" applyFont="1" applyFill="1" applyBorder="1"/>
    <xf numFmtId="1" fontId="53" fillId="0" borderId="0" xfId="58" applyNumberFormat="1" applyFont="1" applyFill="1" applyBorder="1"/>
    <xf numFmtId="9" fontId="54" fillId="0" borderId="0" xfId="58" applyNumberFormat="1" applyFont="1" applyFill="1" applyBorder="1"/>
    <xf numFmtId="1" fontId="53" fillId="0" borderId="0" xfId="54" applyNumberFormat="1" applyFont="1" applyFill="1" applyBorder="1"/>
    <xf numFmtId="9" fontId="54" fillId="0" borderId="0" xfId="58" applyFont="1" applyFill="1" applyBorder="1"/>
    <xf numFmtId="9" fontId="50" fillId="0" borderId="0" xfId="58" applyFont="1" applyFill="1" applyBorder="1"/>
    <xf numFmtId="0" fontId="45" fillId="0" borderId="0" xfId="54" applyFont="1" applyFill="1" applyBorder="1" applyAlignment="1">
      <alignment horizontal="right"/>
    </xf>
    <xf numFmtId="3" fontId="41" fillId="0" borderId="0" xfId="54" applyNumberFormat="1" applyFont="1" applyFill="1" applyBorder="1"/>
    <xf numFmtId="2" fontId="48" fillId="23" borderId="0" xfId="54" applyNumberFormat="1" applyFont="1" applyFill="1" applyBorder="1"/>
    <xf numFmtId="0" fontId="48" fillId="23" borderId="0" xfId="54" applyFont="1" applyFill="1" applyBorder="1"/>
    <xf numFmtId="1" fontId="48" fillId="23" borderId="0" xfId="54" applyNumberFormat="1" applyFont="1" applyFill="1" applyBorder="1"/>
    <xf numFmtId="9" fontId="51" fillId="0" borderId="0" xfId="54" applyNumberFormat="1" applyFont="1" applyFill="1" applyBorder="1"/>
    <xf numFmtId="0" fontId="47" fillId="0" borderId="0" xfId="54" applyFont="1" applyFill="1" applyBorder="1"/>
    <xf numFmtId="9" fontId="41" fillId="0" borderId="0" xfId="54" applyNumberFormat="1" applyFont="1" applyFill="1" applyBorder="1"/>
    <xf numFmtId="0" fontId="41" fillId="23" borderId="0" xfId="54" applyFont="1" applyFill="1" applyBorder="1"/>
    <xf numFmtId="0" fontId="41" fillId="0" borderId="0" xfId="54" applyFont="1" applyFill="1" applyBorder="1" applyAlignment="1">
      <alignment horizontal="left" indent="2"/>
    </xf>
    <xf numFmtId="9" fontId="50" fillId="0" borderId="0" xfId="54" applyNumberFormat="1" applyFont="1" applyFill="1" applyBorder="1"/>
    <xf numFmtId="0" fontId="50" fillId="0" borderId="0" xfId="54" applyFont="1" applyFill="1" applyBorder="1"/>
    <xf numFmtId="0" fontId="51" fillId="0" borderId="0" xfId="54" applyFont="1" applyFill="1" applyBorder="1"/>
    <xf numFmtId="0" fontId="41" fillId="0" borderId="0" xfId="54" applyFont="1" applyFill="1" applyBorder="1" applyAlignment="1">
      <alignment horizontal="left" indent="4"/>
    </xf>
    <xf numFmtId="9" fontId="41" fillId="0" borderId="0" xfId="58" applyFont="1" applyFill="1" applyBorder="1"/>
    <xf numFmtId="9" fontId="41" fillId="23" borderId="0" xfId="58" applyFont="1" applyFill="1" applyBorder="1"/>
    <xf numFmtId="1" fontId="41" fillId="0" borderId="0" xfId="54" applyNumberFormat="1" applyFont="1" applyFill="1" applyBorder="1"/>
    <xf numFmtId="6" fontId="41" fillId="0" borderId="0" xfId="54" applyNumberFormat="1" applyFont="1" applyFill="1" applyBorder="1" applyAlignment="1">
      <alignment horizontal="center"/>
    </xf>
    <xf numFmtId="171" fontId="41" fillId="0" borderId="0" xfId="54" applyNumberFormat="1" applyFont="1" applyFill="1" applyBorder="1"/>
    <xf numFmtId="171" fontId="41" fillId="23" borderId="0" xfId="54" applyNumberFormat="1" applyFont="1" applyFill="1" applyBorder="1"/>
    <xf numFmtId="172" fontId="41" fillId="23" borderId="0" xfId="54" applyNumberFormat="1" applyFont="1" applyFill="1" applyBorder="1"/>
    <xf numFmtId="172" fontId="41" fillId="0" borderId="0" xfId="54" applyNumberFormat="1" applyFont="1" applyFill="1" applyBorder="1"/>
    <xf numFmtId="171" fontId="48" fillId="23" borderId="0" xfId="54" applyNumberFormat="1" applyFont="1" applyFill="1" applyBorder="1"/>
    <xf numFmtId="0" fontId="50" fillId="0" borderId="0" xfId="54" applyFont="1" applyFill="1" applyBorder="1" applyAlignment="1">
      <alignment horizontal="left" indent="2"/>
    </xf>
    <xf numFmtId="0" fontId="48" fillId="23" borderId="0" xfId="54" applyNumberFormat="1" applyFont="1" applyFill="1" applyBorder="1" applyAlignment="1">
      <alignment horizontal="left" vertical="center" wrapText="1"/>
    </xf>
    <xf numFmtId="0" fontId="48" fillId="0" borderId="0" xfId="54" applyNumberFormat="1" applyFont="1" applyFill="1" applyBorder="1" applyAlignment="1">
      <alignment horizontal="left" vertical="center" wrapText="1"/>
    </xf>
    <xf numFmtId="0" fontId="48" fillId="0" borderId="0" xfId="54" applyFont="1" applyFill="1" applyBorder="1" applyAlignment="1">
      <alignment horizontal="left"/>
    </xf>
    <xf numFmtId="179" fontId="41" fillId="0" borderId="0" xfId="54" applyNumberFormat="1" applyFont="1" applyFill="1" applyBorder="1" applyAlignment="1">
      <alignment horizontal="right"/>
    </xf>
    <xf numFmtId="179" fontId="41" fillId="0" borderId="0" xfId="54" applyNumberFormat="1" applyFont="1" applyFill="1" applyBorder="1"/>
    <xf numFmtId="165" fontId="48" fillId="0" borderId="0" xfId="54" applyNumberFormat="1" applyFont="1" applyFill="1" applyBorder="1"/>
    <xf numFmtId="0" fontId="48" fillId="0" borderId="0" xfId="54" applyFont="1" applyFill="1" applyBorder="1" applyAlignment="1">
      <alignment wrapText="1"/>
    </xf>
    <xf numFmtId="0" fontId="48" fillId="0" borderId="0" xfId="54" applyFont="1" applyFill="1" applyBorder="1"/>
    <xf numFmtId="43" fontId="41" fillId="0" borderId="0" xfId="40" applyFont="1" applyFill="1" applyBorder="1"/>
    <xf numFmtId="0" fontId="12" fillId="0" borderId="0" xfId="0" applyFont="1"/>
    <xf numFmtId="0" fontId="12" fillId="0" borderId="0" xfId="0" applyNumberFormat="1" applyFont="1" applyFill="1" applyBorder="1" applyAlignment="1">
      <alignment vertical="center"/>
    </xf>
    <xf numFmtId="0" fontId="12" fillId="0" borderId="0" xfId="0" applyNumberFormat="1" applyFont="1" applyFill="1" applyBorder="1" applyAlignment="1">
      <alignment horizontal="left" vertical="center" indent="1"/>
    </xf>
    <xf numFmtId="0" fontId="12" fillId="0" borderId="0" xfId="0" applyNumberFormat="1" applyFont="1" applyBorder="1" applyAlignment="1">
      <alignment vertical="center"/>
    </xf>
    <xf numFmtId="0" fontId="12" fillId="0" borderId="0" xfId="0" applyFont="1" applyBorder="1" applyAlignment="1">
      <alignment vertical="center"/>
    </xf>
    <xf numFmtId="0" fontId="12" fillId="0" borderId="0" xfId="0" applyFont="1" applyBorder="1" applyAlignment="1">
      <alignment horizontal="left" vertical="center" indent="1"/>
    </xf>
    <xf numFmtId="0" fontId="26" fillId="0" borderId="22" xfId="0" applyFont="1" applyBorder="1" applyAlignment="1">
      <alignment vertical="center"/>
    </xf>
    <xf numFmtId="0" fontId="26" fillId="0" borderId="0" xfId="0" applyFont="1"/>
    <xf numFmtId="0" fontId="47" fillId="0" borderId="0" xfId="0" applyNumberFormat="1" applyFont="1"/>
    <xf numFmtId="0" fontId="12" fillId="0" borderId="0" xfId="0" applyFont="1" applyAlignment="1">
      <alignment vertical="center"/>
    </xf>
    <xf numFmtId="0" fontId="12" fillId="0" borderId="0" xfId="0" applyFont="1" applyAlignment="1">
      <alignment horizontal="center" vertical="center"/>
    </xf>
    <xf numFmtId="0" fontId="47" fillId="0" borderId="0" xfId="0" applyNumberFormat="1" applyFont="1" applyAlignment="1">
      <alignment vertical="center"/>
    </xf>
    <xf numFmtId="0" fontId="12" fillId="0" borderId="5" xfId="0" applyFont="1" applyBorder="1" applyAlignment="1">
      <alignment vertical="center"/>
    </xf>
    <xf numFmtId="0" fontId="40" fillId="0" borderId="0" xfId="0" applyFont="1" applyAlignment="1">
      <alignment vertical="center"/>
    </xf>
    <xf numFmtId="0" fontId="12" fillId="0" borderId="0" xfId="0" applyFont="1" applyBorder="1" applyAlignment="1">
      <alignment horizontal="center" vertical="center"/>
    </xf>
    <xf numFmtId="0" fontId="26" fillId="12" borderId="2" xfId="0" applyFont="1" applyFill="1" applyBorder="1" applyAlignment="1">
      <alignment horizontal="right"/>
    </xf>
    <xf numFmtId="0" fontId="26" fillId="0" borderId="2" xfId="0" applyFont="1" applyBorder="1" applyAlignment="1">
      <alignment horizontal="right"/>
    </xf>
    <xf numFmtId="0" fontId="26" fillId="0" borderId="2" xfId="0" applyNumberFormat="1" applyFont="1" applyBorder="1" applyAlignment="1">
      <alignment horizontal="right"/>
    </xf>
    <xf numFmtId="0" fontId="12" fillId="0" borderId="0" xfId="0" applyFont="1" applyBorder="1"/>
    <xf numFmtId="0" fontId="12" fillId="0" borderId="0" xfId="0" applyFont="1" applyFill="1" applyBorder="1" applyAlignment="1">
      <alignment horizontal="center" vertical="center"/>
    </xf>
    <xf numFmtId="0" fontId="12" fillId="0" borderId="0" xfId="0" applyFont="1" applyFill="1" applyBorder="1" applyAlignment="1">
      <alignment vertical="center"/>
    </xf>
    <xf numFmtId="0" fontId="26" fillId="0" borderId="0" xfId="0" applyFont="1" applyFill="1" applyBorder="1" applyAlignment="1">
      <alignment horizontal="right"/>
    </xf>
    <xf numFmtId="0" fontId="12" fillId="0" borderId="0" xfId="0" applyFont="1" applyFill="1" applyBorder="1"/>
    <xf numFmtId="165" fontId="41" fillId="0" borderId="0" xfId="0" applyNumberFormat="1" applyFont="1" applyFill="1" applyBorder="1" applyAlignment="1">
      <alignment horizontal="right"/>
    </xf>
    <xf numFmtId="169" fontId="12" fillId="0" borderId="0" xfId="0" applyNumberFormat="1" applyFont="1" applyFill="1" applyBorder="1" applyAlignment="1">
      <alignment horizontal="right"/>
    </xf>
    <xf numFmtId="165" fontId="47" fillId="0" borderId="0" xfId="0" applyNumberFormat="1" applyFont="1" applyBorder="1" applyAlignment="1">
      <alignment vertical="center"/>
    </xf>
    <xf numFmtId="165" fontId="12" fillId="0" borderId="0" xfId="0" applyNumberFormat="1" applyFont="1" applyBorder="1" applyAlignment="1">
      <alignment vertical="center"/>
    </xf>
    <xf numFmtId="169" fontId="12" fillId="0" borderId="0" xfId="0" applyNumberFormat="1" applyFont="1" applyBorder="1" applyAlignment="1">
      <alignment horizontal="center" vertical="center"/>
    </xf>
    <xf numFmtId="169" fontId="26" fillId="0" borderId="2" xfId="0" applyNumberFormat="1" applyFont="1" applyBorder="1" applyAlignment="1">
      <alignment vertical="center"/>
    </xf>
    <xf numFmtId="169" fontId="12" fillId="0" borderId="0" xfId="0" applyNumberFormat="1" applyFont="1" applyBorder="1"/>
    <xf numFmtId="0" fontId="12" fillId="0" borderId="0" xfId="0" applyFont="1" applyFill="1"/>
    <xf numFmtId="165" fontId="12" fillId="0" borderId="0" xfId="0" applyNumberFormat="1" applyFont="1" applyFill="1" applyBorder="1" applyAlignment="1">
      <alignment vertical="center"/>
    </xf>
    <xf numFmtId="169" fontId="12" fillId="0" borderId="0" xfId="0" applyNumberFormat="1" applyFont="1" applyBorder="1" applyAlignment="1">
      <alignment vertical="center"/>
    </xf>
    <xf numFmtId="169" fontId="12" fillId="0" borderId="0" xfId="0" applyNumberFormat="1" applyFont="1" applyFill="1" applyBorder="1" applyAlignment="1">
      <alignment vertical="center"/>
    </xf>
    <xf numFmtId="169" fontId="12" fillId="0" borderId="0" xfId="0" applyNumberFormat="1" applyFont="1" applyFill="1" applyBorder="1"/>
    <xf numFmtId="0" fontId="12" fillId="0" borderId="0" xfId="0" applyNumberFormat="1" applyFont="1" applyBorder="1" applyAlignment="1">
      <alignment horizontal="left" vertical="center" indent="1"/>
    </xf>
    <xf numFmtId="165" fontId="12" fillId="0" borderId="0" xfId="0" applyNumberFormat="1" applyFont="1" applyBorder="1"/>
    <xf numFmtId="165" fontId="55" fillId="0" borderId="0" xfId="0" applyNumberFormat="1" applyFont="1" applyBorder="1" applyAlignment="1">
      <alignment vertical="center"/>
    </xf>
    <xf numFmtId="165" fontId="41" fillId="0" borderId="0" xfId="0" applyNumberFormat="1" applyFont="1" applyBorder="1" applyAlignment="1">
      <alignment vertical="center"/>
    </xf>
    <xf numFmtId="0" fontId="12" fillId="0" borderId="0" xfId="0" applyNumberFormat="1" applyFont="1" applyBorder="1" applyAlignment="1">
      <alignment horizontal="left" indent="1"/>
    </xf>
    <xf numFmtId="165" fontId="56" fillId="0" borderId="0" xfId="0" applyNumberFormat="1" applyFont="1" applyBorder="1" applyAlignment="1">
      <alignment vertical="center"/>
    </xf>
    <xf numFmtId="165" fontId="26" fillId="0" borderId="2" xfId="0" applyNumberFormat="1" applyFont="1" applyBorder="1" applyAlignment="1">
      <alignment vertical="center"/>
    </xf>
    <xf numFmtId="169" fontId="26" fillId="0" borderId="2" xfId="0" applyNumberFormat="1" applyFont="1" applyBorder="1"/>
    <xf numFmtId="0" fontId="41" fillId="0" borderId="0" xfId="0" applyNumberFormat="1" applyFont="1" applyBorder="1" applyAlignment="1">
      <alignment vertical="center"/>
    </xf>
    <xf numFmtId="165" fontId="47" fillId="0" borderId="0" xfId="0" applyNumberFormat="1" applyFont="1" applyFill="1" applyBorder="1" applyAlignment="1">
      <alignment vertical="center"/>
    </xf>
    <xf numFmtId="2" fontId="26" fillId="0" borderId="2" xfId="0" applyNumberFormat="1" applyFont="1" applyBorder="1" applyAlignment="1">
      <alignment vertical="center"/>
    </xf>
    <xf numFmtId="2" fontId="26" fillId="0" borderId="2" xfId="0" applyNumberFormat="1" applyFont="1" applyFill="1" applyBorder="1" applyAlignment="1">
      <alignment vertical="center"/>
    </xf>
    <xf numFmtId="0" fontId="26" fillId="0" borderId="2" xfId="0" applyFont="1" applyBorder="1" applyAlignment="1">
      <alignment vertical="center"/>
    </xf>
    <xf numFmtId="0" fontId="26" fillId="0" borderId="2" xfId="0" applyFont="1" applyBorder="1"/>
    <xf numFmtId="0" fontId="12" fillId="0" borderId="0" xfId="0" applyNumberFormat="1" applyFont="1" applyBorder="1"/>
    <xf numFmtId="166" fontId="12" fillId="0" borderId="0" xfId="58" applyNumberFormat="1" applyFont="1" applyBorder="1" applyAlignment="1">
      <alignment horizontal="right" vertical="center"/>
    </xf>
    <xf numFmtId="0" fontId="12" fillId="0" borderId="0" xfId="0" applyNumberFormat="1" applyFont="1"/>
    <xf numFmtId="169" fontId="12" fillId="0" borderId="0" xfId="0" applyNumberFormat="1" applyFont="1"/>
    <xf numFmtId="165" fontId="12" fillId="0" borderId="0" xfId="0" applyNumberFormat="1" applyFont="1"/>
    <xf numFmtId="165" fontId="41" fillId="0" borderId="0" xfId="0" applyNumberFormat="1" applyFont="1"/>
    <xf numFmtId="169" fontId="12" fillId="0" borderId="0" xfId="0" applyNumberFormat="1" applyFont="1" applyFill="1"/>
    <xf numFmtId="2" fontId="41" fillId="0" borderId="0" xfId="0" applyNumberFormat="1" applyFont="1"/>
    <xf numFmtId="169" fontId="41" fillId="0" borderId="0" xfId="0" applyNumberFormat="1" applyFont="1"/>
    <xf numFmtId="165" fontId="41" fillId="21" borderId="0" xfId="0" applyNumberFormat="1" applyFont="1" applyFill="1"/>
    <xf numFmtId="0" fontId="12" fillId="0" borderId="0" xfId="0" applyNumberFormat="1" applyFont="1" applyAlignment="1">
      <alignment horizontal="left" indent="1"/>
    </xf>
    <xf numFmtId="166" fontId="41" fillId="0" borderId="0" xfId="58" applyNumberFormat="1" applyFont="1"/>
    <xf numFmtId="0" fontId="40" fillId="0" borderId="0" xfId="0" applyFont="1" applyAlignment="1">
      <alignment horizontal="left" indent="1"/>
    </xf>
    <xf numFmtId="9" fontId="12" fillId="0" borderId="0" xfId="0" applyNumberFormat="1" applyFont="1"/>
    <xf numFmtId="0" fontId="40" fillId="0" borderId="0" xfId="0" applyFont="1"/>
    <xf numFmtId="9" fontId="41" fillId="0" borderId="0" xfId="0" applyNumberFormat="1" applyFont="1"/>
    <xf numFmtId="0" fontId="12" fillId="0" borderId="2" xfId="0" applyNumberFormat="1" applyFont="1" applyFill="1" applyBorder="1" applyAlignment="1">
      <alignment vertical="center"/>
    </xf>
    <xf numFmtId="0" fontId="26" fillId="0" borderId="2" xfId="0" applyNumberFormat="1" applyFont="1" applyBorder="1"/>
    <xf numFmtId="2" fontId="55" fillId="0" borderId="0" xfId="0" applyNumberFormat="1" applyFont="1"/>
    <xf numFmtId="0" fontId="12" fillId="0" borderId="0" xfId="0" applyNumberFormat="1" applyFont="1" applyAlignment="1">
      <alignment horizontal="left" indent="2"/>
    </xf>
    <xf numFmtId="0" fontId="12" fillId="0" borderId="0" xfId="0" applyNumberFormat="1" applyFont="1" applyAlignment="1">
      <alignment horizontal="left" indent="3"/>
    </xf>
    <xf numFmtId="0" fontId="26" fillId="0" borderId="2" xfId="0" applyNumberFormat="1" applyFont="1" applyBorder="1" applyAlignment="1">
      <alignment horizontal="left" indent="2"/>
    </xf>
    <xf numFmtId="0" fontId="26" fillId="0" borderId="19" xfId="0" applyNumberFormat="1" applyFont="1" applyBorder="1" applyAlignment="1">
      <alignment horizontal="left" indent="1"/>
    </xf>
    <xf numFmtId="0" fontId="26" fillId="0" borderId="23" xfId="0" applyNumberFormat="1" applyFont="1" applyBorder="1"/>
    <xf numFmtId="169" fontId="26" fillId="0" borderId="23" xfId="0" applyNumberFormat="1" applyFont="1" applyBorder="1"/>
    <xf numFmtId="0" fontId="26" fillId="0" borderId="12" xfId="0" applyNumberFormat="1" applyFont="1" applyBorder="1"/>
    <xf numFmtId="169" fontId="26" fillId="0" borderId="12" xfId="0" applyNumberFormat="1" applyFont="1" applyBorder="1"/>
    <xf numFmtId="0" fontId="26" fillId="0" borderId="22" xfId="0" applyFont="1" applyFill="1" applyBorder="1" applyAlignment="1">
      <alignment horizontal="right"/>
    </xf>
    <xf numFmtId="0" fontId="26" fillId="0" borderId="22" xfId="0" applyNumberFormat="1" applyFont="1" applyFill="1" applyBorder="1" applyAlignment="1">
      <alignment horizontal="right"/>
    </xf>
    <xf numFmtId="9" fontId="12" fillId="0" borderId="0" xfId="58" applyFont="1" applyFill="1" applyBorder="1" applyAlignment="1">
      <alignment horizontal="right" vertical="center"/>
    </xf>
    <xf numFmtId="9" fontId="12" fillId="0" borderId="5" xfId="58" applyFont="1" applyFill="1" applyBorder="1" applyAlignment="1">
      <alignment horizontal="right" vertical="center"/>
    </xf>
    <xf numFmtId="166" fontId="12" fillId="0" borderId="0" xfId="58" applyNumberFormat="1" applyFont="1" applyFill="1" applyBorder="1" applyAlignment="1">
      <alignment horizontal="right" vertical="center"/>
    </xf>
    <xf numFmtId="0" fontId="26" fillId="0" borderId="1" xfId="0" applyNumberFormat="1" applyFont="1" applyBorder="1"/>
    <xf numFmtId="0" fontId="26" fillId="0" borderId="1" xfId="0" applyFont="1" applyBorder="1"/>
    <xf numFmtId="9" fontId="40" fillId="0" borderId="0" xfId="0" applyNumberFormat="1" applyFont="1"/>
    <xf numFmtId="0" fontId="26" fillId="0" borderId="0" xfId="0" applyNumberFormat="1" applyFont="1" applyFill="1" applyBorder="1" applyAlignment="1">
      <alignment vertical="center"/>
    </xf>
    <xf numFmtId="0" fontId="26" fillId="0" borderId="0" xfId="0" applyFont="1" applyBorder="1" applyAlignment="1">
      <alignment horizontal="right"/>
    </xf>
    <xf numFmtId="0" fontId="26" fillId="0" borderId="0" xfId="0" applyNumberFormat="1" applyFont="1" applyBorder="1" applyAlignment="1">
      <alignment horizontal="right"/>
    </xf>
    <xf numFmtId="0" fontId="26" fillId="12" borderId="0" xfId="0" applyFont="1" applyFill="1" applyBorder="1" applyAlignment="1">
      <alignment horizontal="right"/>
    </xf>
    <xf numFmtId="0" fontId="12" fillId="0" borderId="5" xfId="0" applyFont="1" applyFill="1" applyBorder="1"/>
    <xf numFmtId="0" fontId="26" fillId="0" borderId="5" xfId="0" applyFont="1" applyBorder="1" applyAlignment="1">
      <alignment horizontal="right"/>
    </xf>
    <xf numFmtId="0" fontId="26" fillId="0" borderId="5" xfId="0" applyNumberFormat="1" applyFont="1" applyBorder="1" applyAlignment="1">
      <alignment horizontal="right"/>
    </xf>
    <xf numFmtId="0" fontId="26" fillId="12" borderId="5" xfId="0" applyFont="1" applyFill="1" applyBorder="1" applyAlignment="1">
      <alignment horizontal="right"/>
    </xf>
    <xf numFmtId="0" fontId="26" fillId="0" borderId="5" xfId="0" applyFont="1" applyFill="1" applyBorder="1" applyAlignment="1">
      <alignment horizontal="right"/>
    </xf>
    <xf numFmtId="165" fontId="26" fillId="0" borderId="1" xfId="0" applyNumberFormat="1" applyFont="1" applyBorder="1"/>
    <xf numFmtId="2" fontId="12" fillId="0" borderId="0" xfId="0" applyNumberFormat="1" applyFont="1"/>
    <xf numFmtId="166" fontId="40" fillId="0" borderId="0" xfId="0" applyNumberFormat="1" applyFont="1"/>
    <xf numFmtId="3" fontId="26" fillId="0" borderId="1" xfId="0" applyNumberFormat="1" applyFont="1" applyBorder="1"/>
    <xf numFmtId="1" fontId="12" fillId="0" borderId="0" xfId="0" applyNumberFormat="1" applyFont="1"/>
    <xf numFmtId="3" fontId="12" fillId="0" borderId="0" xfId="0" applyNumberFormat="1" applyFont="1"/>
    <xf numFmtId="166" fontId="40" fillId="0" borderId="0" xfId="58" applyNumberFormat="1" applyFont="1"/>
    <xf numFmtId="165" fontId="26" fillId="0" borderId="2" xfId="0" applyNumberFormat="1" applyFont="1" applyBorder="1"/>
    <xf numFmtId="3" fontId="26" fillId="0" borderId="2" xfId="0" applyNumberFormat="1" applyFont="1" applyBorder="1"/>
    <xf numFmtId="0" fontId="26" fillId="0" borderId="20" xfId="0" applyFont="1" applyBorder="1"/>
    <xf numFmtId="169" fontId="26" fillId="0" borderId="20" xfId="0" applyNumberFormat="1" applyFont="1" applyBorder="1"/>
    <xf numFmtId="0" fontId="40" fillId="0" borderId="0" xfId="0" applyFont="1" applyBorder="1" applyAlignment="1">
      <alignment horizontal="left" indent="1"/>
    </xf>
    <xf numFmtId="169" fontId="58" fillId="0" borderId="0" xfId="0" applyNumberFormat="1" applyFont="1" applyBorder="1"/>
    <xf numFmtId="9" fontId="40" fillId="0" borderId="0" xfId="58" applyFont="1" applyBorder="1"/>
    <xf numFmtId="0" fontId="40" fillId="0" borderId="0" xfId="0" applyFont="1" applyBorder="1" applyAlignment="1">
      <alignment horizontal="center" vertical="center"/>
    </xf>
    <xf numFmtId="0" fontId="40" fillId="0" borderId="0" xfId="0" applyFont="1" applyBorder="1" applyAlignment="1">
      <alignment horizontal="left" vertical="center" indent="1"/>
    </xf>
    <xf numFmtId="165" fontId="40" fillId="0" borderId="0" xfId="58" applyNumberFormat="1" applyFont="1" applyBorder="1" applyAlignment="1">
      <alignment vertical="center"/>
    </xf>
    <xf numFmtId="166" fontId="40" fillId="0" borderId="0" xfId="58" applyNumberFormat="1" applyFont="1" applyBorder="1" applyAlignment="1">
      <alignment vertical="center"/>
    </xf>
    <xf numFmtId="166" fontId="40" fillId="0" borderId="0" xfId="58" applyNumberFormat="1" applyFont="1" applyFill="1" applyBorder="1" applyAlignment="1">
      <alignment vertical="center"/>
    </xf>
    <xf numFmtId="0" fontId="40" fillId="0" borderId="0" xfId="0" applyFont="1" applyBorder="1"/>
    <xf numFmtId="166" fontId="12" fillId="0" borderId="0" xfId="58" applyNumberFormat="1" applyFont="1"/>
    <xf numFmtId="169" fontId="41" fillId="0" borderId="0" xfId="0" applyNumberFormat="1" applyFont="1" applyFill="1"/>
    <xf numFmtId="0" fontId="26" fillId="0" borderId="19" xfId="0" applyFont="1" applyBorder="1"/>
    <xf numFmtId="0" fontId="12" fillId="0" borderId="4" xfId="0" applyFont="1" applyBorder="1"/>
    <xf numFmtId="186" fontId="12" fillId="0" borderId="0" xfId="0" applyNumberFormat="1" applyFont="1"/>
    <xf numFmtId="0" fontId="12" fillId="0" borderId="0" xfId="0" applyFont="1" applyAlignment="1">
      <alignment horizontal="left" indent="1"/>
    </xf>
    <xf numFmtId="0" fontId="26" fillId="0" borderId="19" xfId="0" applyFont="1" applyBorder="1" applyAlignment="1">
      <alignment vertical="center"/>
    </xf>
    <xf numFmtId="165" fontId="26" fillId="0" borderId="19" xfId="0" applyNumberFormat="1" applyFont="1" applyBorder="1" applyAlignment="1">
      <alignment vertical="center"/>
    </xf>
    <xf numFmtId="169" fontId="26" fillId="0" borderId="19" xfId="0" applyNumberFormat="1" applyFont="1" applyBorder="1" applyAlignment="1">
      <alignment vertical="center"/>
    </xf>
    <xf numFmtId="169" fontId="26" fillId="0" borderId="19" xfId="0" applyNumberFormat="1" applyFont="1" applyBorder="1"/>
    <xf numFmtId="37" fontId="40" fillId="0" borderId="0" xfId="59" applyNumberFormat="1" applyFont="1" applyFill="1" applyBorder="1" applyAlignment="1">
      <alignment horizontal="left" indent="1"/>
    </xf>
    <xf numFmtId="39" fontId="40" fillId="0" borderId="0" xfId="59" applyNumberFormat="1" applyFont="1" applyFill="1" applyBorder="1" applyAlignment="1">
      <alignment horizontal="right"/>
    </xf>
    <xf numFmtId="4" fontId="40" fillId="0" borderId="0" xfId="59" applyNumberFormat="1" applyFont="1" applyFill="1" applyBorder="1" applyAlignment="1">
      <alignment horizontal="right"/>
    </xf>
    <xf numFmtId="37" fontId="12" fillId="0" borderId="0" xfId="59" applyNumberFormat="1" applyFont="1" applyFill="1" applyBorder="1" applyAlignment="1">
      <alignment horizontal="left" indent="1"/>
    </xf>
    <xf numFmtId="37" fontId="12" fillId="0" borderId="0" xfId="59" applyNumberFormat="1" applyFont="1" applyFill="1" applyBorder="1" applyAlignment="1">
      <alignment horizontal="left"/>
    </xf>
    <xf numFmtId="169" fontId="12" fillId="0" borderId="0" xfId="59" applyNumberFormat="1" applyFont="1" applyFill="1" applyBorder="1" applyAlignment="1">
      <alignment horizontal="right"/>
    </xf>
    <xf numFmtId="9" fontId="40" fillId="0" borderId="0" xfId="59" applyNumberFormat="1" applyFont="1" applyFill="1" applyBorder="1" applyAlignment="1">
      <alignment horizontal="right"/>
    </xf>
    <xf numFmtId="4" fontId="12" fillId="0" borderId="0" xfId="59" applyNumberFormat="1" applyFont="1" applyFill="1" applyBorder="1" applyAlignment="1">
      <alignment horizontal="right"/>
    </xf>
    <xf numFmtId="166" fontId="12" fillId="0" borderId="5" xfId="58" applyNumberFormat="1" applyFont="1" applyBorder="1" applyAlignment="1">
      <alignment horizontal="right" vertical="center"/>
    </xf>
    <xf numFmtId="166" fontId="12" fillId="0" borderId="5" xfId="58" applyNumberFormat="1" applyFont="1" applyFill="1" applyBorder="1" applyAlignment="1">
      <alignment horizontal="right" vertical="center"/>
    </xf>
    <xf numFmtId="9" fontId="40" fillId="0" borderId="0" xfId="58" applyNumberFormat="1" applyFont="1" applyBorder="1"/>
    <xf numFmtId="0" fontId="26" fillId="0" borderId="5" xfId="0" applyNumberFormat="1" applyFont="1" applyBorder="1"/>
    <xf numFmtId="0" fontId="12" fillId="0" borderId="5" xfId="0" applyFont="1" applyBorder="1"/>
    <xf numFmtId="2" fontId="41" fillId="0" borderId="5" xfId="0" applyNumberFormat="1" applyFont="1" applyBorder="1"/>
    <xf numFmtId="1" fontId="41" fillId="0" borderId="5" xfId="0" applyNumberFormat="1" applyFont="1" applyBorder="1"/>
    <xf numFmtId="1" fontId="41" fillId="0" borderId="0" xfId="0" applyNumberFormat="1" applyFont="1"/>
    <xf numFmtId="9" fontId="12" fillId="0" borderId="0" xfId="58" applyFont="1"/>
    <xf numFmtId="165" fontId="55" fillId="0" borderId="0" xfId="0" applyNumberFormat="1" applyFont="1"/>
    <xf numFmtId="0" fontId="40" fillId="0" borderId="0" xfId="0" applyNumberFormat="1" applyFont="1" applyAlignment="1">
      <alignment horizontal="left" indent="1"/>
    </xf>
    <xf numFmtId="9" fontId="40" fillId="0" borderId="0" xfId="58" applyFont="1" applyAlignment="1">
      <alignment horizontal="right"/>
    </xf>
    <xf numFmtId="2" fontId="12" fillId="0" borderId="0" xfId="0" applyNumberFormat="1" applyFont="1" applyBorder="1"/>
    <xf numFmtId="165" fontId="12" fillId="0" borderId="0" xfId="0" applyNumberFormat="1" applyFont="1" applyFill="1"/>
    <xf numFmtId="0" fontId="12" fillId="0" borderId="5" xfId="0" applyNumberFormat="1" applyFont="1" applyFill="1" applyBorder="1" applyAlignment="1">
      <alignment vertical="center"/>
    </xf>
    <xf numFmtId="0" fontId="26" fillId="0" borderId="5" xfId="0" applyNumberFormat="1" applyFont="1" applyFill="1" applyBorder="1" applyAlignment="1">
      <alignment horizontal="right"/>
    </xf>
    <xf numFmtId="0" fontId="12" fillId="0" borderId="2" xfId="0" applyFont="1" applyBorder="1"/>
    <xf numFmtId="3" fontId="41" fillId="0" borderId="0" xfId="0" applyNumberFormat="1" applyFont="1"/>
    <xf numFmtId="0" fontId="12" fillId="0" borderId="1" xfId="0" applyFont="1" applyBorder="1"/>
    <xf numFmtId="1" fontId="26" fillId="0" borderId="1" xfId="0" applyNumberFormat="1" applyFont="1" applyBorder="1"/>
    <xf numFmtId="1" fontId="26" fillId="0" borderId="2" xfId="0" applyNumberFormat="1" applyFont="1" applyBorder="1"/>
    <xf numFmtId="169" fontId="47" fillId="0" borderId="0" xfId="0" applyNumberFormat="1" applyFont="1" applyBorder="1" applyAlignment="1">
      <alignment vertical="center"/>
    </xf>
    <xf numFmtId="169" fontId="47" fillId="0" borderId="0" xfId="0" applyNumberFormat="1" applyFont="1" applyBorder="1"/>
    <xf numFmtId="2" fontId="12" fillId="0" borderId="0" xfId="0" applyNumberFormat="1" applyFont="1" applyBorder="1" applyAlignment="1">
      <alignment horizontal="left" indent="1"/>
    </xf>
    <xf numFmtId="2" fontId="26" fillId="0" borderId="2" xfId="0" applyNumberFormat="1" applyFont="1" applyBorder="1"/>
    <xf numFmtId="2" fontId="40" fillId="0" borderId="0" xfId="0" applyNumberFormat="1" applyFont="1" applyBorder="1" applyAlignment="1">
      <alignment horizontal="left" indent="1"/>
    </xf>
    <xf numFmtId="0" fontId="12" fillId="0" borderId="0" xfId="0" applyFont="1" applyAlignment="1">
      <alignment horizontal="center"/>
    </xf>
    <xf numFmtId="0" fontId="12" fillId="0" borderId="3" xfId="0" applyFont="1" applyBorder="1"/>
    <xf numFmtId="0" fontId="12" fillId="0" borderId="9" xfId="0" applyFont="1" applyBorder="1"/>
    <xf numFmtId="169" fontId="12" fillId="0" borderId="3" xfId="0" applyNumberFormat="1" applyFont="1" applyBorder="1"/>
    <xf numFmtId="169" fontId="12" fillId="0" borderId="9" xfId="0" applyNumberFormat="1" applyFont="1" applyBorder="1"/>
    <xf numFmtId="169" fontId="47" fillId="0" borderId="0" xfId="0" applyNumberFormat="1" applyFont="1"/>
    <xf numFmtId="169" fontId="47" fillId="0" borderId="3" xfId="0" applyNumberFormat="1" applyFont="1" applyBorder="1"/>
    <xf numFmtId="169" fontId="60" fillId="0" borderId="0" xfId="0" applyNumberFormat="1" applyFont="1" applyBorder="1"/>
    <xf numFmtId="169" fontId="47" fillId="0" borderId="9" xfId="0" applyNumberFormat="1" applyFont="1" applyBorder="1"/>
    <xf numFmtId="0" fontId="12" fillId="0" borderId="21" xfId="0" applyFont="1" applyBorder="1"/>
    <xf numFmtId="0" fontId="12" fillId="0" borderId="17" xfId="0" applyFont="1" applyBorder="1"/>
    <xf numFmtId="169" fontId="26" fillId="0" borderId="21" xfId="0" applyNumberFormat="1" applyFont="1" applyBorder="1"/>
    <xf numFmtId="169" fontId="26" fillId="0" borderId="17" xfId="0" applyNumberFormat="1" applyFont="1" applyBorder="1"/>
    <xf numFmtId="169" fontId="61" fillId="0" borderId="3" xfId="0" applyNumberFormat="1" applyFont="1" applyBorder="1"/>
    <xf numFmtId="169" fontId="61" fillId="0" borderId="0" xfId="0" applyNumberFormat="1" applyFont="1" applyBorder="1"/>
    <xf numFmtId="169" fontId="61" fillId="0" borderId="9" xfId="0" applyNumberFormat="1" applyFont="1" applyBorder="1"/>
    <xf numFmtId="0" fontId="12" fillId="0" borderId="34" xfId="0" applyFont="1" applyBorder="1"/>
    <xf numFmtId="0" fontId="12" fillId="0" borderId="20" xfId="0" applyFont="1" applyBorder="1"/>
    <xf numFmtId="0" fontId="12" fillId="0" borderId="35" xfId="0" applyFont="1" applyBorder="1"/>
    <xf numFmtId="169" fontId="26" fillId="0" borderId="34" xfId="0" applyNumberFormat="1" applyFont="1" applyBorder="1"/>
    <xf numFmtId="169" fontId="26" fillId="0" borderId="35" xfId="0" applyNumberFormat="1" applyFont="1" applyBorder="1"/>
    <xf numFmtId="0" fontId="26" fillId="0" borderId="5" xfId="0" applyFont="1" applyBorder="1" applyAlignment="1">
      <alignment vertical="center"/>
    </xf>
    <xf numFmtId="169" fontId="41" fillId="0" borderId="0" xfId="0" applyNumberFormat="1" applyFont="1" applyBorder="1"/>
    <xf numFmtId="169" fontId="55" fillId="0" borderId="0" xfId="0" applyNumberFormat="1" applyFont="1" applyBorder="1"/>
    <xf numFmtId="0" fontId="12" fillId="0" borderId="11" xfId="0" applyFont="1" applyBorder="1"/>
    <xf numFmtId="169" fontId="41" fillId="0" borderId="1" xfId="0" applyNumberFormat="1" applyFont="1" applyBorder="1"/>
    <xf numFmtId="169" fontId="12" fillId="0" borderId="1" xfId="0" applyNumberFormat="1" applyFont="1" applyBorder="1"/>
    <xf numFmtId="0" fontId="26" fillId="0" borderId="0" xfId="0" applyFont="1" applyAlignment="1">
      <alignment horizontal="left" indent="1"/>
    </xf>
    <xf numFmtId="169" fontId="41" fillId="0" borderId="2" xfId="0" applyNumberFormat="1" applyFont="1" applyBorder="1"/>
    <xf numFmtId="169" fontId="12" fillId="0" borderId="2" xfId="0" applyNumberFormat="1" applyFont="1" applyBorder="1"/>
    <xf numFmtId="169" fontId="26" fillId="0" borderId="1" xfId="0" applyNumberFormat="1" applyFont="1" applyBorder="1"/>
    <xf numFmtId="0" fontId="55" fillId="0" borderId="0" xfId="0" applyFont="1" applyAlignment="1">
      <alignment horizontal="center"/>
    </xf>
    <xf numFmtId="0" fontId="55" fillId="0" borderId="0" xfId="0" applyFont="1"/>
    <xf numFmtId="168" fontId="55" fillId="0" borderId="0" xfId="0" applyNumberFormat="1" applyFont="1"/>
    <xf numFmtId="0" fontId="26" fillId="0" borderId="0" xfId="0" applyFont="1" applyAlignment="1">
      <alignment horizontal="center" vertical="center"/>
    </xf>
    <xf numFmtId="168" fontId="55" fillId="0" borderId="0" xfId="0" applyNumberFormat="1" applyFont="1" applyBorder="1"/>
    <xf numFmtId="170" fontId="55" fillId="0" borderId="0" xfId="0" applyNumberFormat="1" applyFont="1" applyBorder="1"/>
    <xf numFmtId="165" fontId="55" fillId="0" borderId="0" xfId="0" applyNumberFormat="1" applyFont="1" applyBorder="1"/>
    <xf numFmtId="166" fontId="41" fillId="0" borderId="0" xfId="58" applyNumberFormat="1" applyFont="1" applyBorder="1"/>
    <xf numFmtId="165" fontId="41" fillId="0" borderId="0" xfId="0" applyNumberFormat="1" applyFont="1" applyBorder="1"/>
    <xf numFmtId="0" fontId="26" fillId="0" borderId="2" xfId="0" applyNumberFormat="1" applyFont="1" applyBorder="1" applyAlignment="1">
      <alignment vertical="center"/>
    </xf>
    <xf numFmtId="9" fontId="40" fillId="0" borderId="0" xfId="58" applyFont="1" applyFill="1" applyBorder="1" applyAlignment="1">
      <alignment horizontal="right"/>
    </xf>
    <xf numFmtId="49" fontId="0" fillId="0" borderId="0" xfId="0" applyNumberFormat="1"/>
    <xf numFmtId="0" fontId="65" fillId="0" borderId="0" xfId="50" applyFont="1"/>
    <xf numFmtId="0" fontId="66" fillId="0" borderId="0" xfId="50" applyFont="1"/>
    <xf numFmtId="0" fontId="66" fillId="0" borderId="0" xfId="50" applyFont="1" applyFill="1" applyBorder="1" applyAlignment="1"/>
    <xf numFmtId="0" fontId="66" fillId="0" borderId="0" xfId="50" applyFont="1" applyFill="1" applyBorder="1" applyAlignment="1">
      <alignment horizontal="center"/>
    </xf>
    <xf numFmtId="0" fontId="66" fillId="0" borderId="0" xfId="50" applyFont="1" applyFill="1"/>
    <xf numFmtId="0" fontId="66" fillId="0" borderId="0" xfId="50" applyFont="1" applyAlignment="1">
      <alignment horizontal="center"/>
    </xf>
    <xf numFmtId="0" fontId="66" fillId="0" borderId="0" xfId="50" applyFont="1" applyAlignment="1">
      <alignment horizontal="left"/>
    </xf>
    <xf numFmtId="0" fontId="66" fillId="0" borderId="0" xfId="50" applyFont="1" applyAlignment="1">
      <alignment horizontal="right"/>
    </xf>
    <xf numFmtId="9" fontId="40" fillId="28" borderId="11" xfId="60" applyFont="1" applyFill="1" applyBorder="1"/>
    <xf numFmtId="9" fontId="40" fillId="28" borderId="1" xfId="60" applyFont="1" applyFill="1" applyBorder="1"/>
    <xf numFmtId="9" fontId="68" fillId="28" borderId="33" xfId="50" applyNumberFormat="1" applyFont="1" applyFill="1" applyBorder="1"/>
    <xf numFmtId="9" fontId="67" fillId="0" borderId="0" xfId="50" applyNumberFormat="1" applyFont="1" applyFill="1" applyBorder="1"/>
    <xf numFmtId="0" fontId="66" fillId="0" borderId="0" xfId="50" applyFont="1" applyFill="1" applyBorder="1"/>
    <xf numFmtId="0" fontId="67" fillId="0" borderId="0" xfId="50" applyFont="1" applyFill="1" applyBorder="1" applyAlignment="1"/>
    <xf numFmtId="0" fontId="67" fillId="0" borderId="0" xfId="50" applyFont="1" applyFill="1" applyBorder="1" applyAlignment="1">
      <alignment horizontal="center"/>
    </xf>
    <xf numFmtId="171" fontId="66" fillId="0" borderId="0" xfId="50" applyNumberFormat="1" applyFont="1"/>
    <xf numFmtId="0" fontId="67" fillId="0" borderId="0" xfId="50" applyFont="1"/>
    <xf numFmtId="171" fontId="67" fillId="0" borderId="0" xfId="50" applyNumberFormat="1" applyFont="1"/>
    <xf numFmtId="0" fontId="69" fillId="0" borderId="0" xfId="50" applyFont="1" applyFill="1" applyBorder="1"/>
    <xf numFmtId="9" fontId="66" fillId="0" borderId="0" xfId="50" applyNumberFormat="1" applyFont="1"/>
    <xf numFmtId="165" fontId="66" fillId="0" borderId="0" xfId="50" applyNumberFormat="1" applyFont="1"/>
    <xf numFmtId="172" fontId="66" fillId="0" borderId="0" xfId="50" applyNumberFormat="1" applyFont="1"/>
    <xf numFmtId="0" fontId="26" fillId="29" borderId="22" xfId="0" applyFont="1" applyFill="1" applyBorder="1" applyAlignment="1">
      <alignment horizontal="right"/>
    </xf>
    <xf numFmtId="0" fontId="26" fillId="29" borderId="22" xfId="0" applyNumberFormat="1" applyFont="1" applyFill="1" applyBorder="1" applyAlignment="1">
      <alignment horizontal="right"/>
    </xf>
    <xf numFmtId="0" fontId="26" fillId="29" borderId="0" xfId="0" applyFont="1" applyFill="1" applyBorder="1" applyAlignment="1">
      <alignment horizontal="right"/>
    </xf>
    <xf numFmtId="165" fontId="70" fillId="29" borderId="0" xfId="0" applyNumberFormat="1" applyFont="1" applyFill="1" applyBorder="1" applyAlignment="1">
      <alignment horizontal="right"/>
    </xf>
    <xf numFmtId="165" fontId="70" fillId="0" borderId="0" xfId="0" applyNumberFormat="1" applyFont="1" applyFill="1" applyBorder="1" applyAlignment="1">
      <alignment horizontal="right"/>
    </xf>
    <xf numFmtId="0" fontId="70" fillId="29" borderId="0" xfId="0" applyNumberFormat="1" applyFont="1" applyFill="1" applyBorder="1" applyAlignment="1">
      <alignment horizontal="right"/>
    </xf>
    <xf numFmtId="169" fontId="12" fillId="29" borderId="0" xfId="0" applyNumberFormat="1" applyFont="1" applyFill="1" applyBorder="1" applyAlignment="1">
      <alignment horizontal="right"/>
    </xf>
    <xf numFmtId="0" fontId="41" fillId="29" borderId="0" xfId="0" applyNumberFormat="1" applyFont="1" applyFill="1" applyBorder="1" applyAlignment="1">
      <alignment horizontal="right"/>
    </xf>
    <xf numFmtId="165" fontId="41" fillId="29" borderId="0" xfId="0" applyNumberFormat="1" applyFont="1" applyFill="1" applyBorder="1" applyAlignment="1">
      <alignment horizontal="right"/>
    </xf>
    <xf numFmtId="165" fontId="12" fillId="29" borderId="0" xfId="0" applyNumberFormat="1" applyFont="1" applyFill="1" applyBorder="1" applyAlignment="1">
      <alignment horizontal="right"/>
    </xf>
    <xf numFmtId="0" fontId="70" fillId="29" borderId="0" xfId="0" applyFont="1" applyFill="1" applyBorder="1" applyAlignment="1">
      <alignment horizontal="right"/>
    </xf>
    <xf numFmtId="169" fontId="70" fillId="29" borderId="0" xfId="0" applyNumberFormat="1" applyFont="1" applyFill="1" applyBorder="1" applyAlignment="1">
      <alignment horizontal="right"/>
    </xf>
    <xf numFmtId="165" fontId="70" fillId="29" borderId="0" xfId="0" applyNumberFormat="1" applyFont="1" applyFill="1" applyBorder="1" applyAlignment="1">
      <alignment vertical="center"/>
    </xf>
    <xf numFmtId="165" fontId="70" fillId="0" borderId="0" xfId="0" applyNumberFormat="1" applyFont="1" applyBorder="1" applyAlignment="1">
      <alignment vertical="center"/>
    </xf>
    <xf numFmtId="165" fontId="12" fillId="29" borderId="0" xfId="0" applyNumberFormat="1" applyFont="1" applyFill="1" applyBorder="1" applyAlignment="1">
      <alignment vertical="center"/>
    </xf>
    <xf numFmtId="169" fontId="46" fillId="29" borderId="2" xfId="0" applyNumberFormat="1" applyFont="1" applyFill="1" applyBorder="1" applyAlignment="1">
      <alignment vertical="center"/>
    </xf>
    <xf numFmtId="169" fontId="46" fillId="0" borderId="2" xfId="0" applyNumberFormat="1" applyFont="1" applyBorder="1" applyAlignment="1">
      <alignment vertical="center"/>
    </xf>
    <xf numFmtId="0" fontId="26" fillId="30" borderId="0" xfId="0" applyFont="1" applyFill="1" applyBorder="1" applyAlignment="1">
      <alignment vertical="center"/>
    </xf>
    <xf numFmtId="0" fontId="26" fillId="30" borderId="0" xfId="0" applyFont="1" applyFill="1" applyBorder="1"/>
    <xf numFmtId="165" fontId="47" fillId="29" borderId="0" xfId="0" applyNumberFormat="1" applyFont="1" applyFill="1" applyBorder="1" applyAlignment="1">
      <alignment vertical="center"/>
    </xf>
    <xf numFmtId="169" fontId="12" fillId="29" borderId="0" xfId="0" applyNumberFormat="1" applyFont="1" applyFill="1" applyBorder="1" applyAlignment="1">
      <alignment vertical="center"/>
    </xf>
    <xf numFmtId="0" fontId="12" fillId="29" borderId="0" xfId="0" applyFont="1" applyFill="1" applyBorder="1" applyAlignment="1">
      <alignment vertical="center"/>
    </xf>
    <xf numFmtId="165" fontId="41" fillId="29" borderId="0" xfId="0" applyNumberFormat="1" applyFont="1" applyFill="1" applyBorder="1" applyAlignment="1">
      <alignment vertical="center"/>
    </xf>
    <xf numFmtId="165" fontId="70" fillId="31" borderId="0" xfId="0" applyNumberFormat="1" applyFont="1" applyFill="1" applyBorder="1" applyAlignment="1">
      <alignment vertical="center"/>
    </xf>
    <xf numFmtId="165" fontId="55" fillId="31" borderId="0" xfId="0" applyNumberFormat="1" applyFont="1" applyFill="1" applyBorder="1" applyAlignment="1">
      <alignment vertical="center"/>
    </xf>
    <xf numFmtId="165" fontId="71" fillId="32" borderId="31" xfId="0" applyNumberFormat="1" applyFont="1" applyFill="1" applyBorder="1" applyAlignment="1">
      <alignment vertical="center"/>
    </xf>
    <xf numFmtId="165" fontId="71" fillId="32" borderId="32" xfId="0" applyNumberFormat="1" applyFont="1" applyFill="1" applyBorder="1" applyAlignment="1">
      <alignment horizontal="right" vertical="center"/>
    </xf>
    <xf numFmtId="1" fontId="41" fillId="29" borderId="0" xfId="0" applyNumberFormat="1" applyFont="1" applyFill="1" applyBorder="1" applyAlignment="1">
      <alignment vertical="center"/>
    </xf>
    <xf numFmtId="165" fontId="72" fillId="33" borderId="0" xfId="0" applyNumberFormat="1" applyFont="1" applyFill="1" applyBorder="1" applyAlignment="1">
      <alignment vertical="center"/>
    </xf>
    <xf numFmtId="165" fontId="26" fillId="29" borderId="2" xfId="0" applyNumberFormat="1" applyFont="1" applyFill="1" applyBorder="1" applyAlignment="1">
      <alignment vertical="center"/>
    </xf>
    <xf numFmtId="169" fontId="26" fillId="29" borderId="2" xfId="0" applyNumberFormat="1" applyFont="1" applyFill="1" applyBorder="1" applyAlignment="1">
      <alignment vertical="center"/>
    </xf>
    <xf numFmtId="165" fontId="70" fillId="0" borderId="0" xfId="0" applyNumberFormat="1" applyFont="1" applyFill="1" applyBorder="1" applyAlignment="1">
      <alignment vertical="center"/>
    </xf>
    <xf numFmtId="166" fontId="40" fillId="29" borderId="0" xfId="58" applyNumberFormat="1" applyFont="1" applyFill="1" applyBorder="1" applyAlignment="1">
      <alignment vertical="center"/>
    </xf>
    <xf numFmtId="0" fontId="73" fillId="0" borderId="0" xfId="0" applyFont="1" applyBorder="1" applyAlignment="1">
      <alignment vertical="center"/>
    </xf>
    <xf numFmtId="0" fontId="73" fillId="0" borderId="0" xfId="0" applyFont="1" applyBorder="1"/>
    <xf numFmtId="165" fontId="26" fillId="29" borderId="19" xfId="0" applyNumberFormat="1" applyFont="1" applyFill="1" applyBorder="1" applyAlignment="1">
      <alignment vertical="center"/>
    </xf>
    <xf numFmtId="2" fontId="26" fillId="29" borderId="2" xfId="0" applyNumberFormat="1" applyFont="1" applyFill="1" applyBorder="1" applyAlignment="1">
      <alignment vertical="center"/>
    </xf>
    <xf numFmtId="2" fontId="26" fillId="29" borderId="2" xfId="0" applyNumberFormat="1" applyFont="1" applyFill="1" applyBorder="1" applyAlignment="1">
      <alignment horizontal="right" vertical="center"/>
    </xf>
    <xf numFmtId="4" fontId="26" fillId="30" borderId="0" xfId="0" applyNumberFormat="1" applyFont="1" applyFill="1" applyBorder="1" applyAlignment="1">
      <alignment vertical="center"/>
    </xf>
    <xf numFmtId="4" fontId="26" fillId="30" borderId="0" xfId="0" applyNumberFormat="1" applyFont="1" applyFill="1" applyBorder="1"/>
    <xf numFmtId="39" fontId="40" fillId="29" borderId="0" xfId="59" applyNumberFormat="1" applyFont="1" applyFill="1" applyBorder="1" applyAlignment="1">
      <alignment horizontal="right"/>
    </xf>
    <xf numFmtId="4" fontId="40" fillId="29" borderId="0" xfId="59" applyNumberFormat="1" applyFont="1" applyFill="1" applyBorder="1" applyAlignment="1">
      <alignment horizontal="right"/>
    </xf>
    <xf numFmtId="169" fontId="12" fillId="29" borderId="0" xfId="59" applyNumberFormat="1" applyFont="1" applyFill="1" applyBorder="1" applyAlignment="1">
      <alignment horizontal="right"/>
    </xf>
    <xf numFmtId="9" fontId="40" fillId="29" borderId="0" xfId="59" applyNumberFormat="1" applyFont="1" applyFill="1" applyBorder="1" applyAlignment="1">
      <alignment horizontal="right"/>
    </xf>
    <xf numFmtId="4" fontId="12" fillId="29" borderId="0" xfId="59" applyNumberFormat="1" applyFont="1" applyFill="1" applyBorder="1" applyAlignment="1">
      <alignment horizontal="right"/>
    </xf>
    <xf numFmtId="165" fontId="70" fillId="29" borderId="0" xfId="0" applyNumberFormat="1" applyFont="1" applyFill="1"/>
    <xf numFmtId="165" fontId="56" fillId="29" borderId="0" xfId="0" applyNumberFormat="1" applyFont="1" applyFill="1" applyBorder="1" applyAlignment="1">
      <alignment vertical="center"/>
    </xf>
    <xf numFmtId="169" fontId="70" fillId="0" borderId="0" xfId="59" applyNumberFormat="1" applyFont="1" applyFill="1" applyBorder="1" applyAlignment="1">
      <alignment horizontal="right"/>
    </xf>
    <xf numFmtId="169" fontId="70" fillId="29" borderId="0" xfId="59" applyNumberFormat="1" applyFont="1" applyFill="1" applyBorder="1" applyAlignment="1">
      <alignment horizontal="right"/>
    </xf>
    <xf numFmtId="9" fontId="40" fillId="29" borderId="0" xfId="58" applyFont="1" applyFill="1" applyBorder="1" applyAlignment="1">
      <alignment horizontal="right"/>
    </xf>
    <xf numFmtId="166" fontId="73" fillId="0" borderId="0" xfId="58" applyNumberFormat="1" applyFont="1" applyFill="1" applyBorder="1" applyAlignment="1">
      <alignment horizontal="right"/>
    </xf>
    <xf numFmtId="0" fontId="26" fillId="33" borderId="12" xfId="0" applyFont="1" applyFill="1" applyBorder="1" applyAlignment="1">
      <alignment vertical="center"/>
    </xf>
    <xf numFmtId="0" fontId="12" fillId="33" borderId="12" xfId="0" applyFont="1" applyFill="1" applyBorder="1" applyAlignment="1">
      <alignment vertical="center"/>
    </xf>
    <xf numFmtId="0" fontId="12" fillId="33" borderId="12" xfId="0" applyFont="1" applyFill="1" applyBorder="1"/>
    <xf numFmtId="166" fontId="12" fillId="29" borderId="0" xfId="58" applyNumberFormat="1" applyFont="1" applyFill="1" applyBorder="1" applyAlignment="1">
      <alignment horizontal="right" vertical="center"/>
    </xf>
    <xf numFmtId="166" fontId="12" fillId="29" borderId="5" xfId="58" applyNumberFormat="1" applyFont="1" applyFill="1" applyBorder="1" applyAlignment="1">
      <alignment horizontal="right" vertical="center"/>
    </xf>
    <xf numFmtId="9" fontId="12" fillId="29" borderId="0" xfId="58" applyFont="1" applyFill="1" applyBorder="1" applyAlignment="1">
      <alignment horizontal="right" vertical="center"/>
    </xf>
    <xf numFmtId="0" fontId="12" fillId="29" borderId="0" xfId="58" applyNumberFormat="1" applyFont="1" applyFill="1" applyBorder="1" applyAlignment="1">
      <alignment horizontal="right" vertical="center"/>
    </xf>
    <xf numFmtId="0" fontId="12" fillId="29" borderId="5" xfId="0" applyFont="1" applyFill="1" applyBorder="1" applyAlignment="1">
      <alignment vertical="center"/>
    </xf>
    <xf numFmtId="9" fontId="12" fillId="29" borderId="5" xfId="58" applyFont="1" applyFill="1" applyBorder="1" applyAlignment="1">
      <alignment horizontal="right" vertical="center"/>
    </xf>
    <xf numFmtId="169" fontId="70" fillId="0" borderId="0" xfId="0" applyNumberFormat="1" applyFont="1" applyBorder="1"/>
    <xf numFmtId="169" fontId="46" fillId="0" borderId="20" xfId="0" applyNumberFormat="1" applyFont="1" applyBorder="1"/>
    <xf numFmtId="169" fontId="46" fillId="0" borderId="2" xfId="0" applyNumberFormat="1" applyFont="1" applyBorder="1"/>
    <xf numFmtId="169" fontId="70" fillId="0" borderId="0" xfId="0" applyNumberFormat="1" applyFont="1"/>
    <xf numFmtId="169" fontId="70" fillId="0" borderId="3" xfId="0" applyNumberFormat="1" applyFont="1" applyBorder="1"/>
    <xf numFmtId="169" fontId="70" fillId="0" borderId="9" xfId="0" applyNumberFormat="1" applyFont="1" applyBorder="1"/>
    <xf numFmtId="169" fontId="74" fillId="0" borderId="3" xfId="0" applyNumberFormat="1" applyFont="1" applyBorder="1"/>
    <xf numFmtId="169" fontId="74" fillId="0" borderId="0" xfId="0" applyNumberFormat="1" applyFont="1" applyBorder="1"/>
    <xf numFmtId="169" fontId="74" fillId="0" borderId="9" xfId="0" applyNumberFormat="1" applyFont="1" applyBorder="1"/>
    <xf numFmtId="169" fontId="72" fillId="33" borderId="0" xfId="0" applyNumberFormat="1" applyFont="1" applyFill="1"/>
    <xf numFmtId="169" fontId="72" fillId="33" borderId="3" xfId="0" applyNumberFormat="1" applyFont="1" applyFill="1" applyBorder="1"/>
    <xf numFmtId="169" fontId="72" fillId="33" borderId="0" xfId="0" applyNumberFormat="1" applyFont="1" applyFill="1" applyBorder="1"/>
    <xf numFmtId="169" fontId="72" fillId="33" borderId="9" xfId="0" applyNumberFormat="1" applyFont="1" applyFill="1" applyBorder="1"/>
    <xf numFmtId="169" fontId="70" fillId="0" borderId="0" xfId="0" applyNumberFormat="1" applyFont="1" applyFill="1"/>
    <xf numFmtId="0" fontId="59" fillId="0" borderId="0" xfId="0" applyFont="1" applyAlignment="1">
      <alignment horizontal="center"/>
    </xf>
    <xf numFmtId="0" fontId="59" fillId="0" borderId="0" xfId="0" applyFont="1"/>
    <xf numFmtId="43" fontId="59" fillId="0" borderId="0" xfId="40" applyFont="1"/>
    <xf numFmtId="167" fontId="59" fillId="0" borderId="0" xfId="40" applyNumberFormat="1" applyFont="1"/>
    <xf numFmtId="0" fontId="26" fillId="29" borderId="2" xfId="0" applyFont="1" applyFill="1" applyBorder="1" applyAlignment="1">
      <alignment horizontal="right"/>
    </xf>
    <xf numFmtId="0" fontId="26" fillId="29" borderId="2" xfId="0" applyNumberFormat="1" applyFont="1" applyFill="1" applyBorder="1" applyAlignment="1">
      <alignment horizontal="right"/>
    </xf>
    <xf numFmtId="0" fontId="12" fillId="29" borderId="0" xfId="0" applyFont="1" applyFill="1"/>
    <xf numFmtId="165" fontId="70" fillId="0" borderId="0" xfId="0" applyNumberFormat="1" applyFont="1"/>
    <xf numFmtId="0" fontId="70" fillId="29" borderId="0" xfId="0" applyFont="1" applyFill="1"/>
    <xf numFmtId="0" fontId="70" fillId="29" borderId="0" xfId="0" applyNumberFormat="1" applyFont="1" applyFill="1"/>
    <xf numFmtId="3" fontId="70" fillId="29" borderId="0" xfId="0" applyNumberFormat="1" applyFont="1" applyFill="1"/>
    <xf numFmtId="169" fontId="12" fillId="29" borderId="0" xfId="0" applyNumberFormat="1" applyFont="1" applyFill="1"/>
    <xf numFmtId="165" fontId="41" fillId="29" borderId="0" xfId="0" applyNumberFormat="1" applyFont="1" applyFill="1"/>
    <xf numFmtId="169" fontId="46" fillId="29" borderId="2" xfId="0" applyNumberFormat="1" applyFont="1" applyFill="1" applyBorder="1"/>
    <xf numFmtId="0" fontId="26" fillId="29" borderId="2" xfId="0" applyFont="1" applyFill="1" applyBorder="1"/>
    <xf numFmtId="0" fontId="41" fillId="29" borderId="0" xfId="0" applyNumberFormat="1" applyFont="1" applyFill="1"/>
    <xf numFmtId="2" fontId="41" fillId="29" borderId="0" xfId="0" applyNumberFormat="1" applyFont="1" applyFill="1"/>
    <xf numFmtId="0" fontId="70" fillId="0" borderId="0" xfId="0" applyNumberFormat="1" applyFont="1"/>
    <xf numFmtId="165" fontId="70" fillId="29" borderId="0" xfId="0" applyNumberFormat="1" applyFont="1" applyFill="1" applyBorder="1" applyAlignment="1"/>
    <xf numFmtId="169" fontId="70" fillId="29" borderId="0" xfId="0" applyNumberFormat="1" applyFont="1" applyFill="1"/>
    <xf numFmtId="169" fontId="41" fillId="29" borderId="0" xfId="0" applyNumberFormat="1" applyFont="1" applyFill="1"/>
    <xf numFmtId="0" fontId="46" fillId="29" borderId="2" xfId="0" applyNumberFormat="1" applyFont="1" applyFill="1" applyBorder="1"/>
    <xf numFmtId="0" fontId="46" fillId="0" borderId="2" xfId="0" applyNumberFormat="1" applyFont="1" applyBorder="1"/>
    <xf numFmtId="165" fontId="46" fillId="29" borderId="2" xfId="0" applyNumberFormat="1" applyFont="1" applyFill="1" applyBorder="1"/>
    <xf numFmtId="165" fontId="46" fillId="0" borderId="2" xfId="0" applyNumberFormat="1" applyFont="1" applyBorder="1"/>
    <xf numFmtId="169" fontId="26" fillId="29" borderId="2" xfId="0" applyNumberFormat="1" applyFont="1" applyFill="1" applyBorder="1"/>
    <xf numFmtId="169" fontId="46" fillId="29" borderId="19" xfId="0" applyNumberFormat="1" applyFont="1" applyFill="1" applyBorder="1"/>
    <xf numFmtId="169" fontId="46" fillId="0" borderId="19" xfId="0" applyNumberFormat="1" applyFont="1" applyBorder="1"/>
    <xf numFmtId="169" fontId="26" fillId="29" borderId="19" xfId="0" applyNumberFormat="1" applyFont="1" applyFill="1" applyBorder="1"/>
    <xf numFmtId="169" fontId="70" fillId="0" borderId="0" xfId="0" applyNumberFormat="1" applyFont="1" applyFill="1" applyBorder="1" applyAlignment="1"/>
    <xf numFmtId="169" fontId="46" fillId="29" borderId="23" xfId="0" applyNumberFormat="1" applyFont="1" applyFill="1" applyBorder="1"/>
    <xf numFmtId="169" fontId="46" fillId="0" borderId="23" xfId="0" applyNumberFormat="1" applyFont="1" applyBorder="1"/>
    <xf numFmtId="169" fontId="26" fillId="29" borderId="23" xfId="0" applyNumberFormat="1" applyFont="1" applyFill="1" applyBorder="1"/>
    <xf numFmtId="169" fontId="46" fillId="29" borderId="12" xfId="0" applyNumberFormat="1" applyFont="1" applyFill="1" applyBorder="1"/>
    <xf numFmtId="169" fontId="46" fillId="0" borderId="12" xfId="0" applyNumberFormat="1" applyFont="1" applyBorder="1"/>
    <xf numFmtId="169" fontId="26" fillId="29" borderId="12" xfId="0" applyNumberFormat="1" applyFont="1" applyFill="1" applyBorder="1"/>
    <xf numFmtId="0" fontId="75" fillId="0" borderId="0" xfId="0" applyFont="1" applyFill="1" applyBorder="1" applyAlignment="1">
      <alignment horizontal="center" vertical="center"/>
    </xf>
    <xf numFmtId="0" fontId="75" fillId="0" borderId="2" xfId="0" applyNumberFormat="1" applyFont="1" applyFill="1" applyBorder="1" applyAlignment="1">
      <alignment vertical="center"/>
    </xf>
    <xf numFmtId="0" fontId="76" fillId="29" borderId="2" xfId="0" applyFont="1" applyFill="1" applyBorder="1" applyAlignment="1">
      <alignment horizontal="right"/>
    </xf>
    <xf numFmtId="0" fontId="76" fillId="0" borderId="2" xfId="0" applyFont="1" applyBorder="1" applyAlignment="1">
      <alignment horizontal="right"/>
    </xf>
    <xf numFmtId="0" fontId="76" fillId="29" borderId="2" xfId="0" applyNumberFormat="1" applyFont="1" applyFill="1" applyBorder="1" applyAlignment="1">
      <alignment horizontal="right"/>
    </xf>
    <xf numFmtId="0" fontId="76" fillId="0" borderId="2" xfId="0" applyNumberFormat="1" applyFont="1" applyBorder="1" applyAlignment="1">
      <alignment horizontal="right"/>
    </xf>
    <xf numFmtId="0" fontId="76" fillId="12" borderId="2" xfId="0" applyFont="1" applyFill="1" applyBorder="1" applyAlignment="1">
      <alignment horizontal="right"/>
    </xf>
    <xf numFmtId="0" fontId="75" fillId="0" borderId="0" xfId="0" applyFont="1" applyFill="1" applyBorder="1"/>
    <xf numFmtId="0" fontId="75" fillId="0" borderId="0" xfId="0" applyFont="1"/>
    <xf numFmtId="0" fontId="75" fillId="29" borderId="0" xfId="0" applyFont="1" applyFill="1"/>
    <xf numFmtId="0" fontId="75" fillId="0" borderId="0" xfId="0" applyNumberFormat="1" applyFont="1"/>
    <xf numFmtId="165" fontId="77" fillId="0" borderId="0" xfId="0" applyNumberFormat="1" applyFont="1"/>
    <xf numFmtId="165" fontId="78" fillId="0" borderId="0" xfId="0" applyNumberFormat="1" applyFont="1"/>
    <xf numFmtId="165" fontId="78" fillId="29" borderId="0" xfId="0" applyNumberFormat="1" applyFont="1" applyFill="1"/>
    <xf numFmtId="165" fontId="79" fillId="29" borderId="0" xfId="0" applyNumberFormat="1" applyFont="1" applyFill="1"/>
    <xf numFmtId="165" fontId="79" fillId="0" borderId="0" xfId="0" applyNumberFormat="1" applyFont="1"/>
    <xf numFmtId="0" fontId="79" fillId="0" borderId="0" xfId="0" applyNumberFormat="1" applyFont="1"/>
    <xf numFmtId="0" fontId="75" fillId="0" borderId="0" xfId="0" applyFont="1" applyAlignment="1">
      <alignment horizontal="left" indent="1"/>
    </xf>
    <xf numFmtId="10" fontId="77" fillId="0" borderId="0" xfId="0" applyNumberFormat="1" applyFont="1"/>
    <xf numFmtId="10" fontId="78" fillId="0" borderId="0" xfId="0" applyNumberFormat="1" applyFont="1"/>
    <xf numFmtId="10" fontId="79" fillId="29" borderId="0" xfId="58" applyNumberFormat="1" applyFont="1" applyFill="1"/>
    <xf numFmtId="10" fontId="78" fillId="29" borderId="0" xfId="58" applyNumberFormat="1" applyFont="1" applyFill="1"/>
    <xf numFmtId="10" fontId="78" fillId="0" borderId="0" xfId="58" applyNumberFormat="1" applyFont="1"/>
    <xf numFmtId="0" fontId="77" fillId="0" borderId="0" xfId="0" applyNumberFormat="1" applyFont="1"/>
    <xf numFmtId="0" fontId="78" fillId="29" borderId="0" xfId="0" applyNumberFormat="1" applyFont="1" applyFill="1"/>
    <xf numFmtId="2" fontId="78" fillId="0" borderId="0" xfId="0" applyNumberFormat="1" applyFont="1"/>
    <xf numFmtId="0" fontId="78" fillId="0" borderId="0" xfId="0" applyNumberFormat="1" applyFont="1"/>
    <xf numFmtId="9" fontId="77" fillId="0" borderId="0" xfId="0" applyNumberFormat="1" applyFont="1"/>
    <xf numFmtId="166" fontId="79" fillId="29" borderId="0" xfId="58" applyNumberFormat="1" applyFont="1" applyFill="1"/>
    <xf numFmtId="166" fontId="78" fillId="29" borderId="0" xfId="58" applyNumberFormat="1" applyFont="1" applyFill="1"/>
    <xf numFmtId="9" fontId="78" fillId="0" borderId="0" xfId="0" applyNumberFormat="1" applyFont="1"/>
    <xf numFmtId="166" fontId="79" fillId="0" borderId="0" xfId="58" applyNumberFormat="1" applyFont="1"/>
    <xf numFmtId="166" fontId="78" fillId="0" borderId="0" xfId="58" applyNumberFormat="1" applyFont="1"/>
    <xf numFmtId="165" fontId="75" fillId="29" borderId="0" xfId="0" applyNumberFormat="1" applyFont="1" applyFill="1"/>
    <xf numFmtId="2" fontId="78" fillId="29" borderId="0" xfId="0" applyNumberFormat="1" applyFont="1" applyFill="1"/>
    <xf numFmtId="0" fontId="76" fillId="0" borderId="2" xfId="0" applyFont="1" applyFill="1" applyBorder="1"/>
    <xf numFmtId="0" fontId="75" fillId="29" borderId="2" xfId="0" applyFont="1" applyFill="1" applyBorder="1"/>
    <xf numFmtId="165" fontId="78" fillId="0" borderId="2" xfId="0" applyNumberFormat="1" applyFont="1" applyBorder="1"/>
    <xf numFmtId="165" fontId="75" fillId="29" borderId="2" xfId="0" applyNumberFormat="1" applyFont="1" applyFill="1" applyBorder="1"/>
    <xf numFmtId="165" fontId="78" fillId="29" borderId="2" xfId="0" applyNumberFormat="1" applyFont="1" applyFill="1" applyBorder="1"/>
    <xf numFmtId="165" fontId="75" fillId="0" borderId="2" xfId="0" applyNumberFormat="1" applyFont="1" applyBorder="1"/>
    <xf numFmtId="0" fontId="75" fillId="0" borderId="2" xfId="0" applyFont="1" applyBorder="1"/>
    <xf numFmtId="0" fontId="75" fillId="0" borderId="0" xfId="0" applyNumberFormat="1" applyFont="1" applyAlignment="1">
      <alignment vertical="center"/>
    </xf>
    <xf numFmtId="0" fontId="80" fillId="0" borderId="0" xfId="0" applyFont="1"/>
    <xf numFmtId="0" fontId="81" fillId="0" borderId="0" xfId="0" applyFont="1"/>
    <xf numFmtId="0" fontId="26" fillId="29" borderId="5" xfId="0" applyFont="1" applyFill="1" applyBorder="1" applyAlignment="1">
      <alignment horizontal="right"/>
    </xf>
    <xf numFmtId="0" fontId="26" fillId="29" borderId="5" xfId="0" applyNumberFormat="1" applyFont="1" applyFill="1" applyBorder="1" applyAlignment="1">
      <alignment horizontal="right"/>
    </xf>
    <xf numFmtId="0" fontId="26" fillId="29" borderId="0" xfId="0" applyNumberFormat="1" applyFont="1" applyFill="1" applyBorder="1" applyAlignment="1">
      <alignment horizontal="right"/>
    </xf>
    <xf numFmtId="0" fontId="26" fillId="29" borderId="1" xfId="0" applyFont="1" applyFill="1" applyBorder="1"/>
    <xf numFmtId="169" fontId="26" fillId="29" borderId="1" xfId="0" applyNumberFormat="1" applyFont="1" applyFill="1" applyBorder="1"/>
    <xf numFmtId="169" fontId="46" fillId="0" borderId="1" xfId="0" applyNumberFormat="1" applyFont="1" applyBorder="1"/>
    <xf numFmtId="169" fontId="46" fillId="29" borderId="1" xfId="0" applyNumberFormat="1" applyFont="1" applyFill="1" applyBorder="1"/>
    <xf numFmtId="165" fontId="46" fillId="29" borderId="1" xfId="0" applyNumberFormat="1" applyFont="1" applyFill="1" applyBorder="1"/>
    <xf numFmtId="165" fontId="46" fillId="0" borderId="1" xfId="0" applyNumberFormat="1" applyFont="1" applyBorder="1"/>
    <xf numFmtId="166" fontId="41" fillId="29" borderId="0" xfId="58" applyNumberFormat="1" applyFont="1" applyFill="1"/>
    <xf numFmtId="0" fontId="70" fillId="0" borderId="0" xfId="0" applyFont="1"/>
    <xf numFmtId="165" fontId="12" fillId="29" borderId="0" xfId="0" applyNumberFormat="1" applyFont="1" applyFill="1"/>
    <xf numFmtId="165" fontId="72" fillId="33" borderId="0" xfId="0" applyNumberFormat="1" applyFont="1" applyFill="1"/>
    <xf numFmtId="0" fontId="40" fillId="29" borderId="0" xfId="0" applyFont="1" applyFill="1"/>
    <xf numFmtId="9" fontId="40" fillId="29" borderId="0" xfId="0" applyNumberFormat="1" applyFont="1" applyFill="1"/>
    <xf numFmtId="9" fontId="73" fillId="0" borderId="0" xfId="0" applyNumberFormat="1" applyFont="1"/>
    <xf numFmtId="0" fontId="76" fillId="0" borderId="0" xfId="0" applyNumberFormat="1" applyFont="1" applyFill="1" applyBorder="1" applyAlignment="1">
      <alignment vertical="center"/>
    </xf>
    <xf numFmtId="0" fontId="12" fillId="29" borderId="0" xfId="0" applyFont="1" applyFill="1" applyBorder="1"/>
    <xf numFmtId="3" fontId="12" fillId="29" borderId="0" xfId="0" applyNumberFormat="1" applyFont="1" applyFill="1"/>
    <xf numFmtId="1" fontId="12" fillId="29" borderId="0" xfId="0" applyNumberFormat="1" applyFont="1" applyFill="1"/>
    <xf numFmtId="0" fontId="76" fillId="0" borderId="1" xfId="0" applyNumberFormat="1" applyFont="1" applyBorder="1"/>
    <xf numFmtId="165" fontId="82" fillId="29" borderId="1" xfId="0" applyNumberFormat="1" applyFont="1" applyFill="1" applyBorder="1"/>
    <xf numFmtId="169" fontId="82" fillId="29" borderId="1" xfId="0" applyNumberFormat="1" applyFont="1" applyFill="1" applyBorder="1"/>
    <xf numFmtId="3" fontId="82" fillId="0" borderId="1" xfId="0" applyNumberFormat="1" applyFont="1" applyBorder="1"/>
    <xf numFmtId="3" fontId="26" fillId="29" borderId="1" xfId="0" applyNumberFormat="1" applyFont="1" applyFill="1" applyBorder="1"/>
    <xf numFmtId="0" fontId="83" fillId="0" borderId="0" xfId="0" applyNumberFormat="1" applyFont="1" applyAlignment="1">
      <alignment horizontal="left" indent="1"/>
    </xf>
    <xf numFmtId="166" fontId="73" fillId="29" borderId="0" xfId="0" applyNumberFormat="1" applyFont="1" applyFill="1"/>
    <xf numFmtId="166" fontId="40" fillId="29" borderId="0" xfId="0" applyNumberFormat="1" applyFont="1" applyFill="1"/>
    <xf numFmtId="0" fontId="76" fillId="0" borderId="2" xfId="0" applyNumberFormat="1" applyFont="1" applyBorder="1"/>
    <xf numFmtId="0" fontId="82" fillId="29" borderId="2" xfId="0" applyFont="1" applyFill="1" applyBorder="1"/>
    <xf numFmtId="165" fontId="82" fillId="29" borderId="2" xfId="0" applyNumberFormat="1" applyFont="1" applyFill="1" applyBorder="1"/>
    <xf numFmtId="165" fontId="26" fillId="29" borderId="2" xfId="0" applyNumberFormat="1" applyFont="1" applyFill="1" applyBorder="1"/>
    <xf numFmtId="165" fontId="82" fillId="0" borderId="2" xfId="0" applyNumberFormat="1" applyFont="1" applyBorder="1"/>
    <xf numFmtId="0" fontId="75" fillId="0" borderId="0" xfId="0" applyNumberFormat="1" applyFont="1" applyAlignment="1">
      <alignment horizontal="left" indent="1"/>
    </xf>
    <xf numFmtId="3" fontId="76" fillId="0" borderId="2" xfId="0" applyNumberFormat="1" applyFont="1" applyBorder="1"/>
    <xf numFmtId="3" fontId="26" fillId="29" borderId="2" xfId="0" applyNumberFormat="1" applyFont="1" applyFill="1" applyBorder="1"/>
    <xf numFmtId="169" fontId="72" fillId="33" borderId="2" xfId="0" applyNumberFormat="1" applyFont="1" applyFill="1" applyBorder="1"/>
    <xf numFmtId="3" fontId="72" fillId="33" borderId="2" xfId="0" applyNumberFormat="1" applyFont="1" applyFill="1" applyBorder="1"/>
    <xf numFmtId="9" fontId="70" fillId="29" borderId="0" xfId="0" applyNumberFormat="1" applyFont="1" applyFill="1"/>
    <xf numFmtId="9" fontId="12" fillId="29" borderId="0" xfId="0" applyNumberFormat="1" applyFont="1" applyFill="1"/>
    <xf numFmtId="0" fontId="76" fillId="0" borderId="2" xfId="0" applyFont="1" applyBorder="1"/>
    <xf numFmtId="0" fontId="84" fillId="26" borderId="0" xfId="0" applyFont="1" applyFill="1" applyAlignment="1">
      <alignment horizontal="center"/>
    </xf>
    <xf numFmtId="0" fontId="66" fillId="33" borderId="24" xfId="50" applyFont="1" applyFill="1" applyBorder="1"/>
    <xf numFmtId="0" fontId="12" fillId="33" borderId="25" xfId="0" applyFont="1" applyFill="1" applyBorder="1"/>
    <xf numFmtId="9" fontId="12" fillId="33" borderId="26" xfId="0" applyNumberFormat="1" applyFont="1" applyFill="1" applyBorder="1"/>
    <xf numFmtId="0" fontId="66" fillId="33" borderId="27" xfId="50" applyFont="1" applyFill="1" applyBorder="1"/>
    <xf numFmtId="0" fontId="12" fillId="33" borderId="0" xfId="0" applyFont="1" applyFill="1" applyBorder="1"/>
    <xf numFmtId="9" fontId="70" fillId="33" borderId="28" xfId="0" applyNumberFormat="1" applyFont="1" applyFill="1" applyBorder="1"/>
    <xf numFmtId="9" fontId="12" fillId="33" borderId="28" xfId="0" applyNumberFormat="1" applyFont="1" applyFill="1" applyBorder="1"/>
    <xf numFmtId="1" fontId="12" fillId="33" borderId="28" xfId="0" applyNumberFormat="1" applyFont="1" applyFill="1" applyBorder="1"/>
    <xf numFmtId="0" fontId="12" fillId="33" borderId="27" xfId="0" applyFont="1" applyFill="1" applyBorder="1"/>
    <xf numFmtId="0" fontId="26" fillId="33" borderId="27" xfId="0" applyFont="1" applyFill="1" applyBorder="1"/>
    <xf numFmtId="3" fontId="12" fillId="33" borderId="28" xfId="0" applyNumberFormat="1" applyFont="1" applyFill="1" applyBorder="1"/>
    <xf numFmtId="0" fontId="26" fillId="33" borderId="29" xfId="0" applyFont="1" applyFill="1" applyBorder="1"/>
    <xf numFmtId="0" fontId="12" fillId="33" borderId="5" xfId="0" applyFont="1" applyFill="1" applyBorder="1"/>
    <xf numFmtId="165" fontId="12" fillId="33" borderId="30" xfId="0" applyNumberFormat="1" applyFont="1" applyFill="1" applyBorder="1"/>
    <xf numFmtId="0" fontId="26" fillId="33" borderId="0" xfId="0" applyFont="1" applyFill="1"/>
    <xf numFmtId="0" fontId="76" fillId="33" borderId="0" xfId="0" applyFont="1" applyFill="1"/>
    <xf numFmtId="165" fontId="12" fillId="30" borderId="0" xfId="0" applyNumberFormat="1" applyFont="1" applyFill="1"/>
    <xf numFmtId="0" fontId="75" fillId="0" borderId="0" xfId="0" applyFont="1" applyAlignment="1">
      <alignment horizontal="left"/>
    </xf>
    <xf numFmtId="0" fontId="75" fillId="0" borderId="5" xfId="0" applyNumberFormat="1" applyFont="1" applyFill="1" applyBorder="1" applyAlignment="1">
      <alignment vertical="center"/>
    </xf>
    <xf numFmtId="0" fontId="76" fillId="29" borderId="5" xfId="0" applyNumberFormat="1" applyFont="1" applyFill="1" applyBorder="1" applyAlignment="1">
      <alignment horizontal="right"/>
    </xf>
    <xf numFmtId="0" fontId="76" fillId="29" borderId="5" xfId="0" applyFont="1" applyFill="1" applyBorder="1" applyAlignment="1">
      <alignment horizontal="right"/>
    </xf>
    <xf numFmtId="0" fontId="76" fillId="0" borderId="5" xfId="0" applyFont="1" applyBorder="1" applyAlignment="1">
      <alignment horizontal="right"/>
    </xf>
    <xf numFmtId="0" fontId="76" fillId="12" borderId="5" xfId="0" applyFont="1" applyFill="1" applyBorder="1" applyAlignment="1">
      <alignment horizontal="right"/>
    </xf>
    <xf numFmtId="0" fontId="76" fillId="0" borderId="5" xfId="0" applyNumberFormat="1" applyFont="1" applyBorder="1" applyAlignment="1">
      <alignment horizontal="right"/>
    </xf>
    <xf numFmtId="0" fontId="77" fillId="29" borderId="0" xfId="0" applyFont="1" applyFill="1"/>
    <xf numFmtId="165" fontId="75" fillId="0" borderId="0" xfId="0" applyNumberFormat="1" applyFont="1"/>
    <xf numFmtId="165" fontId="77" fillId="29" borderId="0" xfId="0" applyNumberFormat="1" applyFont="1" applyFill="1"/>
    <xf numFmtId="0" fontId="76" fillId="0" borderId="1" xfId="0" applyNumberFormat="1" applyFont="1" applyBorder="1" applyAlignment="1">
      <alignment horizontal="left"/>
    </xf>
    <xf numFmtId="165" fontId="76" fillId="29" borderId="1" xfId="0" applyNumberFormat="1" applyFont="1" applyFill="1" applyBorder="1"/>
    <xf numFmtId="165" fontId="76" fillId="0" borderId="1" xfId="0" applyNumberFormat="1" applyFont="1" applyBorder="1"/>
    <xf numFmtId="0" fontId="83" fillId="0" borderId="0" xfId="0" applyFont="1"/>
    <xf numFmtId="165" fontId="83" fillId="29" borderId="0" xfId="0" applyNumberFormat="1" applyFont="1" applyFill="1"/>
    <xf numFmtId="9" fontId="83" fillId="29" borderId="0" xfId="58" applyFont="1" applyFill="1"/>
    <xf numFmtId="9" fontId="85" fillId="0" borderId="0" xfId="58" applyFont="1"/>
    <xf numFmtId="9" fontId="83" fillId="29" borderId="0" xfId="0" applyNumberFormat="1" applyFont="1" applyFill="1"/>
    <xf numFmtId="9" fontId="83" fillId="0" borderId="0" xfId="58" applyFont="1"/>
    <xf numFmtId="165" fontId="83" fillId="0" borderId="0" xfId="0" applyNumberFormat="1" applyFont="1"/>
    <xf numFmtId="165" fontId="86" fillId="0" borderId="0" xfId="0" applyNumberFormat="1" applyFont="1"/>
    <xf numFmtId="0" fontId="86" fillId="0" borderId="0" xfId="0" applyNumberFormat="1" applyFont="1"/>
    <xf numFmtId="165" fontId="87" fillId="33" borderId="1" xfId="0" applyNumberFormat="1" applyFont="1" applyFill="1" applyBorder="1"/>
    <xf numFmtId="165" fontId="88" fillId="0" borderId="1" xfId="0" applyNumberFormat="1" applyFont="1" applyBorder="1"/>
    <xf numFmtId="165" fontId="88" fillId="29" borderId="1" xfId="0" applyNumberFormat="1" applyFont="1" applyFill="1" applyBorder="1"/>
    <xf numFmtId="165" fontId="76" fillId="29" borderId="2" xfId="0" applyNumberFormat="1" applyFont="1" applyFill="1" applyBorder="1"/>
    <xf numFmtId="165" fontId="87" fillId="33" borderId="2" xfId="58" applyNumberFormat="1" applyFont="1" applyFill="1" applyBorder="1"/>
    <xf numFmtId="165" fontId="88" fillId="0" borderId="2" xfId="0" applyNumberFormat="1" applyFont="1" applyBorder="1"/>
    <xf numFmtId="165" fontId="76" fillId="0" borderId="2" xfId="0" applyNumberFormat="1" applyFont="1" applyBorder="1"/>
    <xf numFmtId="0" fontId="76" fillId="29" borderId="2" xfId="0" applyFont="1" applyFill="1" applyBorder="1"/>
    <xf numFmtId="165" fontId="88" fillId="29" borderId="2" xfId="0" applyNumberFormat="1" applyFont="1" applyFill="1" applyBorder="1"/>
    <xf numFmtId="165" fontId="75" fillId="30" borderId="0" xfId="0" applyNumberFormat="1" applyFont="1" applyFill="1"/>
    <xf numFmtId="0" fontId="26" fillId="34" borderId="1" xfId="0" applyFont="1" applyFill="1" applyBorder="1"/>
    <xf numFmtId="0" fontId="12" fillId="34" borderId="1" xfId="0" applyFont="1" applyFill="1" applyBorder="1"/>
    <xf numFmtId="2" fontId="41" fillId="29" borderId="5" xfId="0" applyNumberFormat="1" applyFont="1" applyFill="1" applyBorder="1"/>
    <xf numFmtId="0" fontId="12" fillId="29" borderId="5" xfId="0" applyFont="1" applyFill="1" applyBorder="1"/>
    <xf numFmtId="3" fontId="41" fillId="29" borderId="0" xfId="0" applyNumberFormat="1" applyFont="1" applyFill="1"/>
    <xf numFmtId="9" fontId="12" fillId="29" borderId="0" xfId="58" applyFont="1" applyFill="1"/>
    <xf numFmtId="1" fontId="26" fillId="29" borderId="2" xfId="0" applyNumberFormat="1" applyFont="1" applyFill="1" applyBorder="1"/>
    <xf numFmtId="9" fontId="73" fillId="0" borderId="0" xfId="58" applyNumberFormat="1" applyFont="1" applyAlignment="1">
      <alignment horizontal="right"/>
    </xf>
    <xf numFmtId="0" fontId="40" fillId="29" borderId="0" xfId="0" applyFont="1" applyFill="1" applyAlignment="1">
      <alignment horizontal="left" indent="1"/>
    </xf>
    <xf numFmtId="165" fontId="40" fillId="29" borderId="0" xfId="0" applyNumberFormat="1" applyFont="1" applyFill="1" applyAlignment="1">
      <alignment horizontal="left" indent="1"/>
    </xf>
    <xf numFmtId="9" fontId="26" fillId="29" borderId="2" xfId="58" applyFont="1" applyFill="1" applyBorder="1"/>
    <xf numFmtId="0" fontId="26" fillId="35" borderId="1" xfId="0" applyFont="1" applyFill="1" applyBorder="1"/>
    <xf numFmtId="0" fontId="12" fillId="35" borderId="1" xfId="0" applyFont="1" applyFill="1" applyBorder="1"/>
    <xf numFmtId="3" fontId="70" fillId="0" borderId="0" xfId="0" applyNumberFormat="1" applyFont="1"/>
    <xf numFmtId="0" fontId="75" fillId="0" borderId="0" xfId="52" applyFont="1"/>
    <xf numFmtId="0" fontId="89" fillId="25" borderId="21" xfId="51" applyFont="1" applyFill="1" applyBorder="1"/>
    <xf numFmtId="0" fontId="89" fillId="25" borderId="2" xfId="51" quotePrefix="1" applyFont="1" applyFill="1" applyBorder="1" applyAlignment="1">
      <alignment horizontal="center"/>
    </xf>
    <xf numFmtId="0" fontId="89" fillId="25" borderId="2" xfId="51" quotePrefix="1" applyFont="1" applyFill="1" applyBorder="1" applyAlignment="1">
      <alignment horizontal="right"/>
    </xf>
    <xf numFmtId="0" fontId="89" fillId="25" borderId="2" xfId="51" applyFont="1" applyFill="1" applyBorder="1" applyAlignment="1">
      <alignment horizontal="right"/>
    </xf>
    <xf numFmtId="181" fontId="89" fillId="25" borderId="2" xfId="51" applyNumberFormat="1" applyFont="1" applyFill="1" applyBorder="1"/>
    <xf numFmtId="0" fontId="89" fillId="25" borderId="0" xfId="51" applyFont="1" applyFill="1" applyBorder="1"/>
    <xf numFmtId="0" fontId="89" fillId="25" borderId="0" xfId="51" quotePrefix="1" applyFont="1" applyFill="1" applyBorder="1" applyAlignment="1">
      <alignment horizontal="center"/>
    </xf>
    <xf numFmtId="0" fontId="89" fillId="25" borderId="0" xfId="51" quotePrefix="1" applyFont="1" applyFill="1" applyBorder="1" applyAlignment="1">
      <alignment horizontal="right"/>
    </xf>
    <xf numFmtId="0" fontId="89" fillId="25" borderId="0" xfId="51" applyFont="1" applyFill="1" applyBorder="1" applyAlignment="1">
      <alignment horizontal="right"/>
    </xf>
    <xf numFmtId="181" fontId="89" fillId="25" borderId="0" xfId="51" applyNumberFormat="1" applyFont="1" applyFill="1" applyBorder="1"/>
    <xf numFmtId="0" fontId="89" fillId="25" borderId="0" xfId="52" applyFont="1" applyFill="1"/>
    <xf numFmtId="3" fontId="75" fillId="0" borderId="0" xfId="52" applyNumberFormat="1" applyFont="1"/>
    <xf numFmtId="0" fontId="89" fillId="24" borderId="0" xfId="52" applyFont="1" applyFill="1"/>
    <xf numFmtId="165" fontId="75" fillId="0" borderId="0" xfId="52" applyNumberFormat="1" applyFont="1"/>
    <xf numFmtId="10" fontId="75" fillId="0" borderId="0" xfId="58" applyNumberFormat="1" applyFont="1"/>
    <xf numFmtId="0" fontId="76" fillId="0" borderId="2" xfId="52" applyFont="1" applyBorder="1"/>
    <xf numFmtId="3" fontId="75" fillId="0" borderId="2" xfId="52" applyNumberFormat="1" applyFont="1" applyBorder="1"/>
    <xf numFmtId="10" fontId="75" fillId="0" borderId="0" xfId="52" applyNumberFormat="1" applyFont="1" applyBorder="1"/>
    <xf numFmtId="3" fontId="75" fillId="0" borderId="1" xfId="52" applyNumberFormat="1" applyFont="1" applyBorder="1"/>
    <xf numFmtId="166" fontId="77" fillId="0" borderId="0" xfId="52" applyNumberFormat="1" applyFont="1" applyBorder="1"/>
    <xf numFmtId="166" fontId="75" fillId="0" borderId="0" xfId="58" applyNumberFormat="1" applyFont="1" applyBorder="1"/>
    <xf numFmtId="166" fontId="75" fillId="0" borderId="0" xfId="52" applyNumberFormat="1" applyFont="1" applyBorder="1"/>
    <xf numFmtId="166" fontId="77" fillId="0" borderId="0" xfId="52" applyNumberFormat="1" applyFont="1"/>
    <xf numFmtId="166" fontId="75" fillId="0" borderId="0" xfId="52" applyNumberFormat="1" applyFont="1"/>
    <xf numFmtId="3" fontId="75" fillId="0" borderId="0" xfId="52" applyNumberFormat="1" applyFont="1" applyBorder="1"/>
    <xf numFmtId="9" fontId="75" fillId="0" borderId="0" xfId="52" applyNumberFormat="1" applyFont="1"/>
    <xf numFmtId="166" fontId="75" fillId="0" borderId="4" xfId="58" applyNumberFormat="1" applyFont="1" applyBorder="1"/>
    <xf numFmtId="0" fontId="76" fillId="0" borderId="0" xfId="52" applyFont="1" applyBorder="1"/>
    <xf numFmtId="10" fontId="75" fillId="0" borderId="0" xfId="58" applyNumberFormat="1" applyFont="1" applyBorder="1"/>
    <xf numFmtId="0" fontId="90" fillId="0" borderId="0" xfId="52" applyFont="1"/>
    <xf numFmtId="2" fontId="75" fillId="0" borderId="0" xfId="52" applyNumberFormat="1" applyFont="1" applyAlignment="1">
      <alignment horizontal="center"/>
    </xf>
    <xf numFmtId="2" fontId="75" fillId="0" borderId="0" xfId="52" quotePrefix="1" applyNumberFormat="1" applyFont="1" applyBorder="1" applyAlignment="1">
      <alignment horizontal="center"/>
    </xf>
    <xf numFmtId="3" fontId="75" fillId="0" borderId="0" xfId="52" quotePrefix="1" applyNumberFormat="1" applyFont="1" applyBorder="1" applyAlignment="1">
      <alignment horizontal="right"/>
    </xf>
    <xf numFmtId="0" fontId="75" fillId="0" borderId="0" xfId="52" applyFont="1" applyBorder="1"/>
    <xf numFmtId="176" fontId="75" fillId="0" borderId="0" xfId="52" applyNumberFormat="1" applyFont="1"/>
    <xf numFmtId="10" fontId="75" fillId="0" borderId="0" xfId="52" applyNumberFormat="1" applyFont="1"/>
    <xf numFmtId="0" fontId="75" fillId="0" borderId="0" xfId="52" applyFont="1" applyFill="1" applyBorder="1"/>
    <xf numFmtId="2" fontId="75" fillId="0" borderId="0" xfId="52" applyNumberFormat="1" applyFont="1" applyFill="1" applyBorder="1" applyAlignment="1">
      <alignment horizontal="center"/>
    </xf>
    <xf numFmtId="9" fontId="75" fillId="0" borderId="0" xfId="52" applyNumberFormat="1" applyFont="1" applyFill="1" applyBorder="1"/>
    <xf numFmtId="166" fontId="75" fillId="0" borderId="0" xfId="52" applyNumberFormat="1" applyFont="1" applyFill="1" applyBorder="1"/>
    <xf numFmtId="166" fontId="77" fillId="0" borderId="0" xfId="52" applyNumberFormat="1" applyFont="1" applyFill="1" applyBorder="1"/>
    <xf numFmtId="0" fontId="89" fillId="0" borderId="0" xfId="51" quotePrefix="1" applyFont="1" applyFill="1" applyBorder="1" applyAlignment="1">
      <alignment horizontal="center"/>
    </xf>
    <xf numFmtId="166" fontId="76" fillId="0" borderId="0" xfId="58" quotePrefix="1" applyNumberFormat="1" applyFont="1" applyFill="1" applyBorder="1" applyAlignment="1">
      <alignment horizontal="center"/>
    </xf>
    <xf numFmtId="0" fontId="89" fillId="0" borderId="0" xfId="51" quotePrefix="1" applyFont="1" applyFill="1" applyBorder="1" applyAlignment="1">
      <alignment horizontal="right"/>
    </xf>
    <xf numFmtId="9" fontId="75" fillId="0" borderId="0" xfId="51" quotePrefix="1" applyNumberFormat="1" applyFont="1" applyFill="1" applyBorder="1" applyAlignment="1">
      <alignment horizontal="right"/>
    </xf>
    <xf numFmtId="181" fontId="89" fillId="0" borderId="0" xfId="51" applyNumberFormat="1" applyFont="1" applyFill="1" applyBorder="1"/>
    <xf numFmtId="0" fontId="76" fillId="0" borderId="0" xfId="52" applyFont="1" applyFill="1" applyBorder="1"/>
    <xf numFmtId="0" fontId="75" fillId="0" borderId="0" xfId="52" applyFont="1" applyBorder="1" applyAlignment="1">
      <alignment horizontal="right"/>
    </xf>
    <xf numFmtId="9" fontId="75" fillId="0" borderId="0" xfId="58" applyFont="1" applyBorder="1"/>
    <xf numFmtId="4" fontId="75" fillId="22" borderId="0" xfId="52" applyNumberFormat="1" applyFont="1" applyFill="1"/>
    <xf numFmtId="4" fontId="75" fillId="0" borderId="0" xfId="52" applyNumberFormat="1" applyFont="1"/>
    <xf numFmtId="169" fontId="75" fillId="0" borderId="0" xfId="52" applyNumberFormat="1" applyFont="1"/>
    <xf numFmtId="169" fontId="77" fillId="0" borderId="0" xfId="52" applyNumberFormat="1" applyFont="1"/>
    <xf numFmtId="9" fontId="75" fillId="0" borderId="0" xfId="58" applyFont="1"/>
    <xf numFmtId="6" fontId="75" fillId="0" borderId="0" xfId="52" applyNumberFormat="1" applyFont="1"/>
    <xf numFmtId="6" fontId="75" fillId="22" borderId="0" xfId="52" applyNumberFormat="1" applyFont="1" applyFill="1"/>
    <xf numFmtId="166" fontId="75" fillId="0" borderId="0" xfId="58" applyNumberFormat="1" applyFont="1"/>
    <xf numFmtId="10" fontId="75" fillId="22" borderId="0" xfId="52" applyNumberFormat="1" applyFont="1" applyFill="1"/>
    <xf numFmtId="0" fontId="76" fillId="0" borderId="19" xfId="52" applyFont="1" applyFill="1" applyBorder="1"/>
    <xf numFmtId="0" fontId="75" fillId="0" borderId="19" xfId="52" applyFont="1" applyBorder="1"/>
    <xf numFmtId="173" fontId="76" fillId="0" borderId="19" xfId="52" applyNumberFormat="1" applyFont="1" applyBorder="1"/>
    <xf numFmtId="171" fontId="76" fillId="0" borderId="19" xfId="52" applyNumberFormat="1" applyFont="1" applyBorder="1"/>
    <xf numFmtId="6" fontId="76" fillId="0" borderId="19" xfId="52" applyNumberFormat="1" applyFont="1" applyBorder="1"/>
    <xf numFmtId="173" fontId="76" fillId="0" borderId="0" xfId="52" applyNumberFormat="1" applyFont="1" applyBorder="1"/>
    <xf numFmtId="171" fontId="76" fillId="0" borderId="0" xfId="52" applyNumberFormat="1" applyFont="1" applyBorder="1"/>
    <xf numFmtId="6" fontId="76" fillId="0" borderId="0" xfId="52" applyNumberFormat="1" applyFont="1" applyBorder="1"/>
    <xf numFmtId="41" fontId="76" fillId="0" borderId="0" xfId="52" applyNumberFormat="1" applyFont="1" applyBorder="1"/>
    <xf numFmtId="185" fontId="76" fillId="22" borderId="0" xfId="52" applyNumberFormat="1" applyFont="1" applyFill="1" applyBorder="1"/>
    <xf numFmtId="180" fontId="76" fillId="0" borderId="0" xfId="52" applyNumberFormat="1" applyFont="1" applyBorder="1"/>
    <xf numFmtId="0" fontId="75" fillId="0" borderId="0" xfId="52" applyFont="1" applyFill="1"/>
    <xf numFmtId="180" fontId="75" fillId="0" borderId="0" xfId="52" applyNumberFormat="1" applyFont="1"/>
    <xf numFmtId="182" fontId="75" fillId="0" borderId="0" xfId="52" applyNumberFormat="1" applyFont="1"/>
    <xf numFmtId="173" fontId="76" fillId="0" borderId="0" xfId="52" applyNumberFormat="1" applyFont="1" applyFill="1" applyBorder="1"/>
    <xf numFmtId="173" fontId="92" fillId="0" borderId="0" xfId="52" applyNumberFormat="1" applyFont="1" applyFill="1" applyBorder="1"/>
    <xf numFmtId="180" fontId="76" fillId="0" borderId="0" xfId="52" applyNumberFormat="1" applyFont="1" applyFill="1" applyBorder="1"/>
    <xf numFmtId="166" fontId="77" fillId="0" borderId="4" xfId="58" applyNumberFormat="1" applyFont="1" applyBorder="1"/>
    <xf numFmtId="176" fontId="75" fillId="0" borderId="0" xfId="58" applyNumberFormat="1" applyFont="1" applyBorder="1"/>
    <xf numFmtId="9" fontId="91" fillId="22" borderId="0" xfId="52" applyNumberFormat="1" applyFont="1" applyFill="1"/>
    <xf numFmtId="9" fontId="77" fillId="0" borderId="0" xfId="52" applyNumberFormat="1" applyFont="1" applyFill="1" applyBorder="1"/>
    <xf numFmtId="10" fontId="75" fillId="0" borderId="0" xfId="52" applyNumberFormat="1" applyFont="1" applyFill="1" applyBorder="1"/>
    <xf numFmtId="177" fontId="75" fillId="0" borderId="0" xfId="52" applyNumberFormat="1" applyFont="1" applyFill="1" applyBorder="1"/>
    <xf numFmtId="183" fontId="75" fillId="0" borderId="0" xfId="52" applyNumberFormat="1" applyFont="1"/>
    <xf numFmtId="184" fontId="75" fillId="0" borderId="0" xfId="52" applyNumberFormat="1" applyFont="1"/>
    <xf numFmtId="0" fontId="76" fillId="0" borderId="0" xfId="0" applyFont="1"/>
    <xf numFmtId="0" fontId="76" fillId="0" borderId="0" xfId="0" applyFont="1" applyAlignment="1">
      <alignment horizontal="right"/>
    </xf>
    <xf numFmtId="0" fontId="75" fillId="0" borderId="0" xfId="0" applyFont="1" applyAlignment="1">
      <alignment horizontal="right"/>
    </xf>
    <xf numFmtId="0" fontId="76" fillId="33" borderId="0" xfId="0" applyFont="1" applyFill="1" applyAlignment="1">
      <alignment horizontal="right"/>
    </xf>
    <xf numFmtId="3" fontId="77" fillId="0" borderId="0" xfId="0" applyNumberFormat="1" applyFont="1"/>
    <xf numFmtId="3" fontId="75" fillId="0" borderId="0" xfId="0" applyNumberFormat="1" applyFont="1"/>
    <xf numFmtId="0" fontId="77" fillId="0" borderId="0" xfId="0" applyFont="1"/>
    <xf numFmtId="0" fontId="75" fillId="0" borderId="1" xfId="0" applyFont="1" applyBorder="1"/>
    <xf numFmtId="0" fontId="75" fillId="0" borderId="1" xfId="0" applyFont="1" applyBorder="1" applyAlignment="1">
      <alignment horizontal="right"/>
    </xf>
    <xf numFmtId="3" fontId="75" fillId="0" borderId="1" xfId="0" applyNumberFormat="1" applyFont="1" applyBorder="1" applyAlignment="1">
      <alignment horizontal="right"/>
    </xf>
    <xf numFmtId="9" fontId="76" fillId="33" borderId="0" xfId="58" applyFont="1" applyFill="1"/>
    <xf numFmtId="0" fontId="77" fillId="0" borderId="0" xfId="0" applyFont="1" applyAlignment="1">
      <alignment horizontal="right"/>
    </xf>
    <xf numFmtId="1" fontId="75" fillId="0" borderId="0" xfId="0" applyNumberFormat="1" applyFont="1"/>
    <xf numFmtId="0" fontId="75" fillId="0" borderId="1" xfId="0" applyFont="1" applyBorder="1" applyAlignment="1">
      <alignment horizontal="left" indent="1"/>
    </xf>
    <xf numFmtId="9" fontId="75" fillId="0" borderId="0" xfId="0" applyNumberFormat="1" applyFont="1"/>
    <xf numFmtId="3" fontId="75" fillId="0" borderId="0" xfId="0" applyNumberFormat="1" applyFont="1" applyAlignment="1">
      <alignment horizontal="right"/>
    </xf>
    <xf numFmtId="10" fontId="91" fillId="36" borderId="0" xfId="52" applyNumberFormat="1" applyFont="1" applyFill="1"/>
    <xf numFmtId="0" fontId="12" fillId="0" borderId="0" xfId="52" applyFont="1" applyFill="1"/>
    <xf numFmtId="0" fontId="26" fillId="0" borderId="19" xfId="52" applyFont="1" applyFill="1" applyBorder="1"/>
    <xf numFmtId="0" fontId="12" fillId="0" borderId="0" xfId="52" applyFont="1" applyFill="1" applyAlignment="1">
      <alignment horizontal="center"/>
    </xf>
    <xf numFmtId="0" fontId="93" fillId="27" borderId="0" xfId="52" applyFont="1" applyFill="1" applyAlignment="1">
      <alignment horizontal="center"/>
    </xf>
    <xf numFmtId="0" fontId="26" fillId="0" borderId="21" xfId="51" applyFont="1" applyFill="1" applyBorder="1"/>
    <xf numFmtId="0" fontId="26" fillId="0" borderId="2" xfId="51" quotePrefix="1" applyFont="1" applyFill="1" applyBorder="1" applyAlignment="1">
      <alignment horizontal="center"/>
    </xf>
    <xf numFmtId="0" fontId="26" fillId="0" borderId="2" xfId="51" quotePrefix="1" applyFont="1" applyFill="1" applyBorder="1" applyAlignment="1">
      <alignment horizontal="right"/>
    </xf>
    <xf numFmtId="181" fontId="26" fillId="0" borderId="2" xfId="51" applyNumberFormat="1" applyFont="1" applyFill="1" applyBorder="1"/>
    <xf numFmtId="0" fontId="49" fillId="0" borderId="0" xfId="52" applyFont="1" applyFill="1"/>
    <xf numFmtId="3" fontId="12" fillId="0" borderId="0" xfId="52" applyNumberFormat="1" applyFont="1" applyFill="1"/>
    <xf numFmtId="166" fontId="12" fillId="0" borderId="0" xfId="52" applyNumberFormat="1" applyFont="1" applyFill="1"/>
    <xf numFmtId="9" fontId="12" fillId="0" borderId="0" xfId="52" applyNumberFormat="1" applyFont="1" applyFill="1"/>
    <xf numFmtId="3" fontId="26" fillId="0" borderId="19" xfId="52" applyNumberFormat="1" applyFont="1" applyFill="1" applyBorder="1"/>
    <xf numFmtId="0" fontId="26" fillId="0" borderId="0" xfId="52" applyFont="1" applyFill="1" applyBorder="1"/>
    <xf numFmtId="166" fontId="26" fillId="0" borderId="0" xfId="58" applyNumberFormat="1" applyFont="1" applyFill="1" applyBorder="1"/>
    <xf numFmtId="0" fontId="94" fillId="0" borderId="0" xfId="52" applyFont="1" applyFill="1"/>
    <xf numFmtId="10" fontId="12" fillId="0" borderId="0" xfId="52" applyNumberFormat="1" applyFont="1" applyFill="1" applyBorder="1"/>
    <xf numFmtId="9" fontId="12" fillId="0" borderId="0" xfId="52" applyNumberFormat="1" applyFont="1" applyFill="1" applyBorder="1"/>
    <xf numFmtId="0" fontId="26" fillId="0" borderId="0" xfId="52" applyFont="1" applyFill="1"/>
    <xf numFmtId="0" fontId="26" fillId="27" borderId="0" xfId="52" applyFont="1" applyFill="1" applyAlignment="1">
      <alignment horizontal="left" indent="1"/>
    </xf>
    <xf numFmtId="10" fontId="12" fillId="27" borderId="0" xfId="52" applyNumberFormat="1" applyFont="1" applyFill="1" applyBorder="1"/>
    <xf numFmtId="9" fontId="12" fillId="27" borderId="0" xfId="52" applyNumberFormat="1" applyFont="1" applyFill="1" applyBorder="1"/>
    <xf numFmtId="9" fontId="70" fillId="27" borderId="0" xfId="52" applyNumberFormat="1" applyFont="1" applyFill="1" applyBorder="1"/>
    <xf numFmtId="0" fontId="26" fillId="27" borderId="0" xfId="52" applyFont="1" applyFill="1"/>
    <xf numFmtId="9" fontId="93" fillId="27" borderId="0" xfId="52" applyNumberFormat="1" applyFont="1" applyFill="1" applyBorder="1"/>
    <xf numFmtId="0" fontId="12" fillId="0" borderId="0" xfId="52" applyFont="1" applyFill="1" applyBorder="1" applyAlignment="1">
      <alignment horizontal="left"/>
    </xf>
    <xf numFmtId="0" fontId="12" fillId="0" borderId="0" xfId="52" applyFont="1" applyFill="1" applyBorder="1"/>
    <xf numFmtId="169" fontId="70" fillId="0" borderId="0" xfId="52" applyNumberFormat="1" applyFont="1" applyFill="1"/>
    <xf numFmtId="169" fontId="12" fillId="0" borderId="0" xfId="52" applyNumberFormat="1" applyFont="1" applyFill="1"/>
    <xf numFmtId="6" fontId="12" fillId="0" borderId="0" xfId="52" applyNumberFormat="1" applyFont="1" applyFill="1"/>
    <xf numFmtId="8" fontId="26" fillId="0" borderId="19" xfId="52" applyNumberFormat="1" applyFont="1" applyFill="1" applyBorder="1"/>
    <xf numFmtId="6" fontId="26" fillId="0" borderId="19" xfId="52" applyNumberFormat="1" applyFont="1" applyFill="1" applyBorder="1"/>
    <xf numFmtId="3" fontId="26" fillId="0" borderId="0" xfId="52" applyNumberFormat="1" applyFont="1" applyFill="1" applyBorder="1"/>
    <xf numFmtId="0" fontId="12" fillId="27" borderId="0" xfId="53" applyFont="1" applyFill="1" applyAlignment="1">
      <alignment horizontal="left"/>
    </xf>
    <xf numFmtId="1" fontId="34" fillId="27" borderId="0" xfId="53" applyNumberFormat="1" applyFont="1" applyFill="1"/>
    <xf numFmtId="0" fontId="34" fillId="27" borderId="0" xfId="53" applyFont="1" applyFill="1" applyAlignment="1">
      <alignment horizontal="center"/>
    </xf>
    <xf numFmtId="9" fontId="34" fillId="27" borderId="0" xfId="53" applyNumberFormat="1" applyFont="1" applyFill="1" applyAlignment="1">
      <alignment horizontal="center"/>
    </xf>
    <xf numFmtId="0" fontId="34" fillId="27" borderId="0" xfId="53" applyFont="1" applyFill="1"/>
    <xf numFmtId="0" fontId="34" fillId="27" borderId="0" xfId="53" applyFont="1" applyFill="1" applyBorder="1"/>
    <xf numFmtId="0" fontId="40" fillId="27" borderId="0" xfId="53" applyFont="1" applyFill="1" applyAlignment="1">
      <alignment horizontal="right"/>
    </xf>
    <xf numFmtId="9" fontId="40" fillId="27" borderId="0" xfId="58" applyFont="1" applyFill="1"/>
    <xf numFmtId="9" fontId="34" fillId="27" borderId="0" xfId="58" applyFont="1" applyFill="1" applyAlignment="1">
      <alignment horizontal="center"/>
    </xf>
    <xf numFmtId="166" fontId="95" fillId="27" borderId="0" xfId="53" applyNumberFormat="1" applyFont="1" applyFill="1"/>
    <xf numFmtId="0" fontId="93" fillId="27" borderId="0" xfId="53" applyFont="1" applyFill="1" applyAlignment="1">
      <alignment horizontal="center"/>
    </xf>
    <xf numFmtId="9" fontId="34" fillId="27" borderId="0" xfId="58" applyFont="1" applyFill="1"/>
    <xf numFmtId="9" fontId="34" fillId="27" borderId="0" xfId="58" applyFont="1" applyFill="1" applyAlignment="1"/>
    <xf numFmtId="166" fontId="12" fillId="0" borderId="0" xfId="58" applyNumberFormat="1" applyFont="1" applyFill="1"/>
    <xf numFmtId="1" fontId="75" fillId="0" borderId="0" xfId="52" applyNumberFormat="1" applyFont="1"/>
    <xf numFmtId="166" fontId="41" fillId="0" borderId="0" xfId="58" applyNumberFormat="1" applyFont="1" applyFill="1" applyBorder="1"/>
    <xf numFmtId="0" fontId="75" fillId="0" borderId="4" xfId="0" applyFont="1" applyBorder="1"/>
    <xf numFmtId="1" fontId="75" fillId="0" borderId="4" xfId="0" applyNumberFormat="1" applyFont="1" applyBorder="1"/>
    <xf numFmtId="0" fontId="83" fillId="0" borderId="0" xfId="0" applyFont="1" applyAlignment="1">
      <alignment horizontal="left" indent="1"/>
    </xf>
    <xf numFmtId="0" fontId="76" fillId="0" borderId="19" xfId="0" applyFont="1" applyBorder="1"/>
    <xf numFmtId="171" fontId="75" fillId="0" borderId="2" xfId="0" applyNumberFormat="1" applyFont="1" applyBorder="1"/>
    <xf numFmtId="0" fontId="40" fillId="27" borderId="0" xfId="53" applyFont="1" applyFill="1" applyAlignment="1">
      <alignment horizontal="left" indent="1"/>
    </xf>
    <xf numFmtId="0" fontId="34" fillId="0" borderId="0" xfId="53" applyFont="1" applyAlignment="1"/>
    <xf numFmtId="0" fontId="34" fillId="27" borderId="0" xfId="53" applyFont="1" applyFill="1" applyAlignment="1"/>
    <xf numFmtId="0" fontId="93" fillId="27" borderId="0" xfId="53" applyFont="1" applyFill="1" applyAlignment="1"/>
    <xf numFmtId="0" fontId="40" fillId="0" borderId="0" xfId="53" applyFont="1" applyAlignment="1">
      <alignment horizontal="left" indent="1"/>
    </xf>
    <xf numFmtId="0" fontId="12" fillId="0" borderId="0" xfId="1" applyFont="1"/>
    <xf numFmtId="37" fontId="26" fillId="0" borderId="0" xfId="59" applyNumberFormat="1" applyFont="1" applyFill="1" applyBorder="1" applyAlignment="1">
      <alignment horizontal="left"/>
    </xf>
    <xf numFmtId="0" fontId="12" fillId="0" borderId="0" xfId="0" applyFont="1" applyBorder="1" applyAlignment="1">
      <alignment horizontal="right" vertical="center"/>
    </xf>
    <xf numFmtId="0" fontId="12" fillId="0" borderId="0" xfId="0" applyFont="1" applyBorder="1" applyAlignment="1">
      <alignment horizontal="right"/>
    </xf>
    <xf numFmtId="169" fontId="12" fillId="0" borderId="0" xfId="0" applyNumberFormat="1" applyFont="1" applyBorder="1" applyAlignment="1">
      <alignment horizontal="right"/>
    </xf>
    <xf numFmtId="166" fontId="12" fillId="0" borderId="0" xfId="0" applyNumberFormat="1" applyFont="1"/>
    <xf numFmtId="6" fontId="76" fillId="0" borderId="0" xfId="52" applyNumberFormat="1" applyFont="1" applyFill="1" applyBorder="1"/>
    <xf numFmtId="9" fontId="75" fillId="0" borderId="0" xfId="58" applyFont="1" applyFill="1" applyBorder="1"/>
    <xf numFmtId="10" fontId="75" fillId="0" borderId="0" xfId="58" applyNumberFormat="1" applyFont="1" applyFill="1" applyBorder="1"/>
    <xf numFmtId="3" fontId="75" fillId="0" borderId="0" xfId="52" applyNumberFormat="1" applyFont="1" applyFill="1"/>
    <xf numFmtId="4" fontId="75" fillId="0" borderId="0" xfId="52" applyNumberFormat="1" applyFont="1" applyFill="1"/>
    <xf numFmtId="169" fontId="75" fillId="0" borderId="0" xfId="52" applyNumberFormat="1" applyFont="1" applyFill="1"/>
    <xf numFmtId="9" fontId="75" fillId="0" borderId="0" xfId="58" applyFont="1" applyFill="1"/>
    <xf numFmtId="165" fontId="75" fillId="0" borderId="0" xfId="52" applyNumberFormat="1" applyFont="1" applyFill="1"/>
    <xf numFmtId="6" fontId="75" fillId="0" borderId="0" xfId="52" applyNumberFormat="1" applyFont="1" applyFill="1"/>
    <xf numFmtId="166" fontId="75" fillId="0" borderId="0" xfId="58" applyNumberFormat="1" applyFont="1" applyFill="1"/>
    <xf numFmtId="6" fontId="76" fillId="0" borderId="19" xfId="52" applyNumberFormat="1" applyFont="1" applyFill="1" applyBorder="1"/>
    <xf numFmtId="171" fontId="98" fillId="0" borderId="0" xfId="52" applyNumberFormat="1" applyFont="1" applyBorder="1"/>
    <xf numFmtId="173" fontId="75" fillId="0" borderId="0" xfId="52" applyNumberFormat="1" applyFont="1"/>
    <xf numFmtId="1" fontId="75" fillId="0" borderId="0" xfId="58" applyNumberFormat="1" applyFont="1"/>
    <xf numFmtId="1" fontId="41" fillId="29" borderId="0" xfId="0" applyNumberFormat="1" applyFont="1" applyFill="1"/>
    <xf numFmtId="176" fontId="75" fillId="0" borderId="4" xfId="58" applyNumberFormat="1" applyFont="1" applyBorder="1"/>
    <xf numFmtId="3" fontId="82" fillId="29" borderId="1" xfId="0" applyNumberFormat="1" applyFont="1" applyFill="1" applyBorder="1"/>
    <xf numFmtId="194" fontId="12" fillId="29" borderId="0" xfId="0" applyNumberFormat="1" applyFont="1" applyFill="1"/>
    <xf numFmtId="0" fontId="75" fillId="0" borderId="0" xfId="0" applyFont="1" applyBorder="1"/>
    <xf numFmtId="3" fontId="75" fillId="0" borderId="0" xfId="0" applyNumberFormat="1" applyFont="1" applyBorder="1" applyAlignment="1">
      <alignment horizontal="right"/>
    </xf>
    <xf numFmtId="9" fontId="75" fillId="0" borderId="0" xfId="58" applyFont="1" applyAlignment="1">
      <alignment horizontal="right"/>
    </xf>
    <xf numFmtId="9" fontId="75" fillId="0" borderId="1" xfId="58" applyFont="1" applyBorder="1" applyAlignment="1">
      <alignment horizontal="right"/>
    </xf>
    <xf numFmtId="166" fontId="76" fillId="0" borderId="0" xfId="58" applyNumberFormat="1" applyFont="1" applyBorder="1"/>
    <xf numFmtId="9" fontId="66" fillId="0" borderId="0" xfId="58" applyFont="1"/>
    <xf numFmtId="0" fontId="68" fillId="0" borderId="0" xfId="50" applyFont="1"/>
    <xf numFmtId="166" fontId="66" fillId="0" borderId="0" xfId="50" applyNumberFormat="1" applyFont="1"/>
    <xf numFmtId="3" fontId="66" fillId="0" borderId="0" xfId="50" applyNumberFormat="1" applyFont="1" applyAlignment="1">
      <alignment horizontal="right"/>
    </xf>
    <xf numFmtId="0" fontId="66" fillId="0" borderId="0" xfId="50" applyFont="1" applyFill="1" applyAlignment="1">
      <alignment horizontal="left"/>
    </xf>
    <xf numFmtId="0" fontId="68" fillId="0" borderId="0" xfId="50" applyFont="1" applyAlignment="1">
      <alignment horizontal="left" indent="1"/>
    </xf>
    <xf numFmtId="0" fontId="66" fillId="0" borderId="5" xfId="50" applyFont="1" applyBorder="1" applyAlignment="1">
      <alignment horizontal="left"/>
    </xf>
    <xf numFmtId="0" fontId="66" fillId="0" borderId="5" xfId="50" applyFont="1" applyBorder="1"/>
    <xf numFmtId="171" fontId="66" fillId="0" borderId="5" xfId="50" applyNumberFormat="1" applyFont="1" applyBorder="1"/>
    <xf numFmtId="0" fontId="66" fillId="29" borderId="19" xfId="50" applyFont="1" applyFill="1" applyBorder="1"/>
    <xf numFmtId="0" fontId="26" fillId="29" borderId="19" xfId="50" applyFont="1" applyFill="1" applyBorder="1" applyAlignment="1">
      <alignment horizontal="center"/>
    </xf>
    <xf numFmtId="0" fontId="67" fillId="29" borderId="19" xfId="50" applyFont="1" applyFill="1" applyBorder="1" applyAlignment="1">
      <alignment horizontal="center"/>
    </xf>
    <xf numFmtId="165" fontId="26" fillId="32" borderId="12" xfId="0" applyNumberFormat="1" applyFont="1" applyFill="1" applyBorder="1" applyAlignment="1">
      <alignment vertical="center"/>
    </xf>
    <xf numFmtId="9" fontId="26" fillId="29" borderId="0" xfId="58" applyFont="1" applyFill="1" applyBorder="1" applyAlignment="1">
      <alignment horizontal="right"/>
    </xf>
    <xf numFmtId="2" fontId="12" fillId="29" borderId="0" xfId="0" applyNumberFormat="1" applyFont="1" applyFill="1"/>
    <xf numFmtId="9" fontId="100" fillId="0" borderId="0" xfId="0" applyNumberFormat="1" applyFont="1"/>
    <xf numFmtId="9" fontId="100" fillId="0" borderId="0" xfId="58" applyFont="1" applyAlignment="1">
      <alignment horizontal="right"/>
    </xf>
    <xf numFmtId="9" fontId="40" fillId="29" borderId="0" xfId="58" applyFont="1" applyFill="1"/>
    <xf numFmtId="1" fontId="40" fillId="29" borderId="0" xfId="58" applyNumberFormat="1" applyFont="1" applyFill="1"/>
    <xf numFmtId="1" fontId="26" fillId="29" borderId="1" xfId="0" applyNumberFormat="1" applyFont="1" applyFill="1" applyBorder="1"/>
    <xf numFmtId="9" fontId="76" fillId="0" borderId="0" xfId="58" applyFont="1" applyBorder="1"/>
    <xf numFmtId="8" fontId="76" fillId="0" borderId="0" xfId="52" applyNumberFormat="1" applyFont="1" applyBorder="1"/>
    <xf numFmtId="9" fontId="96" fillId="0" borderId="0" xfId="0" applyNumberFormat="1" applyFont="1"/>
    <xf numFmtId="8" fontId="75" fillId="0" borderId="0" xfId="52" applyNumberFormat="1" applyFont="1"/>
    <xf numFmtId="9" fontId="12" fillId="29" borderId="0" xfId="58" applyFont="1" applyFill="1" applyBorder="1" applyAlignment="1">
      <alignment vertical="center"/>
    </xf>
    <xf numFmtId="9" fontId="75" fillId="0" borderId="0" xfId="58" applyNumberFormat="1" applyFont="1"/>
    <xf numFmtId="165" fontId="12" fillId="0" borderId="0" xfId="0" applyNumberFormat="1" applyFont="1" applyFill="1" applyBorder="1" applyAlignment="1">
      <alignment horizontal="right" vertical="center"/>
    </xf>
    <xf numFmtId="4" fontId="73" fillId="29" borderId="0" xfId="59" applyNumberFormat="1" applyFont="1" applyFill="1" applyBorder="1" applyAlignment="1">
      <alignment horizontal="right"/>
    </xf>
    <xf numFmtId="165" fontId="41" fillId="0" borderId="0" xfId="0" applyNumberFormat="1" applyFont="1" applyFill="1" applyBorder="1" applyAlignment="1">
      <alignment vertical="center"/>
    </xf>
    <xf numFmtId="186" fontId="46" fillId="29" borderId="2" xfId="0" applyNumberFormat="1" applyFont="1" applyFill="1" applyBorder="1"/>
    <xf numFmtId="169" fontId="70" fillId="0" borderId="0" xfId="0" applyNumberFormat="1" applyFont="1" applyFill="1" applyBorder="1"/>
    <xf numFmtId="186" fontId="78" fillId="29" borderId="0" xfId="0" applyNumberFormat="1" applyFont="1" applyFill="1"/>
    <xf numFmtId="2" fontId="77" fillId="0" borderId="0" xfId="0" applyNumberFormat="1" applyFont="1"/>
    <xf numFmtId="165" fontId="78" fillId="0" borderId="0" xfId="0" applyNumberFormat="1" applyFont="1" applyFill="1"/>
    <xf numFmtId="0" fontId="12" fillId="0" borderId="0" xfId="0" applyNumberFormat="1" applyFont="1" applyFill="1"/>
    <xf numFmtId="8" fontId="12" fillId="0" borderId="0" xfId="52" applyNumberFormat="1" applyFont="1" applyFill="1"/>
    <xf numFmtId="0" fontId="46" fillId="23" borderId="0" xfId="54" applyFont="1" applyFill="1" applyBorder="1" applyAlignment="1">
      <alignment horizontal="left"/>
    </xf>
    <xf numFmtId="1" fontId="77" fillId="0" borderId="0" xfId="0" applyNumberFormat="1" applyFont="1"/>
    <xf numFmtId="0" fontId="26" fillId="0" borderId="1" xfId="0" applyNumberFormat="1" applyFont="1" applyBorder="1" applyAlignment="1">
      <alignment horizontal="left" indent="2"/>
    </xf>
    <xf numFmtId="169" fontId="46" fillId="29" borderId="0" xfId="0" applyNumberFormat="1" applyFont="1" applyFill="1" applyBorder="1"/>
    <xf numFmtId="169" fontId="46" fillId="0" borderId="0" xfId="0" applyNumberFormat="1" applyFont="1" applyBorder="1"/>
    <xf numFmtId="169" fontId="26" fillId="29" borderId="0" xfId="0" applyNumberFormat="1" applyFont="1" applyFill="1" applyBorder="1"/>
    <xf numFmtId="0" fontId="12" fillId="0" borderId="0" xfId="0" applyNumberFormat="1" applyFont="1" applyBorder="1" applyAlignment="1">
      <alignment horizontal="left" indent="2"/>
    </xf>
    <xf numFmtId="169" fontId="26" fillId="29" borderId="20" xfId="0" applyNumberFormat="1" applyFont="1" applyFill="1" applyBorder="1"/>
    <xf numFmtId="2" fontId="75" fillId="0" borderId="0" xfId="0" applyNumberFormat="1" applyFont="1"/>
    <xf numFmtId="165" fontId="26" fillId="0" borderId="0" xfId="0" applyNumberFormat="1" applyFont="1" applyFill="1" applyBorder="1" applyAlignment="1">
      <alignment horizontal="right"/>
    </xf>
    <xf numFmtId="3" fontId="12" fillId="29" borderId="0" xfId="0" applyNumberFormat="1" applyFont="1" applyFill="1" applyBorder="1"/>
    <xf numFmtId="166" fontId="40" fillId="29" borderId="0" xfId="0" applyNumberFormat="1" applyFont="1" applyFill="1" applyBorder="1" applyAlignment="1">
      <alignment vertical="center"/>
    </xf>
    <xf numFmtId="0" fontId="40" fillId="29" borderId="0" xfId="0" applyFont="1" applyFill="1" applyBorder="1" applyAlignment="1">
      <alignment vertical="center"/>
    </xf>
    <xf numFmtId="4" fontId="95" fillId="30" borderId="0" xfId="0" applyNumberFormat="1" applyFont="1" applyFill="1" applyBorder="1" applyAlignment="1">
      <alignment vertical="center"/>
    </xf>
    <xf numFmtId="37" fontId="95" fillId="30" borderId="0" xfId="59" applyNumberFormat="1" applyFont="1" applyFill="1" applyBorder="1" applyAlignment="1">
      <alignment horizontal="left" indent="1"/>
    </xf>
    <xf numFmtId="39" fontId="95" fillId="30" borderId="0" xfId="59" applyNumberFormat="1" applyFont="1" applyFill="1" applyBorder="1" applyAlignment="1">
      <alignment horizontal="right"/>
    </xf>
    <xf numFmtId="4" fontId="95" fillId="30" borderId="0" xfId="59" applyNumberFormat="1" applyFont="1" applyFill="1" applyBorder="1" applyAlignment="1">
      <alignment horizontal="right"/>
    </xf>
    <xf numFmtId="37" fontId="95" fillId="30" borderId="0" xfId="59" applyNumberFormat="1" applyFont="1" applyFill="1" applyBorder="1" applyAlignment="1">
      <alignment horizontal="right"/>
    </xf>
    <xf numFmtId="3" fontId="95" fillId="30" borderId="0" xfId="59" applyNumberFormat="1" applyFont="1" applyFill="1" applyBorder="1" applyAlignment="1">
      <alignment horizontal="right"/>
    </xf>
    <xf numFmtId="172" fontId="12" fillId="0" borderId="0" xfId="59" applyNumberFormat="1" applyFont="1" applyFill="1" applyBorder="1" applyAlignment="1">
      <alignment horizontal="right"/>
    </xf>
    <xf numFmtId="172" fontId="12" fillId="29" borderId="0" xfId="59" applyNumberFormat="1" applyFont="1" applyFill="1" applyBorder="1" applyAlignment="1">
      <alignment horizontal="right"/>
    </xf>
    <xf numFmtId="9" fontId="69" fillId="0" borderId="0" xfId="58" applyFont="1" applyFill="1" applyBorder="1"/>
    <xf numFmtId="169" fontId="70" fillId="29" borderId="0" xfId="0" applyNumberFormat="1" applyFont="1" applyFill="1" applyBorder="1"/>
    <xf numFmtId="195" fontId="46" fillId="29" borderId="0" xfId="0" applyNumberFormat="1" applyFont="1" applyFill="1" applyBorder="1"/>
    <xf numFmtId="195" fontId="12" fillId="0" borderId="0" xfId="0" applyNumberFormat="1" applyFont="1"/>
    <xf numFmtId="186" fontId="26" fillId="29" borderId="0" xfId="0" applyNumberFormat="1" applyFont="1" applyFill="1" applyBorder="1" applyAlignment="1">
      <alignment horizontal="right"/>
    </xf>
    <xf numFmtId="169" fontId="26" fillId="0" borderId="19" xfId="0" applyNumberFormat="1" applyFont="1" applyFill="1" applyBorder="1" applyAlignment="1">
      <alignment vertical="center"/>
    </xf>
    <xf numFmtId="9" fontId="40" fillId="27" borderId="11" xfId="60" applyNumberFormat="1" applyFont="1" applyFill="1" applyBorder="1"/>
    <xf numFmtId="9" fontId="40" fillId="27" borderId="1" xfId="60" applyNumberFormat="1" applyFont="1" applyFill="1" applyBorder="1"/>
    <xf numFmtId="1" fontId="101" fillId="39" borderId="2" xfId="0" applyNumberFormat="1" applyFont="1" applyFill="1" applyBorder="1"/>
    <xf numFmtId="9" fontId="40" fillId="29" borderId="0" xfId="58" applyFont="1" applyFill="1" applyAlignment="1">
      <alignment horizontal="right" indent="1"/>
    </xf>
    <xf numFmtId="9" fontId="40" fillId="29" borderId="0" xfId="0" applyNumberFormat="1" applyFont="1" applyFill="1" applyAlignment="1"/>
    <xf numFmtId="0" fontId="47" fillId="0" borderId="0" xfId="54" applyFont="1" applyFill="1" applyBorder="1"/>
    <xf numFmtId="9" fontId="47" fillId="0" borderId="0" xfId="54" applyNumberFormat="1" applyFont="1" applyFill="1" applyBorder="1"/>
    <xf numFmtId="9" fontId="51" fillId="0" borderId="0" xfId="78" applyFont="1" applyFill="1" applyBorder="1"/>
    <xf numFmtId="9" fontId="51" fillId="0" borderId="0" xfId="78" applyNumberFormat="1" applyFont="1" applyFill="1" applyBorder="1"/>
    <xf numFmtId="186" fontId="41" fillId="0" borderId="0" xfId="54" applyNumberFormat="1" applyFont="1" applyFill="1" applyBorder="1"/>
    <xf numFmtId="9" fontId="12" fillId="0" borderId="0" xfId="58" applyFont="1" applyBorder="1" applyAlignment="1">
      <alignment vertical="center"/>
    </xf>
    <xf numFmtId="9" fontId="12" fillId="0" borderId="0" xfId="58" applyFont="1" applyBorder="1"/>
    <xf numFmtId="168" fontId="12" fillId="0" borderId="0" xfId="0" applyNumberFormat="1" applyFont="1" applyBorder="1"/>
    <xf numFmtId="9" fontId="77" fillId="0" borderId="0" xfId="58" applyFont="1"/>
    <xf numFmtId="9" fontId="114" fillId="0" borderId="0" xfId="58" applyNumberFormat="1" applyFont="1"/>
    <xf numFmtId="9" fontId="114" fillId="0" borderId="0" xfId="58" applyFont="1"/>
    <xf numFmtId="186" fontId="78" fillId="0" borderId="0" xfId="0" applyNumberFormat="1" applyFont="1"/>
    <xf numFmtId="169" fontId="12" fillId="29" borderId="0" xfId="0" applyNumberFormat="1" applyFont="1" applyFill="1" applyBorder="1"/>
    <xf numFmtId="169" fontId="26" fillId="0" borderId="0" xfId="0" applyNumberFormat="1" applyFont="1" applyFill="1" applyBorder="1" applyAlignment="1">
      <alignment horizontal="right"/>
    </xf>
    <xf numFmtId="196" fontId="40" fillId="0" borderId="0" xfId="59" applyNumberFormat="1" applyFont="1" applyFill="1" applyBorder="1" applyAlignment="1">
      <alignment horizontal="right"/>
    </xf>
    <xf numFmtId="186" fontId="12" fillId="0" borderId="0" xfId="0" applyNumberFormat="1" applyFont="1" applyBorder="1" applyAlignment="1">
      <alignment vertical="center"/>
    </xf>
    <xf numFmtId="195" fontId="12" fillId="0" borderId="0" xfId="0" applyNumberFormat="1" applyFont="1" applyBorder="1" applyAlignment="1">
      <alignment vertical="center"/>
    </xf>
    <xf numFmtId="174" fontId="41" fillId="0" borderId="0" xfId="0" applyNumberFormat="1" applyFont="1"/>
    <xf numFmtId="4" fontId="70" fillId="29" borderId="0" xfId="59" applyNumberFormat="1" applyFont="1" applyFill="1" applyBorder="1" applyAlignment="1">
      <alignment horizontal="right"/>
    </xf>
    <xf numFmtId="186" fontId="12" fillId="29" borderId="0" xfId="0" applyNumberFormat="1" applyFont="1" applyFill="1"/>
    <xf numFmtId="165" fontId="101" fillId="39" borderId="2" xfId="0" applyNumberFormat="1" applyFont="1" applyFill="1" applyBorder="1"/>
    <xf numFmtId="1" fontId="70" fillId="29" borderId="0" xfId="0" applyNumberFormat="1" applyFont="1" applyFill="1"/>
    <xf numFmtId="169" fontId="12" fillId="0" borderId="0" xfId="0" applyNumberFormat="1" applyFont="1" applyAlignment="1">
      <alignment vertical="center"/>
    </xf>
    <xf numFmtId="174" fontId="12" fillId="0" borderId="0" xfId="59" applyNumberFormat="1" applyFont="1" applyFill="1" applyBorder="1" applyAlignment="1">
      <alignment horizontal="right"/>
    </xf>
    <xf numFmtId="166" fontId="12" fillId="29" borderId="0" xfId="58" applyNumberFormat="1" applyFont="1" applyFill="1"/>
    <xf numFmtId="9" fontId="69" fillId="0" borderId="0" xfId="50" applyNumberFormat="1" applyFont="1" applyFill="1" applyBorder="1" applyAlignment="1">
      <alignment horizontal="center"/>
    </xf>
    <xf numFmtId="9" fontId="66" fillId="0" borderId="0" xfId="50" applyNumberFormat="1" applyFont="1" applyFill="1" applyBorder="1" applyAlignment="1">
      <alignment horizontal="center"/>
    </xf>
    <xf numFmtId="9" fontId="66" fillId="0" borderId="0" xfId="50" applyNumberFormat="1" applyFont="1" applyFill="1" applyAlignment="1">
      <alignment horizontal="center"/>
    </xf>
    <xf numFmtId="9" fontId="66" fillId="0" borderId="0" xfId="58" applyFont="1" applyFill="1" applyBorder="1"/>
    <xf numFmtId="2" fontId="115" fillId="0" borderId="5" xfId="0" applyNumberFormat="1" applyFont="1" applyBorder="1"/>
    <xf numFmtId="2" fontId="115" fillId="29" borderId="5" xfId="0" applyNumberFormat="1" applyFont="1" applyFill="1" applyBorder="1"/>
    <xf numFmtId="1" fontId="115" fillId="0" borderId="5" xfId="0" applyNumberFormat="1" applyFont="1" applyBorder="1"/>
    <xf numFmtId="166" fontId="66" fillId="0" borderId="0" xfId="58" applyNumberFormat="1" applyFont="1" applyFill="1" applyBorder="1"/>
    <xf numFmtId="0" fontId="26" fillId="51" borderId="5" xfId="0" applyFont="1" applyFill="1" applyBorder="1" applyAlignment="1">
      <alignment horizontal="right"/>
    </xf>
    <xf numFmtId="0" fontId="26" fillId="51" borderId="0" xfId="0" applyFont="1" applyFill="1" applyBorder="1" applyAlignment="1">
      <alignment horizontal="right"/>
    </xf>
    <xf numFmtId="0" fontId="12" fillId="51" borderId="0" xfId="0" applyFont="1" applyFill="1"/>
    <xf numFmtId="169" fontId="12" fillId="51" borderId="0" xfId="0" applyNumberFormat="1" applyFont="1" applyFill="1"/>
    <xf numFmtId="2" fontId="41" fillId="51" borderId="0" xfId="0" applyNumberFormat="1" applyFont="1" applyFill="1"/>
    <xf numFmtId="165" fontId="41" fillId="51" borderId="0" xfId="0" applyNumberFormat="1" applyFont="1" applyFill="1"/>
    <xf numFmtId="0" fontId="12" fillId="51" borderId="0" xfId="0" applyFont="1" applyFill="1" applyBorder="1"/>
    <xf numFmtId="3" fontId="12" fillId="51" borderId="0" xfId="0" applyNumberFormat="1" applyFont="1" applyFill="1"/>
    <xf numFmtId="1" fontId="12" fillId="51" borderId="0" xfId="0" applyNumberFormat="1" applyFont="1" applyFill="1"/>
    <xf numFmtId="165" fontId="12" fillId="51" borderId="0" xfId="0" applyNumberFormat="1" applyFont="1" applyFill="1"/>
    <xf numFmtId="9" fontId="12" fillId="51" borderId="0" xfId="0" applyNumberFormat="1" applyFont="1" applyFill="1"/>
    <xf numFmtId="169" fontId="26" fillId="51" borderId="2" xfId="0" applyNumberFormat="1" applyFont="1" applyFill="1" applyBorder="1"/>
    <xf numFmtId="169" fontId="26" fillId="51" borderId="20" xfId="0" applyNumberFormat="1" applyFont="1" applyFill="1" applyBorder="1"/>
    <xf numFmtId="9" fontId="12" fillId="51" borderId="0" xfId="58" applyFont="1" applyFill="1"/>
    <xf numFmtId="9" fontId="40" fillId="51" borderId="0" xfId="0" applyNumberFormat="1" applyFont="1" applyFill="1"/>
    <xf numFmtId="9" fontId="40" fillId="51" borderId="0" xfId="58" applyFont="1" applyFill="1"/>
    <xf numFmtId="165" fontId="26" fillId="51" borderId="2" xfId="0" applyNumberFormat="1" applyFont="1" applyFill="1" applyBorder="1"/>
    <xf numFmtId="166" fontId="40" fillId="51" borderId="0" xfId="0" applyNumberFormat="1" applyFont="1" applyFill="1"/>
    <xf numFmtId="166" fontId="40" fillId="51" borderId="0" xfId="58" applyNumberFormat="1" applyFont="1" applyFill="1"/>
    <xf numFmtId="0" fontId="26" fillId="51" borderId="2" xfId="0" applyFont="1" applyFill="1" applyBorder="1" applyAlignment="1">
      <alignment horizontal="right"/>
    </xf>
    <xf numFmtId="169" fontId="46" fillId="51" borderId="2" xfId="0" applyNumberFormat="1" applyFont="1" applyFill="1" applyBorder="1"/>
    <xf numFmtId="165" fontId="46" fillId="51" borderId="2" xfId="0" applyNumberFormat="1" applyFont="1" applyFill="1" applyBorder="1"/>
    <xf numFmtId="169" fontId="41" fillId="51" borderId="0" xfId="0" applyNumberFormat="1" applyFont="1" applyFill="1"/>
    <xf numFmtId="169" fontId="46" fillId="51" borderId="1" xfId="0" applyNumberFormat="1" applyFont="1" applyFill="1" applyBorder="1"/>
    <xf numFmtId="169" fontId="46" fillId="51" borderId="0" xfId="0" applyNumberFormat="1" applyFont="1" applyFill="1" applyBorder="1"/>
    <xf numFmtId="169" fontId="41" fillId="51" borderId="0" xfId="0" applyNumberFormat="1" applyFont="1" applyFill="1" applyBorder="1"/>
    <xf numFmtId="169" fontId="46" fillId="51" borderId="19" xfId="0" applyNumberFormat="1" applyFont="1" applyFill="1" applyBorder="1"/>
    <xf numFmtId="169" fontId="26" fillId="51" borderId="23" xfId="0" applyNumberFormat="1" applyFont="1" applyFill="1" applyBorder="1"/>
    <xf numFmtId="169" fontId="26" fillId="51" borderId="12" xfId="0" applyNumberFormat="1" applyFont="1" applyFill="1" applyBorder="1"/>
    <xf numFmtId="2" fontId="41" fillId="51" borderId="5" xfId="0" applyNumberFormat="1" applyFont="1" applyFill="1" applyBorder="1"/>
    <xf numFmtId="9" fontId="40" fillId="29" borderId="0" xfId="0" applyNumberFormat="1" applyFont="1" applyFill="1" applyAlignment="1">
      <alignment horizontal="left" indent="1"/>
    </xf>
    <xf numFmtId="9" fontId="40" fillId="29" borderId="0" xfId="58" applyFont="1" applyFill="1" applyAlignment="1">
      <alignment horizontal="left" indent="1"/>
    </xf>
    <xf numFmtId="169" fontId="12" fillId="51" borderId="0" xfId="0" applyNumberFormat="1" applyFont="1" applyFill="1" applyBorder="1" applyAlignment="1">
      <alignment horizontal="right"/>
    </xf>
    <xf numFmtId="169" fontId="26" fillId="51" borderId="2" xfId="0" applyNumberFormat="1" applyFont="1" applyFill="1" applyBorder="1" applyAlignment="1">
      <alignment vertical="center"/>
    </xf>
    <xf numFmtId="0" fontId="12" fillId="51" borderId="0" xfId="0" applyFont="1" applyFill="1" applyBorder="1" applyAlignment="1">
      <alignment vertical="center"/>
    </xf>
    <xf numFmtId="169" fontId="12" fillId="51" borderId="0" xfId="0" applyNumberFormat="1" applyFont="1" applyFill="1" applyBorder="1" applyAlignment="1">
      <alignment vertical="center"/>
    </xf>
    <xf numFmtId="165" fontId="12" fillId="51" borderId="0" xfId="0" applyNumberFormat="1" applyFont="1" applyFill="1" applyBorder="1" applyAlignment="1">
      <alignment vertical="center"/>
    </xf>
    <xf numFmtId="0" fontId="73" fillId="51" borderId="0" xfId="0" applyFont="1" applyFill="1" applyBorder="1" applyAlignment="1">
      <alignment vertical="center"/>
    </xf>
    <xf numFmtId="169" fontId="26" fillId="51" borderId="19" xfId="0" applyNumberFormat="1" applyFont="1" applyFill="1" applyBorder="1" applyAlignment="1">
      <alignment vertical="center"/>
    </xf>
    <xf numFmtId="39" fontId="40" fillId="51" borderId="0" xfId="59" applyNumberFormat="1" applyFont="1" applyFill="1" applyBorder="1" applyAlignment="1">
      <alignment horizontal="right"/>
    </xf>
    <xf numFmtId="169" fontId="12" fillId="51" borderId="0" xfId="59" applyNumberFormat="1" applyFont="1" applyFill="1" applyBorder="1" applyAlignment="1">
      <alignment horizontal="right"/>
    </xf>
    <xf numFmtId="172" fontId="12" fillId="51" borderId="0" xfId="59" applyNumberFormat="1" applyFont="1" applyFill="1" applyBorder="1" applyAlignment="1">
      <alignment horizontal="right"/>
    </xf>
    <xf numFmtId="166" fontId="40" fillId="51" borderId="0" xfId="0" applyNumberFormat="1" applyFont="1" applyFill="1" applyBorder="1" applyAlignment="1">
      <alignment vertical="center"/>
    </xf>
    <xf numFmtId="2" fontId="26" fillId="51" borderId="2" xfId="0" applyNumberFormat="1" applyFont="1" applyFill="1" applyBorder="1" applyAlignment="1">
      <alignment vertical="center"/>
    </xf>
    <xf numFmtId="39" fontId="12" fillId="51" borderId="0" xfId="59" applyNumberFormat="1" applyFont="1" applyFill="1" applyBorder="1" applyAlignment="1">
      <alignment horizontal="right"/>
    </xf>
    <xf numFmtId="9" fontId="40" fillId="51" borderId="0" xfId="58" applyNumberFormat="1" applyFont="1" applyFill="1" applyBorder="1" applyAlignment="1">
      <alignment horizontal="right"/>
    </xf>
    <xf numFmtId="174" fontId="12" fillId="51" borderId="0" xfId="59" applyNumberFormat="1" applyFont="1" applyFill="1" applyBorder="1" applyAlignment="1">
      <alignment horizontal="right"/>
    </xf>
    <xf numFmtId="0" fontId="12" fillId="39" borderId="0" xfId="0" applyFont="1" applyFill="1" applyAlignment="1">
      <alignment vertical="center"/>
    </xf>
    <xf numFmtId="165" fontId="12" fillId="39" borderId="0" xfId="0" applyNumberFormat="1" applyFont="1" applyFill="1" applyAlignment="1">
      <alignment vertical="center"/>
    </xf>
    <xf numFmtId="0" fontId="116" fillId="39" borderId="0" xfId="0" applyNumberFormat="1" applyFont="1" applyFill="1" applyAlignment="1">
      <alignment horizontal="left" vertical="center" indent="1"/>
    </xf>
    <xf numFmtId="9" fontId="70" fillId="29" borderId="0" xfId="58" applyFont="1" applyFill="1" applyAlignment="1">
      <alignment horizontal="right" vertical="center"/>
    </xf>
    <xf numFmtId="9" fontId="12" fillId="29" borderId="0" xfId="58" applyFont="1" applyFill="1" applyAlignment="1">
      <alignment horizontal="right" vertical="center"/>
    </xf>
    <xf numFmtId="9" fontId="12" fillId="39" borderId="0" xfId="58" applyFont="1" applyFill="1" applyAlignment="1">
      <alignment horizontal="right" vertical="center"/>
    </xf>
    <xf numFmtId="9" fontId="70" fillId="39" borderId="0" xfId="58" applyFont="1" applyFill="1" applyAlignment="1">
      <alignment horizontal="right" vertical="center"/>
    </xf>
    <xf numFmtId="0" fontId="75" fillId="39" borderId="0" xfId="0" applyNumberFormat="1" applyFont="1" applyFill="1"/>
    <xf numFmtId="0" fontId="12" fillId="39" borderId="0" xfId="0" applyFont="1" applyFill="1"/>
    <xf numFmtId="165" fontId="12" fillId="39" borderId="0" xfId="0" applyNumberFormat="1" applyFont="1" applyFill="1"/>
    <xf numFmtId="1" fontId="40" fillId="39" borderId="0" xfId="58" applyNumberFormat="1" applyFont="1" applyFill="1"/>
    <xf numFmtId="9" fontId="12" fillId="39" borderId="0" xfId="58" applyFont="1" applyFill="1"/>
    <xf numFmtId="0" fontId="12" fillId="39" borderId="0" xfId="0" applyNumberFormat="1" applyFont="1" applyFill="1"/>
    <xf numFmtId="0" fontId="66" fillId="0" borderId="0" xfId="50" applyFont="1" applyAlignment="1">
      <alignment vertical="center"/>
    </xf>
    <xf numFmtId="0" fontId="66" fillId="0" borderId="0" xfId="50" applyFont="1" applyAlignment="1">
      <alignment horizontal="left" vertical="center"/>
    </xf>
    <xf numFmtId="2" fontId="66" fillId="0" borderId="0" xfId="50" applyNumberFormat="1" applyFont="1" applyAlignment="1">
      <alignment vertical="center"/>
    </xf>
    <xf numFmtId="0" fontId="64" fillId="0" borderId="0" xfId="50" applyFont="1" applyAlignment="1">
      <alignment vertical="center"/>
    </xf>
    <xf numFmtId="171" fontId="64" fillId="0" borderId="0" xfId="50" applyNumberFormat="1" applyFont="1" applyAlignment="1">
      <alignment vertical="center"/>
    </xf>
    <xf numFmtId="171" fontId="64" fillId="0" borderId="0" xfId="50" applyNumberFormat="1" applyFont="1" applyAlignment="1">
      <alignment horizontal="right" vertical="center"/>
    </xf>
    <xf numFmtId="9" fontId="64" fillId="0" borderId="0" xfId="58" applyFont="1" applyAlignment="1">
      <alignment vertical="center"/>
    </xf>
    <xf numFmtId="165" fontId="64" fillId="0" borderId="0" xfId="50" applyNumberFormat="1" applyFont="1" applyAlignment="1">
      <alignment vertical="center"/>
    </xf>
    <xf numFmtId="1" fontId="64" fillId="0" borderId="0" xfId="50" applyNumberFormat="1" applyFont="1" applyAlignment="1">
      <alignment vertical="center"/>
    </xf>
    <xf numFmtId="4" fontId="12" fillId="0" borderId="0" xfId="0" applyNumberFormat="1" applyFont="1"/>
    <xf numFmtId="3" fontId="12" fillId="0" borderId="0" xfId="0" applyNumberFormat="1" applyFont="1" applyBorder="1" applyAlignment="1">
      <alignment vertical="center"/>
    </xf>
    <xf numFmtId="3" fontId="12" fillId="0" borderId="0" xfId="0" applyNumberFormat="1" applyFont="1" applyBorder="1"/>
    <xf numFmtId="165" fontId="71" fillId="0" borderId="0" xfId="0" applyNumberFormat="1" applyFont="1" applyFill="1" applyBorder="1" applyAlignment="1">
      <alignment horizontal="right" vertical="center"/>
    </xf>
    <xf numFmtId="165" fontId="12" fillId="0" borderId="0" xfId="0" applyNumberFormat="1" applyFont="1" applyFill="1" applyBorder="1" applyAlignment="1">
      <alignment horizontal="right"/>
    </xf>
    <xf numFmtId="195" fontId="12" fillId="0" borderId="0" xfId="59" applyNumberFormat="1" applyFont="1" applyFill="1" applyBorder="1" applyAlignment="1">
      <alignment horizontal="right"/>
    </xf>
    <xf numFmtId="10" fontId="12" fillId="0" borderId="0" xfId="58" applyNumberFormat="1" applyFont="1"/>
    <xf numFmtId="165" fontId="70" fillId="51" borderId="0" xfId="0" applyNumberFormat="1" applyFont="1" applyFill="1" applyBorder="1" applyAlignment="1">
      <alignment vertical="center"/>
    </xf>
    <xf numFmtId="169" fontId="70" fillId="51" borderId="0" xfId="0" applyNumberFormat="1" applyFont="1" applyFill="1" applyBorder="1" applyAlignment="1">
      <alignment vertical="center"/>
    </xf>
    <xf numFmtId="165" fontId="70" fillId="51" borderId="0" xfId="0" applyNumberFormat="1" applyFont="1" applyFill="1"/>
    <xf numFmtId="169" fontId="70" fillId="51" borderId="0" xfId="0" applyNumberFormat="1" applyFont="1" applyFill="1"/>
    <xf numFmtId="169" fontId="70" fillId="51" borderId="0" xfId="0" applyNumberFormat="1" applyFont="1" applyFill="1" applyBorder="1"/>
    <xf numFmtId="3" fontId="82" fillId="51" borderId="1" xfId="0" applyNumberFormat="1" applyFont="1" applyFill="1" applyBorder="1"/>
    <xf numFmtId="165" fontId="82" fillId="51" borderId="2" xfId="0" applyNumberFormat="1" applyFont="1" applyFill="1" applyBorder="1"/>
    <xf numFmtId="165" fontId="82" fillId="51" borderId="1" xfId="0" applyNumberFormat="1" applyFont="1" applyFill="1" applyBorder="1"/>
    <xf numFmtId="0" fontId="26" fillId="29" borderId="0" xfId="0" applyFont="1" applyFill="1"/>
    <xf numFmtId="1" fontId="26" fillId="29" borderId="0" xfId="0" applyNumberFormat="1" applyFont="1" applyFill="1"/>
    <xf numFmtId="0" fontId="12" fillId="29" borderId="4" xfId="0" applyFont="1" applyFill="1" applyBorder="1"/>
    <xf numFmtId="1" fontId="12" fillId="29" borderId="4" xfId="0" applyNumberFormat="1" applyFont="1" applyFill="1" applyBorder="1"/>
    <xf numFmtId="166" fontId="66" fillId="0" borderId="0" xfId="58" applyNumberFormat="1" applyFont="1"/>
    <xf numFmtId="3" fontId="40" fillId="0" borderId="0" xfId="0" applyNumberFormat="1" applyFont="1"/>
    <xf numFmtId="0" fontId="71" fillId="52" borderId="0" xfId="0" applyFont="1" applyFill="1" applyAlignment="1">
      <alignment horizontal="center"/>
    </xf>
    <xf numFmtId="5" fontId="12" fillId="0" borderId="0" xfId="0" applyNumberFormat="1" applyFont="1" applyAlignment="1">
      <alignment horizontal="center"/>
    </xf>
    <xf numFmtId="5" fontId="70" fillId="0" borderId="0" xfId="0" applyNumberFormat="1" applyFont="1" applyAlignment="1">
      <alignment horizontal="center"/>
    </xf>
    <xf numFmtId="0" fontId="26" fillId="51" borderId="31" xfId="0" applyFont="1" applyFill="1" applyBorder="1"/>
    <xf numFmtId="5" fontId="12" fillId="51" borderId="12" xfId="0" applyNumberFormat="1" applyFont="1" applyFill="1" applyBorder="1" applyAlignment="1">
      <alignment horizontal="center"/>
    </xf>
    <xf numFmtId="5" fontId="12" fillId="51" borderId="32" xfId="0" applyNumberFormat="1" applyFont="1" applyFill="1" applyBorder="1" applyAlignment="1">
      <alignment horizontal="center"/>
    </xf>
    <xf numFmtId="0" fontId="40" fillId="52" borderId="0" xfId="0" applyFont="1" applyFill="1"/>
    <xf numFmtId="2" fontId="66" fillId="0" borderId="0" xfId="58" applyNumberFormat="1" applyFont="1"/>
    <xf numFmtId="164" fontId="26" fillId="0" borderId="5" xfId="0" applyNumberFormat="1" applyFont="1" applyBorder="1" applyAlignment="1">
      <alignment horizontal="center" vertical="center"/>
    </xf>
    <xf numFmtId="0" fontId="12" fillId="34" borderId="0" xfId="0" applyFont="1" applyFill="1" applyBorder="1"/>
    <xf numFmtId="3" fontId="26" fillId="0" borderId="0" xfId="0" applyNumberFormat="1" applyFont="1" applyBorder="1"/>
    <xf numFmtId="1" fontId="115" fillId="0" borderId="0" xfId="0" applyNumberFormat="1" applyFont="1" applyBorder="1"/>
    <xf numFmtId="1" fontId="41" fillId="0" borderId="0" xfId="0" applyNumberFormat="1" applyFont="1" applyBorder="1"/>
    <xf numFmtId="1" fontId="26" fillId="0" borderId="0" xfId="0" applyNumberFormat="1" applyFont="1" applyBorder="1"/>
    <xf numFmtId="0" fontId="12" fillId="35" borderId="0" xfId="0" applyFont="1" applyFill="1" applyBorder="1"/>
    <xf numFmtId="0" fontId="26" fillId="35" borderId="0" xfId="0" applyFont="1" applyFill="1" applyBorder="1"/>
    <xf numFmtId="165" fontId="57" fillId="0" borderId="0" xfId="0" applyNumberFormat="1" applyFont="1" applyBorder="1"/>
    <xf numFmtId="165" fontId="46" fillId="0" borderId="0" xfId="0" applyNumberFormat="1" applyFont="1" applyBorder="1"/>
    <xf numFmtId="0" fontId="117" fillId="52" borderId="0" xfId="0" applyFont="1" applyFill="1"/>
    <xf numFmtId="5" fontId="12" fillId="0" borderId="0" xfId="0" applyNumberFormat="1" applyFont="1"/>
    <xf numFmtId="9" fontId="118" fillId="0" borderId="5" xfId="58" applyFont="1" applyBorder="1"/>
    <xf numFmtId="9" fontId="118" fillId="29" borderId="5" xfId="58" applyFont="1" applyFill="1" applyBorder="1"/>
    <xf numFmtId="0" fontId="58" fillId="0" borderId="0" xfId="0" applyFont="1" applyAlignment="1">
      <alignment horizontal="center"/>
    </xf>
    <xf numFmtId="2" fontId="50" fillId="0" borderId="5" xfId="0" applyNumberFormat="1" applyFont="1" applyBorder="1"/>
    <xf numFmtId="9" fontId="41" fillId="0" borderId="0" xfId="58" applyFont="1"/>
    <xf numFmtId="9" fontId="12" fillId="0" borderId="0" xfId="58" applyNumberFormat="1" applyFont="1"/>
    <xf numFmtId="169" fontId="46" fillId="0" borderId="0" xfId="0" applyNumberFormat="1" applyFont="1" applyBorder="1" applyAlignment="1">
      <alignment vertical="center"/>
    </xf>
    <xf numFmtId="169" fontId="26" fillId="0" borderId="0" xfId="0" applyNumberFormat="1" applyFont="1" applyBorder="1" applyAlignment="1">
      <alignment vertical="center"/>
    </xf>
    <xf numFmtId="2" fontId="26" fillId="0" borderId="0" xfId="0" applyNumberFormat="1" applyFont="1" applyFill="1" applyBorder="1" applyAlignment="1">
      <alignment vertical="center"/>
    </xf>
    <xf numFmtId="0" fontId="12" fillId="33" borderId="0" xfId="0" applyFont="1" applyFill="1" applyBorder="1" applyAlignment="1">
      <alignment vertical="center"/>
    </xf>
    <xf numFmtId="9" fontId="40" fillId="0" borderId="0" xfId="58" applyFont="1" applyFill="1"/>
    <xf numFmtId="0" fontId="40" fillId="0" borderId="0" xfId="0" applyFont="1" applyFill="1"/>
    <xf numFmtId="9" fontId="40" fillId="0" borderId="0" xfId="0" applyNumberFormat="1" applyFont="1" applyFill="1"/>
    <xf numFmtId="9" fontId="40" fillId="0" borderId="0" xfId="58" applyFont="1" applyFill="1" applyBorder="1"/>
    <xf numFmtId="164" fontId="26" fillId="0" borderId="0" xfId="0" applyNumberFormat="1" applyFont="1" applyBorder="1" applyAlignment="1">
      <alignment horizontal="center" vertical="center"/>
    </xf>
    <xf numFmtId="169" fontId="26" fillId="0" borderId="0" xfId="0" applyNumberFormat="1" applyFont="1" applyBorder="1"/>
    <xf numFmtId="197" fontId="76" fillId="0" borderId="2" xfId="0" applyNumberFormat="1" applyFont="1" applyBorder="1" applyAlignment="1">
      <alignment horizontal="right"/>
    </xf>
    <xf numFmtId="197" fontId="26" fillId="0" borderId="5" xfId="0" applyNumberFormat="1" applyFont="1" applyBorder="1" applyAlignment="1">
      <alignment horizontal="center" vertical="center"/>
    </xf>
    <xf numFmtId="39" fontId="75" fillId="0" borderId="0" xfId="0" applyNumberFormat="1" applyFont="1"/>
    <xf numFmtId="0" fontId="75" fillId="53" borderId="0" xfId="0" applyFont="1" applyFill="1"/>
    <xf numFmtId="0" fontId="75" fillId="53" borderId="0" xfId="0" applyFont="1" applyFill="1" applyAlignment="1">
      <alignment horizontal="right"/>
    </xf>
    <xf numFmtId="0" fontId="75" fillId="54" borderId="0" xfId="0" applyFont="1" applyFill="1"/>
    <xf numFmtId="0" fontId="75" fillId="54" borderId="0" xfId="0" applyFont="1" applyFill="1" applyAlignment="1">
      <alignment horizontal="right"/>
    </xf>
    <xf numFmtId="0" fontId="76" fillId="53" borderId="0" xfId="0" applyFont="1" applyFill="1"/>
    <xf numFmtId="0" fontId="76" fillId="54" borderId="0" xfId="0" applyFont="1" applyFill="1"/>
    <xf numFmtId="9" fontId="76" fillId="0" borderId="2" xfId="58" applyFont="1" applyBorder="1"/>
    <xf numFmtId="166" fontId="75" fillId="0" borderId="0" xfId="58" applyNumberFormat="1" applyFont="1" applyAlignment="1">
      <alignment horizontal="right"/>
    </xf>
    <xf numFmtId="9" fontId="119" fillId="0" borderId="0" xfId="58" applyFont="1" applyFill="1" applyAlignment="1">
      <alignment horizontal="center"/>
    </xf>
    <xf numFmtId="2" fontId="41" fillId="0" borderId="0" xfId="0" applyNumberFormat="1" applyFont="1" applyFill="1"/>
    <xf numFmtId="169" fontId="12" fillId="33" borderId="0" xfId="0" applyNumberFormat="1" applyFont="1" applyFill="1"/>
    <xf numFmtId="165" fontId="12" fillId="33" borderId="0" xfId="0" applyNumberFormat="1" applyFont="1" applyFill="1"/>
    <xf numFmtId="0" fontId="12" fillId="33" borderId="0" xfId="0" applyFont="1" applyFill="1"/>
    <xf numFmtId="166" fontId="12" fillId="33" borderId="0" xfId="58" applyNumberFormat="1" applyFont="1" applyFill="1"/>
    <xf numFmtId="9" fontId="12" fillId="33" borderId="0" xfId="58" applyFont="1" applyFill="1"/>
    <xf numFmtId="165" fontId="41" fillId="33" borderId="0" xfId="0" applyNumberFormat="1" applyFont="1" applyFill="1"/>
    <xf numFmtId="2" fontId="41" fillId="33" borderId="0" xfId="0" applyNumberFormat="1" applyFont="1" applyFill="1"/>
    <xf numFmtId="166" fontId="73" fillId="0" borderId="0" xfId="0" applyNumberFormat="1" applyFont="1" applyFill="1" applyAlignment="1">
      <alignment horizontal="right"/>
    </xf>
    <xf numFmtId="166" fontId="40" fillId="0" borderId="0" xfId="0" applyNumberFormat="1" applyFont="1" applyFill="1" applyAlignment="1">
      <alignment horizontal="right"/>
    </xf>
    <xf numFmtId="9" fontId="40" fillId="0" borderId="0" xfId="0" applyNumberFormat="1" applyFont="1" applyFill="1" applyAlignment="1">
      <alignment horizontal="right"/>
    </xf>
    <xf numFmtId="9" fontId="41" fillId="0" borderId="5" xfId="58" applyFont="1" applyBorder="1"/>
    <xf numFmtId="0" fontId="120" fillId="0" borderId="0" xfId="50" applyFont="1"/>
    <xf numFmtId="5" fontId="120" fillId="0" borderId="0" xfId="50" applyNumberFormat="1" applyFont="1"/>
    <xf numFmtId="9" fontId="120" fillId="0" borderId="0" xfId="58" applyFont="1"/>
    <xf numFmtId="174" fontId="120" fillId="0" borderId="0" xfId="50" applyNumberFormat="1" applyFont="1"/>
    <xf numFmtId="3" fontId="77" fillId="0" borderId="2" xfId="52" applyNumberFormat="1" applyFont="1" applyBorder="1"/>
    <xf numFmtId="9" fontId="77" fillId="0" borderId="0" xfId="51" quotePrefix="1" applyNumberFormat="1" applyFont="1" applyFill="1" applyBorder="1" applyAlignment="1">
      <alignment horizontal="right"/>
    </xf>
    <xf numFmtId="9" fontId="70" fillId="0" borderId="0" xfId="52" applyNumberFormat="1" applyFont="1" applyFill="1" applyBorder="1"/>
    <xf numFmtId="9" fontId="70" fillId="0" borderId="0" xfId="58" applyFont="1" applyFill="1" applyBorder="1"/>
    <xf numFmtId="9" fontId="83" fillId="0" borderId="0" xfId="58" applyFont="1" applyAlignment="1">
      <alignment horizontal="right"/>
    </xf>
    <xf numFmtId="174" fontId="12" fillId="0" borderId="0" xfId="0" applyNumberFormat="1" applyFont="1"/>
    <xf numFmtId="0" fontId="12" fillId="0" borderId="0" xfId="0" applyFont="1" applyAlignment="1">
      <alignment horizontal="left" indent="2"/>
    </xf>
    <xf numFmtId="169" fontId="26" fillId="51" borderId="19" xfId="0" applyNumberFormat="1" applyFont="1" applyFill="1" applyBorder="1"/>
    <xf numFmtId="0" fontId="26" fillId="0" borderId="43" xfId="0" applyFont="1" applyBorder="1"/>
    <xf numFmtId="0" fontId="26" fillId="0" borderId="19" xfId="0" applyFont="1" applyBorder="1" applyAlignment="1">
      <alignment horizontal="left" indent="1"/>
    </xf>
    <xf numFmtId="166" fontId="12" fillId="51" borderId="0" xfId="58" applyNumberFormat="1" applyFont="1" applyFill="1"/>
    <xf numFmtId="195" fontId="12" fillId="51" borderId="0" xfId="0" applyNumberFormat="1" applyFont="1" applyFill="1" applyBorder="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121" fillId="52" borderId="0" xfId="0" applyFont="1" applyFill="1" applyAlignment="1">
      <alignment horizontal="center" vertical="center" wrapText="1"/>
    </xf>
    <xf numFmtId="198" fontId="121" fillId="52" borderId="0" xfId="0" applyNumberFormat="1" applyFont="1" applyFill="1" applyAlignment="1">
      <alignment horizontal="center" vertical="center" wrapText="1"/>
    </xf>
    <xf numFmtId="197" fontId="121" fillId="52" borderId="0" xfId="0" applyNumberFormat="1" applyFont="1" applyFill="1" applyAlignment="1">
      <alignment horizontal="center" vertical="center" wrapText="1"/>
    </xf>
    <xf numFmtId="192" fontId="0" fillId="0" borderId="0" xfId="0" applyNumberFormat="1" applyAlignment="1">
      <alignment vertical="center" wrapText="1"/>
    </xf>
    <xf numFmtId="0" fontId="62" fillId="0" borderId="2" xfId="0" applyFont="1" applyBorder="1" applyAlignment="1">
      <alignment vertical="center" wrapText="1"/>
    </xf>
    <xf numFmtId="192" fontId="62" fillId="0" borderId="2" xfId="0" applyNumberFormat="1" applyFont="1" applyBorder="1" applyAlignment="1">
      <alignment vertical="center" wrapText="1"/>
    </xf>
    <xf numFmtId="192" fontId="0" fillId="55" borderId="0" xfId="0" applyNumberFormat="1" applyFill="1" applyAlignment="1">
      <alignment vertical="center" wrapText="1"/>
    </xf>
    <xf numFmtId="0" fontId="122" fillId="0" borderId="0" xfId="0" applyFont="1" applyAlignment="1">
      <alignment vertical="center" wrapText="1"/>
    </xf>
    <xf numFmtId="192" fontId="122" fillId="0" borderId="0" xfId="0" applyNumberFormat="1" applyFont="1" applyAlignment="1">
      <alignment vertical="center" wrapText="1"/>
    </xf>
    <xf numFmtId="0" fontId="0" fillId="30" borderId="0" xfId="0" applyFill="1" applyAlignment="1">
      <alignment vertical="center" wrapText="1"/>
    </xf>
    <xf numFmtId="0" fontId="0" fillId="38" borderId="0" xfId="0" applyFill="1" applyAlignment="1">
      <alignment vertical="center" wrapText="1"/>
    </xf>
    <xf numFmtId="0" fontId="0" fillId="56" borderId="0" xfId="0" applyFill="1" applyAlignment="1">
      <alignment vertical="center" wrapText="1"/>
    </xf>
    <xf numFmtId="7" fontId="0" fillId="0" borderId="0" xfId="0" applyNumberFormat="1" applyAlignment="1">
      <alignment vertical="center" wrapText="1"/>
    </xf>
    <xf numFmtId="9" fontId="0" fillId="0" borderId="0" xfId="0" applyNumberFormat="1" applyAlignment="1">
      <alignment vertical="center" wrapText="1"/>
    </xf>
    <xf numFmtId="171" fontId="34" fillId="0" borderId="0" xfId="53" applyNumberFormat="1" applyFont="1"/>
    <xf numFmtId="9" fontId="34" fillId="27" borderId="0" xfId="58" applyNumberFormat="1" applyFont="1" applyFill="1" applyAlignment="1">
      <alignment horizontal="center"/>
    </xf>
    <xf numFmtId="166" fontId="40" fillId="51" borderId="0" xfId="58" applyNumberFormat="1" applyFont="1" applyFill="1" applyBorder="1" applyAlignment="1">
      <alignment vertical="center"/>
    </xf>
    <xf numFmtId="199" fontId="124" fillId="0" borderId="0" xfId="1" applyNumberFormat="1" applyFont="1"/>
    <xf numFmtId="0" fontId="124" fillId="0" borderId="0" xfId="0" applyFont="1" applyFill="1" applyBorder="1"/>
    <xf numFmtId="0" fontId="12" fillId="0" borderId="2" xfId="0" applyFont="1" applyBorder="1" applyAlignment="1">
      <alignment horizontal="left" indent="1"/>
    </xf>
    <xf numFmtId="0" fontId="12" fillId="51" borderId="2" xfId="0" applyFont="1" applyFill="1" applyBorder="1"/>
    <xf numFmtId="3" fontId="12" fillId="0" borderId="2" xfId="0" applyNumberFormat="1" applyFont="1" applyBorder="1"/>
    <xf numFmtId="165" fontId="12" fillId="0" borderId="2" xfId="0" applyNumberFormat="1" applyFont="1" applyBorder="1"/>
    <xf numFmtId="0" fontId="26" fillId="51" borderId="2" xfId="0" applyFont="1" applyFill="1" applyBorder="1"/>
    <xf numFmtId="180" fontId="26" fillId="0" borderId="0" xfId="53" applyNumberFormat="1" applyFont="1"/>
    <xf numFmtId="1" fontId="12" fillId="51" borderId="2" xfId="0" applyNumberFormat="1" applyFont="1" applyFill="1" applyBorder="1"/>
    <xf numFmtId="1" fontId="26" fillId="51" borderId="2" xfId="0" applyNumberFormat="1" applyFont="1" applyFill="1" applyBorder="1"/>
    <xf numFmtId="2" fontId="41" fillId="0" borderId="43" xfId="0" applyNumberFormat="1" applyFont="1" applyBorder="1"/>
    <xf numFmtId="165" fontId="26" fillId="29" borderId="1" xfId="0" applyNumberFormat="1" applyFont="1" applyFill="1" applyBorder="1"/>
    <xf numFmtId="169" fontId="12" fillId="51" borderId="0" xfId="0" applyNumberFormat="1" applyFont="1" applyFill="1" applyBorder="1"/>
    <xf numFmtId="172" fontId="12" fillId="0" borderId="0" xfId="58" applyNumberFormat="1" applyFont="1" applyBorder="1" applyAlignment="1">
      <alignment vertical="center"/>
    </xf>
    <xf numFmtId="3" fontId="70" fillId="0" borderId="0" xfId="0" applyNumberFormat="1" applyFont="1" applyBorder="1" applyAlignment="1">
      <alignment vertical="center"/>
    </xf>
    <xf numFmtId="174" fontId="70" fillId="51" borderId="0" xfId="59" applyNumberFormat="1" applyFont="1" applyFill="1" applyBorder="1" applyAlignment="1">
      <alignment horizontal="right"/>
    </xf>
    <xf numFmtId="3" fontId="12" fillId="0" borderId="0" xfId="0" applyNumberFormat="1" applyFont="1" applyFill="1"/>
    <xf numFmtId="1" fontId="70" fillId="51" borderId="0" xfId="0" applyNumberFormat="1" applyFont="1" applyFill="1"/>
    <xf numFmtId="9" fontId="41" fillId="51" borderId="0" xfId="58" applyFont="1" applyFill="1"/>
    <xf numFmtId="0" fontId="12" fillId="26" borderId="21" xfId="50" applyFont="1" applyFill="1" applyBorder="1" applyAlignment="1">
      <alignment horizontal="center"/>
    </xf>
    <xf numFmtId="0" fontId="12" fillId="26" borderId="2" xfId="50" applyFont="1" applyFill="1" applyBorder="1" applyAlignment="1">
      <alignment horizontal="center"/>
    </xf>
    <xf numFmtId="0" fontId="12" fillId="26" borderId="17" xfId="50" applyFont="1" applyFill="1" applyBorder="1" applyAlignment="1">
      <alignment horizontal="center"/>
    </xf>
    <xf numFmtId="0" fontId="67" fillId="27" borderId="36" xfId="50" applyFont="1" applyFill="1" applyBorder="1" applyAlignment="1">
      <alignment horizontal="center"/>
    </xf>
    <xf numFmtId="0" fontId="67" fillId="27" borderId="4" xfId="50" applyFont="1" applyFill="1" applyBorder="1" applyAlignment="1">
      <alignment horizontal="center"/>
    </xf>
    <xf numFmtId="0" fontId="67" fillId="27" borderId="37" xfId="50" applyFont="1" applyFill="1" applyBorder="1" applyAlignment="1">
      <alignment horizontal="center"/>
    </xf>
    <xf numFmtId="0" fontId="67" fillId="28" borderId="36" xfId="50" applyFont="1" applyFill="1" applyBorder="1" applyAlignment="1">
      <alignment horizontal="center"/>
    </xf>
    <xf numFmtId="0" fontId="67" fillId="28" borderId="4" xfId="50" applyFont="1" applyFill="1" applyBorder="1" applyAlignment="1">
      <alignment horizontal="center"/>
    </xf>
    <xf numFmtId="0" fontId="67" fillId="28" borderId="37" xfId="50" applyFont="1" applyFill="1" applyBorder="1" applyAlignment="1">
      <alignment horizontal="center"/>
    </xf>
    <xf numFmtId="0" fontId="26" fillId="0" borderId="5" xfId="0" applyFont="1" applyBorder="1" applyAlignment="1">
      <alignment horizontal="center" vertical="center"/>
    </xf>
    <xf numFmtId="1" fontId="26" fillId="0" borderId="5" xfId="0" applyNumberFormat="1" applyFont="1" applyBorder="1" applyAlignment="1">
      <alignment horizontal="center" vertical="center"/>
    </xf>
    <xf numFmtId="178" fontId="26" fillId="0" borderId="5" xfId="0" applyNumberFormat="1" applyFont="1" applyBorder="1" applyAlignment="1">
      <alignment horizontal="center" vertical="center"/>
    </xf>
    <xf numFmtId="164" fontId="26" fillId="0" borderId="5" xfId="0" applyNumberFormat="1" applyFont="1" applyBorder="1" applyAlignment="1">
      <alignment horizontal="center" vertical="center"/>
    </xf>
    <xf numFmtId="0" fontId="48" fillId="0" borderId="0" xfId="54" applyFont="1" applyFill="1" applyBorder="1" applyAlignment="1">
      <alignment horizontal="center" vertical="center"/>
    </xf>
    <xf numFmtId="0" fontId="12" fillId="37" borderId="0" xfId="140" applyFont="1" applyFill="1" applyAlignment="1">
      <alignment vertical="top"/>
    </xf>
    <xf numFmtId="0" fontId="12" fillId="37" borderId="0" xfId="1" applyFill="1" applyAlignment="1">
      <alignment vertical="top"/>
    </xf>
    <xf numFmtId="0" fontId="12" fillId="37" borderId="0" xfId="1" applyFill="1"/>
    <xf numFmtId="0" fontId="99" fillId="37" borderId="0" xfId="140" applyFont="1" applyFill="1" applyAlignment="1">
      <alignment horizontal="left" vertical="top"/>
    </xf>
    <xf numFmtId="0" fontId="12" fillId="37" borderId="0" xfId="1" applyFont="1" applyFill="1" applyAlignment="1">
      <alignment vertical="top"/>
    </xf>
    <xf numFmtId="0" fontId="40" fillId="37" borderId="0" xfId="140" applyFont="1" applyFill="1" applyAlignment="1">
      <alignment vertical="top"/>
    </xf>
    <xf numFmtId="0" fontId="0" fillId="37" borderId="0" xfId="0" applyFill="1" applyAlignment="1">
      <alignment vertical="top"/>
    </xf>
    <xf numFmtId="0" fontId="127" fillId="37" borderId="0" xfId="0" applyFont="1" applyFill="1" applyAlignment="1">
      <alignment vertical="top"/>
    </xf>
    <xf numFmtId="0" fontId="128" fillId="37" borderId="0" xfId="0" applyFont="1" applyFill="1" applyAlignment="1">
      <alignment vertical="top"/>
    </xf>
    <xf numFmtId="0" fontId="128" fillId="37" borderId="0" xfId="0" applyFont="1" applyFill="1" applyAlignment="1">
      <alignment vertical="top"/>
    </xf>
    <xf numFmtId="0" fontId="127" fillId="37" borderId="0" xfId="0" applyFont="1" applyFill="1" applyAlignment="1">
      <alignment vertical="top"/>
    </xf>
    <xf numFmtId="0" fontId="0" fillId="37" borderId="0" xfId="0" applyFill="1" applyAlignment="1">
      <alignment vertical="top"/>
    </xf>
    <xf numFmtId="0" fontId="0" fillId="37" borderId="48" xfId="0" applyFill="1" applyBorder="1" applyAlignment="1">
      <alignment vertical="top"/>
    </xf>
    <xf numFmtId="0" fontId="127" fillId="37" borderId="44" xfId="0" applyFont="1" applyFill="1" applyBorder="1" applyAlignment="1">
      <alignment vertical="top"/>
    </xf>
    <xf numFmtId="0" fontId="127" fillId="37" borderId="45" xfId="0" applyFont="1" applyFill="1" applyBorder="1" applyAlignment="1">
      <alignment vertical="top"/>
    </xf>
    <xf numFmtId="0" fontId="127" fillId="37" borderId="46" xfId="0" applyFont="1" applyFill="1" applyBorder="1" applyAlignment="1">
      <alignment vertical="top"/>
    </xf>
    <xf numFmtId="0" fontId="127" fillId="37" borderId="47" xfId="0" applyFont="1" applyFill="1" applyBorder="1" applyAlignment="1">
      <alignment vertical="top"/>
    </xf>
    <xf numFmtId="9" fontId="127" fillId="37" borderId="44" xfId="0" applyNumberFormat="1" applyFont="1" applyFill="1" applyBorder="1" applyAlignment="1">
      <alignment vertical="top"/>
    </xf>
    <xf numFmtId="3" fontId="127" fillId="37" borderId="44" xfId="0" applyNumberFormat="1" applyFont="1" applyFill="1" applyBorder="1" applyAlignment="1">
      <alignment vertical="top"/>
    </xf>
    <xf numFmtId="0" fontId="0" fillId="37" borderId="49" xfId="0" applyFill="1" applyBorder="1" applyAlignment="1">
      <alignment vertical="top"/>
    </xf>
    <xf numFmtId="2" fontId="12" fillId="0" borderId="0" xfId="1" applyNumberFormat="1" applyAlignment="1">
      <alignment horizontal="left"/>
    </xf>
    <xf numFmtId="0" fontId="12" fillId="0" borderId="0" xfId="1" applyNumberFormat="1" applyAlignment="1">
      <alignment horizontal="left"/>
    </xf>
    <xf numFmtId="1" fontId="12" fillId="0" borderId="0" xfId="1" applyNumberFormat="1" applyAlignment="1">
      <alignment horizontal="left"/>
    </xf>
    <xf numFmtId="205" fontId="12" fillId="0" borderId="0" xfId="1" applyNumberFormat="1" applyAlignment="1">
      <alignment horizontal="left"/>
    </xf>
    <xf numFmtId="49" fontId="12" fillId="0" borderId="0" xfId="1" applyNumberFormat="1"/>
  </cellXfs>
  <cellStyles count="141">
    <cellStyle name=" 1" xfId="2"/>
    <cellStyle name=" 1 2" xfId="67"/>
    <cellStyle name=" 1 3" xfId="68"/>
    <cellStyle name=" 2" xfId="3"/>
    <cellStyle name=" 2 2" xfId="82"/>
    <cellStyle name="_Balance Sheet " xfId="5"/>
    <cellStyle name="_SUMMARY " xfId="7"/>
    <cellStyle name="_SUMMARY  2" xfId="83"/>
    <cellStyle name="0_Capex &amp; Depreciation " xfId="8"/>
    <cellStyle name="0_Capex &amp; Depreciation  2" xfId="84"/>
    <cellStyle name="0_P&amp;L-adj " xfId="9"/>
    <cellStyle name="0_Quarterly " xfId="10"/>
    <cellStyle name="0_Valuing BP " xfId="11"/>
    <cellStyle name="0_Valuing BP  2" xfId="85"/>
    <cellStyle name="20% - Accent1" xfId="12" builtinId="30" customBuiltin="1"/>
    <cellStyle name="20% - Accent1 2" xfId="86"/>
    <cellStyle name="20% - Accent2" xfId="13" builtinId="34" customBuiltin="1"/>
    <cellStyle name="20% - Accent2 2" xfId="87"/>
    <cellStyle name="20% - Accent3" xfId="14" builtinId="38" customBuiltin="1"/>
    <cellStyle name="20% - Accent3 2" xfId="88"/>
    <cellStyle name="20% - Accent4" xfId="15" builtinId="42" customBuiltin="1"/>
    <cellStyle name="20% - Accent4 2" xfId="89"/>
    <cellStyle name="20% - Accent5" xfId="16" builtinId="46" customBuiltin="1"/>
    <cellStyle name="20% - Accent5 2" xfId="90"/>
    <cellStyle name="20% - Accent6" xfId="17" builtinId="50" customBuiltin="1"/>
    <cellStyle name="20% - Accent6 2" xfId="91"/>
    <cellStyle name="40% - Accent1" xfId="18" builtinId="31" customBuiltin="1"/>
    <cellStyle name="40% - Accent1 2" xfId="92"/>
    <cellStyle name="40% - Accent2" xfId="19" builtinId="35" customBuiltin="1"/>
    <cellStyle name="40% - Accent2 2" xfId="93"/>
    <cellStyle name="40% - Accent3" xfId="20" builtinId="39" customBuiltin="1"/>
    <cellStyle name="40% - Accent3 2" xfId="94"/>
    <cellStyle name="40% - Accent4" xfId="21" builtinId="43" customBuiltin="1"/>
    <cellStyle name="40% - Accent4 2" xfId="95"/>
    <cellStyle name="40% - Accent5" xfId="22" builtinId="47" customBuiltin="1"/>
    <cellStyle name="40% - Accent5 2" xfId="96"/>
    <cellStyle name="40% - Accent6" xfId="23" builtinId="51" customBuiltin="1"/>
    <cellStyle name="40% - Accent6 2" xfId="97"/>
    <cellStyle name="60% - Accent1" xfId="24" builtinId="32" customBuiltin="1"/>
    <cellStyle name="60% - Accent1 2" xfId="98"/>
    <cellStyle name="60% - Accent2" xfId="25" builtinId="36" customBuiltin="1"/>
    <cellStyle name="60% - Accent2 2" xfId="99"/>
    <cellStyle name="60% - Accent3" xfId="26" builtinId="40" customBuiltin="1"/>
    <cellStyle name="60% - Accent3 2" xfId="100"/>
    <cellStyle name="60% - Accent4" xfId="27" builtinId="44" customBuiltin="1"/>
    <cellStyle name="60% - Accent4 2" xfId="101"/>
    <cellStyle name="60% - Accent5" xfId="28" builtinId="48" customBuiltin="1"/>
    <cellStyle name="60% - Accent5 2" xfId="102"/>
    <cellStyle name="60% - Accent6" xfId="29" builtinId="52" customBuiltin="1"/>
    <cellStyle name="60% - Accent6 2" xfId="103"/>
    <cellStyle name="Accent1" xfId="30" builtinId="29" customBuiltin="1"/>
    <cellStyle name="Accent1 2" xfId="104"/>
    <cellStyle name="Accent2" xfId="31" builtinId="33" customBuiltin="1"/>
    <cellStyle name="Accent2 2" xfId="105"/>
    <cellStyle name="Accent3" xfId="32" builtinId="37" customBuiltin="1"/>
    <cellStyle name="Accent3 2" xfId="106"/>
    <cellStyle name="Accent4" xfId="33" builtinId="41" customBuiltin="1"/>
    <cellStyle name="Accent4 2" xfId="107"/>
    <cellStyle name="Accent5" xfId="34" builtinId="45" customBuiltin="1"/>
    <cellStyle name="Accent5 2" xfId="108"/>
    <cellStyle name="Accent6" xfId="35" builtinId="49" customBuiltin="1"/>
    <cellStyle name="Accent6 2" xfId="109"/>
    <cellStyle name="Bad" xfId="36" builtinId="27" customBuiltin="1"/>
    <cellStyle name="Bad 2" xfId="110"/>
    <cellStyle name="c_HardInc " xfId="37"/>
    <cellStyle name="Calculation" xfId="38" builtinId="22" customBuiltin="1"/>
    <cellStyle name="Calculation 2" xfId="111"/>
    <cellStyle name="Check Cell" xfId="39" builtinId="23" customBuiltin="1"/>
    <cellStyle name="Comma" xfId="40" builtinId="3"/>
    <cellStyle name="Comma 2" xfId="69"/>
    <cellStyle name="Currency 2" xfId="6"/>
    <cellStyle name="Currency 3" xfId="137"/>
    <cellStyle name="Explanatory Text" xfId="41" builtinId="53" customBuiltin="1"/>
    <cellStyle name="Good" xfId="42" builtinId="26" customBuiltin="1"/>
    <cellStyle name="Good 2" xfId="112"/>
    <cellStyle name="Heading 1" xfId="43" builtinId="16" customBuiltin="1"/>
    <cellStyle name="Heading 1 2" xfId="113"/>
    <cellStyle name="Heading 2" xfId="44" builtinId="17" customBuiltin="1"/>
    <cellStyle name="Heading 2 2" xfId="114"/>
    <cellStyle name="Heading 3" xfId="45" builtinId="18" customBuiltin="1"/>
    <cellStyle name="Heading 3 2" xfId="115"/>
    <cellStyle name="Heading 4" xfId="46" builtinId="19" customBuiltin="1"/>
    <cellStyle name="Hyperlink 2" xfId="116"/>
    <cellStyle name="Hyperlink 2 2" xfId="138"/>
    <cellStyle name="Input" xfId="47" builtinId="20" customBuiltin="1"/>
    <cellStyle name="Input 2" xfId="117"/>
    <cellStyle name="Linked Cell" xfId="48" builtinId="24" customBuiltin="1"/>
    <cellStyle name="Linked Cell 2" xfId="118"/>
    <cellStyle name="Neutral" xfId="49" builtinId="28" customBuiltin="1"/>
    <cellStyle name="Neutral 2" xfId="119"/>
    <cellStyle name="Normal" xfId="0" builtinId="0"/>
    <cellStyle name="Normal 10" xfId="129"/>
    <cellStyle name="Normal 11" xfId="130"/>
    <cellStyle name="Normal 12" xfId="131"/>
    <cellStyle name="Normal 13" xfId="132"/>
    <cellStyle name="Normal 14" xfId="133"/>
    <cellStyle name="Normal 15" xfId="81"/>
    <cellStyle name="Normal 16" xfId="134"/>
    <cellStyle name="Normal 17" xfId="136"/>
    <cellStyle name="Normal 2" xfId="1"/>
    <cellStyle name="Normal 2 2" xfId="70"/>
    <cellStyle name="Normal 3" xfId="79"/>
    <cellStyle name="Normal 3 2" xfId="50"/>
    <cellStyle name="Normal 3 2 2" xfId="120"/>
    <cellStyle name="Normal 3 2 3" xfId="139"/>
    <cellStyle name="Normal 3 3" xfId="126"/>
    <cellStyle name="Normal 3 5" xfId="71"/>
    <cellStyle name="Normal 3 5 2" xfId="125"/>
    <cellStyle name="Normal 4" xfId="72"/>
    <cellStyle name="Normal 5" xfId="73"/>
    <cellStyle name="Normal 6" xfId="80"/>
    <cellStyle name="Normal 6 2" xfId="127"/>
    <cellStyle name="Normal 7" xfId="74"/>
    <cellStyle name="Normal 8" xfId="128"/>
    <cellStyle name="Normal 9" xfId="75"/>
    <cellStyle name="Normal_AVEO_RCC_Model" xfId="51"/>
    <cellStyle name="Normal_DisclaimerSheet Samples" xfId="140"/>
    <cellStyle name="Normal_MarketModels" xfId="52"/>
    <cellStyle name="Normal_MarketModels - AD &amp; EA" xfId="53"/>
    <cellStyle name="Normal_PCSK9 Analysis v2" xfId="54"/>
    <cellStyle name="Note" xfId="55" builtinId="10" customBuiltin="1"/>
    <cellStyle name="Note 2" xfId="121"/>
    <cellStyle name="Output" xfId="56" builtinId="21" customBuiltin="1"/>
    <cellStyle name="p " xfId="57"/>
    <cellStyle name="Percent" xfId="58" builtinId="5"/>
    <cellStyle name="Percent 2" xfId="59"/>
    <cellStyle name="Percent 2 2" xfId="76"/>
    <cellStyle name="Percent 2 3" xfId="60"/>
    <cellStyle name="Percent 2 3 2" xfId="122"/>
    <cellStyle name="Percent 3" xfId="77"/>
    <cellStyle name="Percent 4" xfId="78"/>
    <cellStyle name="Percent 5" xfId="135"/>
    <cellStyle name="RRSInstruction" xfId="4"/>
    <cellStyle name="s_HardInc " xfId="61"/>
    <cellStyle name="s_Valuation " xfId="62"/>
    <cellStyle name="ssp " xfId="63"/>
    <cellStyle name="Title" xfId="64" builtinId="15" customBuiltin="1"/>
    <cellStyle name="Title 2" xfId="123"/>
    <cellStyle name="Total" xfId="65" builtinId="25" customBuiltin="1"/>
    <cellStyle name="Total 2" xfId="124"/>
    <cellStyle name="Warning Text" xfId="66"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0000FF"/>
      <color rgb="FFACD6FF"/>
      <color rgb="FFF7964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externalLinks/externalLink1.xml" Type="http://schemas.openxmlformats.org/officeDocument/2006/relationships/externalLink"/>
<Relationship Id="rId27" Target="externalLinks/externalLink2.xml" Type="http://schemas.openxmlformats.org/officeDocument/2006/relationships/externalLink"/>
<Relationship Id="rId28" Target="externalLinks/externalLink3.xml" Type="http://schemas.openxmlformats.org/officeDocument/2006/relationships/externalLink"/>
<Relationship Id="rId29" Target="externalLinks/externalLink4.xml" Type="http://schemas.openxmlformats.org/officeDocument/2006/relationships/externalLink"/>
<Relationship Id="rId3" Target="worksheets/sheet3.xml" Type="http://schemas.openxmlformats.org/officeDocument/2006/relationships/worksheet"/>
<Relationship Id="rId30" Target="externalLinks/externalLink5.xml" Type="http://schemas.openxmlformats.org/officeDocument/2006/relationships/externalLink"/>
<Relationship Id="rId31" Target="externalLinks/externalLink6.xml" Type="http://schemas.openxmlformats.org/officeDocument/2006/relationships/externalLink"/>
<Relationship Id="rId32" Target="externalLinks/externalLink7.xml" Type="http://schemas.openxmlformats.org/officeDocument/2006/relationships/externalLink"/>
<Relationship Id="rId33" Target="externalLinks/externalLink8.xml" Type="http://schemas.openxmlformats.org/officeDocument/2006/relationships/externalLink"/>
<Relationship Id="rId34" Target="externalLinks/externalLink9.xml" Type="http://schemas.openxmlformats.org/officeDocument/2006/relationships/externalLink"/>
<Relationship Id="rId35" Target="externalLinks/externalLink10.xml" Type="http://schemas.openxmlformats.org/officeDocument/2006/relationships/externalLink"/>
<Relationship Id="rId36" Target="theme/theme1.xml" Type="http://schemas.openxmlformats.org/officeDocument/2006/relationships/theme"/>
<Relationship Id="rId37" Target="styles.xml" Type="http://schemas.openxmlformats.org/officeDocument/2006/relationships/styles"/>
<Relationship Id="rId38" Target="sharedStrings.xml" Type="http://schemas.openxmlformats.org/officeDocument/2006/relationships/sharedStrings"/>
<Relationship Id="rId39" Target="calcChain.xml" Type="http://schemas.openxmlformats.org/officeDocument/2006/relationships/calcChain"/>
<Relationship Id="rId4" Target="worksheets/sheet4.xml" Type="http://schemas.openxmlformats.org/officeDocument/2006/relationships/worksheet"/>
<Relationship Id="rId40" Target="../customXml/item1.xml" Type="http://schemas.openxmlformats.org/officeDocument/2006/relationships/customXml"/>
<Relationship Id="rId41" Target="../customXml/item2.xml" Type="http://schemas.openxmlformats.org/officeDocument/2006/relationships/customXml"/>
<Relationship Id="rId42" Target="vbaProject.bin" Type="http://schemas.microsoft.com/office/2006/relationships/vbaProjec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808080"/>
                </a:solidFill>
                <a:latin typeface="Arial"/>
                <a:ea typeface="Arial"/>
                <a:cs typeface="Arial"/>
              </a:defRPr>
            </a:pPr>
            <a:r>
              <a:t>Xolair Price (per 150 mg) Extrapolation to 2018</a:t>
            </a:r>
          </a:p>
        </c:rich>
      </c:tx>
      <c:layout>
        <c:manualLayout>
          <c:xMode val="edge"/>
          <c:yMode val="edge"/>
          <c:x val="0.23051444440091759"/>
          <c:y val="3.437500000000001E-2"/>
        </c:manualLayout>
      </c:layout>
      <c:overlay val="0"/>
      <c:spPr>
        <a:noFill/>
        <a:ln w="25400">
          <a:noFill/>
        </a:ln>
      </c:spPr>
    </c:title>
    <c:autoTitleDeleted val="0"/>
    <c:plotArea>
      <c:layout>
        <c:manualLayout>
          <c:layoutTarget val="inner"/>
          <c:xMode val="edge"/>
          <c:yMode val="edge"/>
          <c:x val="9.7844271228932217E-2"/>
          <c:y val="0.19375000000000001"/>
          <c:w val="0.85240602392662956"/>
          <c:h val="0.59687500000000004"/>
        </c:manualLayout>
      </c:layout>
      <c:scatterChart>
        <c:scatterStyle val="lineMarker"/>
        <c:varyColors val="0"/>
        <c:ser>
          <c:idx val="0"/>
          <c:order val="0"/>
          <c:spPr>
            <a:ln w="28575">
              <a:noFill/>
            </a:ln>
          </c:spPr>
          <c:marker>
            <c:symbol val="diamond"/>
            <c:size val="5"/>
            <c:spPr>
              <a:solidFill>
                <a:srgbClr val="1275A6"/>
              </a:solidFill>
              <a:ln>
                <a:solidFill>
                  <a:srgbClr val="1275A6"/>
                </a:solidFill>
                <a:prstDash val="solid"/>
              </a:ln>
            </c:spPr>
          </c:marker>
          <c:trendline>
            <c:spPr>
              <a:ln w="25400">
                <a:solidFill>
                  <a:srgbClr val="000000"/>
                </a:solidFill>
                <a:prstDash val="solid"/>
              </a:ln>
            </c:spPr>
            <c:trendlineType val="poly"/>
            <c:order val="2"/>
            <c:dispRSqr val="1"/>
            <c:dispEq val="1"/>
            <c:trendlineLbl>
              <c:numFmt formatCode="General" sourceLinked="0"/>
              <c:spPr>
                <a:noFill/>
                <a:ln w="25400">
                  <a:noFill/>
                </a:ln>
              </c:spPr>
              <c:txPr>
                <a:bodyPr/>
                <a:lstStyle/>
                <a:p>
                  <a:pPr>
                    <a:defRPr sz="900" b="0" i="0" u="none" strike="noStrike" baseline="0">
                      <a:solidFill>
                        <a:srgbClr val="808080"/>
                      </a:solidFill>
                      <a:latin typeface="Arial"/>
                      <a:ea typeface="Arial"/>
                      <a:cs typeface="Arial"/>
                    </a:defRPr>
                  </a:pPr>
                  <a:endParaRPr lang="en-US"/>
                </a:p>
              </c:txPr>
            </c:trendlineLbl>
          </c:trendline>
          <c:xVal>
            <c:numRef>
              <c:f>'Eosinophilic Asthma'!$AG$24:$AG$43</c:f>
              <c:numCache>
                <c:formatCode>General</c:formatCode>
                <c:ptCount val="18"/>
                <c:pt idx="0">
                  <c:v>3505</c:v>
                </c:pt>
                <c:pt idx="1">
                  <c:v>3325</c:v>
                </c:pt>
                <c:pt idx="2">
                  <c:v>3146</c:v>
                </c:pt>
                <c:pt idx="3">
                  <c:v>2967</c:v>
                </c:pt>
                <c:pt idx="4">
                  <c:v>2798</c:v>
                </c:pt>
                <c:pt idx="5">
                  <c:v>2604</c:v>
                </c:pt>
                <c:pt idx="6">
                  <c:v>2424</c:v>
                </c:pt>
                <c:pt idx="7">
                  <c:v>2244</c:v>
                </c:pt>
                <c:pt idx="8">
                  <c:v>2064</c:v>
                </c:pt>
                <c:pt idx="9">
                  <c:v>1884</c:v>
                </c:pt>
                <c:pt idx="10">
                  <c:v>1704</c:v>
                </c:pt>
                <c:pt idx="11">
                  <c:v>1532</c:v>
                </c:pt>
                <c:pt idx="12">
                  <c:v>1374</c:v>
                </c:pt>
                <c:pt idx="13">
                  <c:v>1180</c:v>
                </c:pt>
                <c:pt idx="14">
                  <c:v>987</c:v>
                </c:pt>
                <c:pt idx="15">
                  <c:v>734</c:v>
                </c:pt>
                <c:pt idx="16">
                  <c:v>414</c:v>
                </c:pt>
                <c:pt idx="17">
                  <c:v>0</c:v>
                </c:pt>
              </c:numCache>
            </c:numRef>
          </c:xVal>
          <c:yVal>
            <c:numRef>
              <c:f>'Eosinophilic Asthma'!$AH$24:$AH$43</c:f>
              <c:numCache>
                <c:formatCode>"$"#,##0.00_);[Red]\("$"#,##0.00\)</c:formatCode>
                <c:ptCount val="18"/>
                <c:pt idx="0">
                  <c:v>747.12</c:v>
                </c:pt>
                <c:pt idx="1">
                  <c:v>718.38</c:v>
                </c:pt>
                <c:pt idx="2">
                  <c:v>690.75</c:v>
                </c:pt>
                <c:pt idx="3">
                  <c:v>664.18</c:v>
                </c:pt>
                <c:pt idx="4">
                  <c:v>638.63</c:v>
                </c:pt>
                <c:pt idx="5">
                  <c:v>614.07000000000005</c:v>
                </c:pt>
                <c:pt idx="6">
                  <c:v>596.17999999999995</c:v>
                </c:pt>
                <c:pt idx="7">
                  <c:v>578.82000000000005</c:v>
                </c:pt>
                <c:pt idx="8">
                  <c:v>561.96</c:v>
                </c:pt>
                <c:pt idx="9">
                  <c:v>542.96</c:v>
                </c:pt>
                <c:pt idx="10">
                  <c:v>532.30999999999995</c:v>
                </c:pt>
                <c:pt idx="11">
                  <c:v>519.33000000000004</c:v>
                </c:pt>
                <c:pt idx="12">
                  <c:v>509.15</c:v>
                </c:pt>
                <c:pt idx="13">
                  <c:v>496.73</c:v>
                </c:pt>
                <c:pt idx="14">
                  <c:v>486.99</c:v>
                </c:pt>
                <c:pt idx="15">
                  <c:v>475.11</c:v>
                </c:pt>
                <c:pt idx="16">
                  <c:v>454.65</c:v>
                </c:pt>
                <c:pt idx="17">
                  <c:v>433</c:v>
                </c:pt>
              </c:numCache>
            </c:numRef>
          </c:yVal>
          <c:smooth val="0"/>
        </c:ser>
        <c:dLbls>
          <c:showLegendKey val="0"/>
          <c:showVal val="0"/>
          <c:showCatName val="0"/>
          <c:showSerName val="0"/>
          <c:showPercent val="0"/>
          <c:showBubbleSize val="0"/>
        </c:dLbls>
        <c:axId val="428960768"/>
        <c:axId val="428962944"/>
      </c:scatterChart>
      <c:valAx>
        <c:axId val="428960768"/>
        <c:scaling>
          <c:orientation val="minMax"/>
        </c:scaling>
        <c:delete val="0"/>
        <c:axPos val="b"/>
        <c:title>
          <c:tx>
            <c:rich>
              <a:bodyPr/>
              <a:lstStyle/>
              <a:p>
                <a:pPr>
                  <a:defRPr sz="900" b="1" i="0" u="none" strike="noStrike" baseline="0">
                    <a:solidFill>
                      <a:srgbClr val="808080"/>
                    </a:solidFill>
                    <a:latin typeface="Arial"/>
                    <a:ea typeface="Arial"/>
                    <a:cs typeface="Arial"/>
                  </a:defRPr>
                </a:pPr>
                <a:r>
                  <a:t>Days Since Launch</a:t>
                </a:r>
              </a:p>
            </c:rich>
          </c:tx>
          <c:layout>
            <c:manualLayout>
              <c:xMode val="edge"/>
              <c:yMode val="edge"/>
              <c:x val="0.43117814253317827"/>
              <c:y val="0.8843750000000000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428962944"/>
        <c:crosses val="autoZero"/>
        <c:crossBetween val="midCat"/>
      </c:valAx>
      <c:valAx>
        <c:axId val="428962944"/>
        <c:scaling>
          <c:orientation val="minMax"/>
        </c:scaling>
        <c:delete val="0"/>
        <c:axPos val="l"/>
        <c:numFmt formatCode="\$#,##0_);[Red]\(\$#,##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808080"/>
                </a:solidFill>
                <a:latin typeface="Arial"/>
                <a:ea typeface="Arial"/>
                <a:cs typeface="Arial"/>
              </a:defRPr>
            </a:pPr>
            <a:endParaRPr lang="en-US"/>
          </a:p>
        </c:txPr>
        <c:crossAx val="428960768"/>
        <c:crosses val="autoZero"/>
        <c:crossBetween val="midCat"/>
      </c:valAx>
      <c:spPr>
        <a:noFill/>
        <a:ln w="25400">
          <a:noFill/>
        </a:ln>
      </c:spPr>
    </c:plotArea>
    <c:plotVisOnly val="1"/>
    <c:dispBlanksAs val="gap"/>
    <c:showDLblsOverMax val="0"/>
  </c:chart>
  <c:spPr>
    <a:solidFill>
      <a:srgbClr val="FFFFFF"/>
    </a:solidFill>
    <a:ln w="9525">
      <a:noFill/>
    </a:ln>
  </c:spPr>
  <c:txPr>
    <a:bodyPr/>
    <a:lstStyle/>
    <a:p>
      <a:pPr>
        <a:defRPr sz="900" b="0" i="0" u="none" strike="noStrike" baseline="0">
          <a:solidFill>
            <a:srgbClr val="808080"/>
          </a:solidFill>
          <a:latin typeface="Arial"/>
          <a:ea typeface="Arial"/>
          <a:cs typeface="Arial"/>
        </a:defRPr>
      </a:pPr>
      <a:endParaRPr lang="en-US"/>
    </a:p>
  </c:txPr>
  <c:printSettings>
    <c:headerFooter alignWithMargins="0"/>
    <c:pageMargins b="1" l="0.750000000000001" r="0.750000000000001" t="1" header="0.5" footer="0.5"/>
    <c:pageSetup/>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png" Type="http://schemas.openxmlformats.org/officeDocument/2006/relationships/image"/>
<Relationship Id="rId10" Target="../media/image13.png" Type="http://schemas.openxmlformats.org/officeDocument/2006/relationships/image"/>
<Relationship Id="rId11" Target="../charts/chart1.xml" Type="http://schemas.openxmlformats.org/officeDocument/2006/relationships/chart"/>
<Relationship Id="rId2" Target="../media/image5.png" Type="http://schemas.openxmlformats.org/officeDocument/2006/relationships/image"/>
<Relationship Id="rId3" Target="../media/image6.png" Type="http://schemas.openxmlformats.org/officeDocument/2006/relationships/image"/>
<Relationship Id="rId4" Target="../media/image7.png" Type="http://schemas.openxmlformats.org/officeDocument/2006/relationships/image"/>
<Relationship Id="rId5" Target="../media/image8.png" Type="http://schemas.openxmlformats.org/officeDocument/2006/relationships/image"/>
<Relationship Id="rId6" Target="../media/image9.png" Type="http://schemas.openxmlformats.org/officeDocument/2006/relationships/image"/>
<Relationship Id="rId7" Target="../media/image10.png" Type="http://schemas.openxmlformats.org/officeDocument/2006/relationships/image"/>
<Relationship Id="rId8" Target="../media/image11.png" Type="http://schemas.openxmlformats.org/officeDocument/2006/relationships/image"/>
<Relationship Id="rId9" Target="../media/image12.png" Type="http://schemas.openxmlformats.org/officeDocument/2006/relationships/image"/>
</Relationships>

</file>

<file path=xl/drawings/_rels/drawing3.xml.rels><?xml version="1.0" encoding="UTF-8" standalone="yes"?>
<Relationships xmlns="http://schemas.openxmlformats.org/package/2006/relationships">
<Relationship Id="rId1" Target="../media/image14.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285750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172</xdr:row>
      <xdr:rowOff>0</xdr:rowOff>
    </xdr:from>
    <xdr:to>
      <xdr:col>6</xdr:col>
      <xdr:colOff>285750</xdr:colOff>
      <xdr:row>194</xdr:row>
      <xdr:rowOff>57150</xdr:rowOff>
    </xdr:to>
    <xdr:pic>
      <xdr:nvPicPr>
        <xdr:cNvPr id="241665" name="Picture 1" descr="C:\Users\purohvik\AppData\Local\Temp\MercuryPriceRatingHistoryChart\REGN.O_2018_04_13_01_21_04.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5842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66675</xdr:colOff>
      <xdr:row>23</xdr:row>
      <xdr:rowOff>76200</xdr:rowOff>
    </xdr:from>
    <xdr:to>
      <xdr:col>17</xdr:col>
      <xdr:colOff>600075</xdr:colOff>
      <xdr:row>56</xdr:row>
      <xdr:rowOff>76200</xdr:rowOff>
    </xdr:to>
    <xdr:pic>
      <xdr:nvPicPr>
        <xdr:cNvPr id="2663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6675" y="1943100"/>
          <a:ext cx="8372475" cy="5095875"/>
        </a:xfrm>
        <a:prstGeom prst="rect">
          <a:avLst/>
        </a:prstGeom>
        <a:noFill/>
        <a:ln w="9525">
          <a:noFill/>
          <a:miter lim="800000"/>
          <a:headEnd/>
          <a:tailEnd/>
        </a:ln>
      </xdr:spPr>
    </xdr:pic>
    <xdr:clientData/>
  </xdr:twoCellAnchor>
  <xdr:twoCellAnchor editAs="oneCell">
    <xdr:from>
      <xdr:col>1</xdr:col>
      <xdr:colOff>114300</xdr:colOff>
      <xdr:row>54</xdr:row>
      <xdr:rowOff>0</xdr:rowOff>
    </xdr:from>
    <xdr:to>
      <xdr:col>17</xdr:col>
      <xdr:colOff>581025</xdr:colOff>
      <xdr:row>66</xdr:row>
      <xdr:rowOff>76200</xdr:rowOff>
    </xdr:to>
    <xdr:pic>
      <xdr:nvPicPr>
        <xdr:cNvPr id="26633"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114300" y="6638925"/>
          <a:ext cx="8305800" cy="2019300"/>
        </a:xfrm>
        <a:prstGeom prst="rect">
          <a:avLst/>
        </a:prstGeom>
        <a:noFill/>
        <a:ln w="9525">
          <a:noFill/>
          <a:miter lim="800000"/>
          <a:headEnd/>
          <a:tailEnd/>
        </a:ln>
      </xdr:spPr>
    </xdr:pic>
    <xdr:clientData/>
  </xdr:twoCellAnchor>
  <xdr:twoCellAnchor editAs="oneCell">
    <xdr:from>
      <xdr:col>19</xdr:col>
      <xdr:colOff>542925</xdr:colOff>
      <xdr:row>20</xdr:row>
      <xdr:rowOff>123825</xdr:rowOff>
    </xdr:from>
    <xdr:to>
      <xdr:col>29</xdr:col>
      <xdr:colOff>342901</xdr:colOff>
      <xdr:row>50</xdr:row>
      <xdr:rowOff>57150</xdr:rowOff>
    </xdr:to>
    <xdr:pic>
      <xdr:nvPicPr>
        <xdr:cNvPr id="26634" name="Picture 3"/>
        <xdr:cNvPicPr>
          <a:picLocks noChangeAspect="1" noChangeArrowheads="1"/>
        </xdr:cNvPicPr>
      </xdr:nvPicPr>
      <xdr:blipFill>
        <a:blip xmlns:r="http://schemas.openxmlformats.org/officeDocument/2006/relationships" r:embed="rId3" cstate="print"/>
        <a:srcRect/>
        <a:stretch>
          <a:fillRect/>
        </a:stretch>
      </xdr:blipFill>
      <xdr:spPr bwMode="auto">
        <a:xfrm>
          <a:off x="15087600" y="1905000"/>
          <a:ext cx="5895975" cy="4143375"/>
        </a:xfrm>
        <a:prstGeom prst="rect">
          <a:avLst/>
        </a:prstGeom>
        <a:noFill/>
        <a:ln w="9525">
          <a:noFill/>
          <a:miter lim="800000"/>
          <a:headEnd/>
          <a:tailEnd/>
        </a:ln>
      </xdr:spPr>
    </xdr:pic>
    <xdr:clientData/>
  </xdr:twoCellAnchor>
  <xdr:twoCellAnchor editAs="oneCell">
    <xdr:from>
      <xdr:col>18</xdr:col>
      <xdr:colOff>142875</xdr:colOff>
      <xdr:row>47</xdr:row>
      <xdr:rowOff>47625</xdr:rowOff>
    </xdr:from>
    <xdr:to>
      <xdr:col>31</xdr:col>
      <xdr:colOff>323851</xdr:colOff>
      <xdr:row>66</xdr:row>
      <xdr:rowOff>114300</xdr:rowOff>
    </xdr:to>
    <xdr:pic>
      <xdr:nvPicPr>
        <xdr:cNvPr id="26635" name="Picture 4"/>
        <xdr:cNvPicPr>
          <a:picLocks noChangeAspect="1" noChangeArrowheads="1"/>
        </xdr:cNvPicPr>
      </xdr:nvPicPr>
      <xdr:blipFill>
        <a:blip xmlns:r="http://schemas.openxmlformats.org/officeDocument/2006/relationships" r:embed="rId4" cstate="print"/>
        <a:srcRect/>
        <a:stretch>
          <a:fillRect/>
        </a:stretch>
      </xdr:blipFill>
      <xdr:spPr bwMode="auto">
        <a:xfrm>
          <a:off x="14077950" y="5553075"/>
          <a:ext cx="8105775" cy="3143250"/>
        </a:xfrm>
        <a:prstGeom prst="rect">
          <a:avLst/>
        </a:prstGeom>
        <a:noFill/>
        <a:ln w="9525">
          <a:noFill/>
          <a:miter lim="800000"/>
          <a:headEnd/>
          <a:tailEnd/>
        </a:ln>
      </xdr:spPr>
    </xdr:pic>
    <xdr:clientData/>
  </xdr:twoCellAnchor>
  <xdr:twoCellAnchor editAs="oneCell">
    <xdr:from>
      <xdr:col>1</xdr:col>
      <xdr:colOff>209550</xdr:colOff>
      <xdr:row>67</xdr:row>
      <xdr:rowOff>114300</xdr:rowOff>
    </xdr:from>
    <xdr:to>
      <xdr:col>1</xdr:col>
      <xdr:colOff>3886200</xdr:colOff>
      <xdr:row>114</xdr:row>
      <xdr:rowOff>19050</xdr:rowOff>
    </xdr:to>
    <xdr:pic>
      <xdr:nvPicPr>
        <xdr:cNvPr id="26636" name="Picture 5"/>
        <xdr:cNvPicPr>
          <a:picLocks noChangeAspect="1" noChangeArrowheads="1"/>
        </xdr:cNvPicPr>
      </xdr:nvPicPr>
      <xdr:blipFill>
        <a:blip xmlns:r="http://schemas.openxmlformats.org/officeDocument/2006/relationships" r:embed="rId5" cstate="print"/>
        <a:srcRect/>
        <a:stretch>
          <a:fillRect/>
        </a:stretch>
      </xdr:blipFill>
      <xdr:spPr bwMode="auto">
        <a:xfrm>
          <a:off x="209550" y="8858250"/>
          <a:ext cx="3676650" cy="7515225"/>
        </a:xfrm>
        <a:prstGeom prst="rect">
          <a:avLst/>
        </a:prstGeom>
        <a:noFill/>
        <a:ln w="9525">
          <a:noFill/>
          <a:miter lim="800000"/>
          <a:headEnd/>
          <a:tailEnd/>
        </a:ln>
      </xdr:spPr>
    </xdr:pic>
    <xdr:clientData/>
  </xdr:twoCellAnchor>
  <xdr:twoCellAnchor editAs="oneCell">
    <xdr:from>
      <xdr:col>1</xdr:col>
      <xdr:colOff>4152900</xdr:colOff>
      <xdr:row>67</xdr:row>
      <xdr:rowOff>142875</xdr:rowOff>
    </xdr:from>
    <xdr:to>
      <xdr:col>24</xdr:col>
      <xdr:colOff>476250</xdr:colOff>
      <xdr:row>103</xdr:row>
      <xdr:rowOff>28575</xdr:rowOff>
    </xdr:to>
    <xdr:pic>
      <xdr:nvPicPr>
        <xdr:cNvPr id="26637" name="Picture 6"/>
        <xdr:cNvPicPr>
          <a:picLocks noChangeAspect="1" noChangeArrowheads="1"/>
        </xdr:cNvPicPr>
      </xdr:nvPicPr>
      <xdr:blipFill>
        <a:blip xmlns:r="http://schemas.openxmlformats.org/officeDocument/2006/relationships" r:embed="rId6" cstate="print"/>
        <a:srcRect/>
        <a:stretch>
          <a:fillRect/>
        </a:stretch>
      </xdr:blipFill>
      <xdr:spPr bwMode="auto">
        <a:xfrm>
          <a:off x="4152900" y="8886825"/>
          <a:ext cx="8429625" cy="5715000"/>
        </a:xfrm>
        <a:prstGeom prst="rect">
          <a:avLst/>
        </a:prstGeom>
        <a:noFill/>
        <a:ln w="9525">
          <a:noFill/>
          <a:miter lim="800000"/>
          <a:headEnd/>
          <a:tailEnd/>
        </a:ln>
      </xdr:spPr>
    </xdr:pic>
    <xdr:clientData/>
  </xdr:twoCellAnchor>
  <xdr:twoCellAnchor editAs="oneCell">
    <xdr:from>
      <xdr:col>11</xdr:col>
      <xdr:colOff>0</xdr:colOff>
      <xdr:row>104</xdr:row>
      <xdr:rowOff>47625</xdr:rowOff>
    </xdr:from>
    <xdr:to>
      <xdr:col>19</xdr:col>
      <xdr:colOff>466725</xdr:colOff>
      <xdr:row>133</xdr:row>
      <xdr:rowOff>9525</xdr:rowOff>
    </xdr:to>
    <xdr:pic>
      <xdr:nvPicPr>
        <xdr:cNvPr id="26638" name="Picture 8"/>
        <xdr:cNvPicPr>
          <a:picLocks noChangeAspect="1" noChangeArrowheads="1"/>
        </xdr:cNvPicPr>
      </xdr:nvPicPr>
      <xdr:blipFill>
        <a:blip xmlns:r="http://schemas.openxmlformats.org/officeDocument/2006/relationships" r:embed="rId7" cstate="print"/>
        <a:srcRect/>
        <a:stretch>
          <a:fillRect/>
        </a:stretch>
      </xdr:blipFill>
      <xdr:spPr bwMode="auto">
        <a:xfrm>
          <a:off x="9667875" y="14782800"/>
          <a:ext cx="5343525" cy="4657725"/>
        </a:xfrm>
        <a:prstGeom prst="rect">
          <a:avLst/>
        </a:prstGeom>
        <a:noFill/>
        <a:ln w="9525">
          <a:noFill/>
          <a:miter lim="800000"/>
          <a:headEnd/>
          <a:tailEnd/>
        </a:ln>
      </xdr:spPr>
    </xdr:pic>
    <xdr:clientData/>
  </xdr:twoCellAnchor>
  <xdr:twoCellAnchor editAs="oneCell">
    <xdr:from>
      <xdr:col>1</xdr:col>
      <xdr:colOff>4171950</xdr:colOff>
      <xdr:row>133</xdr:row>
      <xdr:rowOff>152400</xdr:rowOff>
    </xdr:from>
    <xdr:to>
      <xdr:col>22</xdr:col>
      <xdr:colOff>523875</xdr:colOff>
      <xdr:row>136</xdr:row>
      <xdr:rowOff>85725</xdr:rowOff>
    </xdr:to>
    <xdr:pic>
      <xdr:nvPicPr>
        <xdr:cNvPr id="26639" name="Picture 9"/>
        <xdr:cNvPicPr>
          <a:picLocks noChangeAspect="1" noChangeArrowheads="1"/>
        </xdr:cNvPicPr>
      </xdr:nvPicPr>
      <xdr:blipFill>
        <a:blip xmlns:r="http://schemas.openxmlformats.org/officeDocument/2006/relationships" r:embed="rId8" cstate="print"/>
        <a:srcRect/>
        <a:stretch>
          <a:fillRect/>
        </a:stretch>
      </xdr:blipFill>
      <xdr:spPr bwMode="auto">
        <a:xfrm>
          <a:off x="4171950" y="19583400"/>
          <a:ext cx="7239000" cy="419100"/>
        </a:xfrm>
        <a:prstGeom prst="rect">
          <a:avLst/>
        </a:prstGeom>
        <a:noFill/>
        <a:ln w="9525">
          <a:noFill/>
          <a:miter lim="800000"/>
          <a:headEnd/>
          <a:tailEnd/>
        </a:ln>
      </xdr:spPr>
    </xdr:pic>
    <xdr:clientData/>
  </xdr:twoCellAnchor>
  <xdr:twoCellAnchor editAs="oneCell">
    <xdr:from>
      <xdr:col>1</xdr:col>
      <xdr:colOff>4162425</xdr:colOff>
      <xdr:row>137</xdr:row>
      <xdr:rowOff>28575</xdr:rowOff>
    </xdr:from>
    <xdr:to>
      <xdr:col>24</xdr:col>
      <xdr:colOff>342900</xdr:colOff>
      <xdr:row>171</xdr:row>
      <xdr:rowOff>0</xdr:rowOff>
    </xdr:to>
    <xdr:pic>
      <xdr:nvPicPr>
        <xdr:cNvPr id="26640" name="Picture 10"/>
        <xdr:cNvPicPr>
          <a:picLocks noChangeAspect="1" noChangeArrowheads="1"/>
        </xdr:cNvPicPr>
      </xdr:nvPicPr>
      <xdr:blipFill>
        <a:blip xmlns:r="http://schemas.openxmlformats.org/officeDocument/2006/relationships" r:embed="rId9" cstate="print"/>
        <a:srcRect/>
        <a:stretch>
          <a:fillRect/>
        </a:stretch>
      </xdr:blipFill>
      <xdr:spPr bwMode="auto">
        <a:xfrm>
          <a:off x="4162425" y="20107275"/>
          <a:ext cx="8286750" cy="5476875"/>
        </a:xfrm>
        <a:prstGeom prst="rect">
          <a:avLst/>
        </a:prstGeom>
        <a:noFill/>
        <a:ln w="9525">
          <a:noFill/>
          <a:miter lim="800000"/>
          <a:headEnd/>
          <a:tailEnd/>
        </a:ln>
      </xdr:spPr>
    </xdr:pic>
    <xdr:clientData/>
  </xdr:twoCellAnchor>
  <xdr:twoCellAnchor editAs="oneCell">
    <xdr:from>
      <xdr:col>11</xdr:col>
      <xdr:colOff>114300</xdr:colOff>
      <xdr:row>171</xdr:row>
      <xdr:rowOff>9525</xdr:rowOff>
    </xdr:from>
    <xdr:to>
      <xdr:col>14</xdr:col>
      <xdr:colOff>447675</xdr:colOff>
      <xdr:row>172</xdr:row>
      <xdr:rowOff>85725</xdr:rowOff>
    </xdr:to>
    <xdr:pic>
      <xdr:nvPicPr>
        <xdr:cNvPr id="26641" name="Picture 11"/>
        <xdr:cNvPicPr>
          <a:picLocks noChangeAspect="1" noChangeArrowheads="1"/>
        </xdr:cNvPicPr>
      </xdr:nvPicPr>
      <xdr:blipFill>
        <a:blip xmlns:r="http://schemas.openxmlformats.org/officeDocument/2006/relationships" r:embed="rId10" cstate="print"/>
        <a:srcRect/>
        <a:stretch>
          <a:fillRect/>
        </a:stretch>
      </xdr:blipFill>
      <xdr:spPr bwMode="auto">
        <a:xfrm>
          <a:off x="9782175" y="25593675"/>
          <a:ext cx="2162175" cy="238125"/>
        </a:xfrm>
        <a:prstGeom prst="rect">
          <a:avLst/>
        </a:prstGeom>
        <a:noFill/>
        <a:ln w="9525">
          <a:noFill/>
          <a:miter lim="800000"/>
          <a:headEnd/>
          <a:tailEnd/>
        </a:ln>
      </xdr:spPr>
    </xdr:pic>
    <xdr:clientData/>
  </xdr:twoCellAnchor>
  <xdr:twoCellAnchor>
    <xdr:from>
      <xdr:col>37</xdr:col>
      <xdr:colOff>238125</xdr:colOff>
      <xdr:row>22</xdr:row>
      <xdr:rowOff>133350</xdr:rowOff>
    </xdr:from>
    <xdr:to>
      <xdr:col>46</xdr:col>
      <xdr:colOff>495300</xdr:colOff>
      <xdr:row>43</xdr:row>
      <xdr:rowOff>133350</xdr:rowOff>
    </xdr:to>
    <xdr:graphicFrame macro="">
      <xdr:nvGraphicFramePr>
        <xdr:cNvPr id="26642"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533400</xdr:colOff>
      <xdr:row>20</xdr:row>
      <xdr:rowOff>19050</xdr:rowOff>
    </xdr:from>
    <xdr:to>
      <xdr:col>12</xdr:col>
      <xdr:colOff>495300</xdr:colOff>
      <xdr:row>49</xdr:row>
      <xdr:rowOff>152400</xdr:rowOff>
    </xdr:to>
    <xdr:pic>
      <xdr:nvPicPr>
        <xdr:cNvPr id="27651"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533400" y="1800225"/>
          <a:ext cx="8324850" cy="48291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HEALTH/Pharma/Risinger/models/LLY/LLYwk.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HEALTH/Pharma/Risinger/models/WYE/WYE_Charts.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HEALTH/Pharma/Risinger/models/PFE/PFE_Charts.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file://///msad/root/na/ny/users/johndasc/Docs/ID/Charts/Sandbox/BtoB.xls" TargetMode="External" Type="http://schemas.openxmlformats.org/officeDocument/2006/relationships/externalLinkPath"/>
</Relationships>

</file>

<file path=xl/externalLinks/_rels/externalLink6.xml.rels><?xml version="1.0" encoding="UTF-8" standalone="yes"?>
<Relationships xmlns="http://schemas.openxmlformats.org/package/2006/relationships">
<Relationship Id="rId1" Target="HEALTH/Sapna/Companies/CELG/Miscellaneous/Revlimid%20Pricing.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HEALTH/Pharma/Risinger/models/LLY/LLY_Charts.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HEALTH/Pharma/Risinger/models/BMY/BMY_Charts.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health/RubinJ/Company/WLA/WLAwork1.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RI"/>
      <sheetName val="BULLBEAR"/>
      <sheetName val="Sheet2"/>
      <sheetName val="DCF"/>
      <sheetName val="MWA RR"/>
      <sheetName val="Cash Flow"/>
      <sheetName val="upside_downside"/>
      <sheetName val="Income Statement"/>
      <sheetName val="Balance Sheet"/>
      <sheetName val="REVENUE BY GEOGRAPHY"/>
      <sheetName val="NonQtr"/>
      <sheetName val="Data 20d"/>
      <sheetName val="Data"/>
      <sheetName val="Risk-Reward_View_Chart"/>
      <sheetName val="Valsum"/>
      <sheetName val="Interims"/>
      <sheetName val="Financial Statements"/>
      <sheetName val="Good 12-00 (2)"/>
      <sheetName val="Good 11-36"/>
      <sheetName val="Good 11-50"/>
      <sheetName val="Sheet3 (5)"/>
      <sheetName val="Inputs"/>
      <sheetName val="FX"/>
      <sheetName val="Summary"/>
      <sheetName val="Floater Demand"/>
      <sheetName val="CPB"/>
      <sheetName val="Total_Food_Promo"/>
      <sheetName val="CPB_2yr"/>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rev change analysis"/>
      <sheetName val="rev contribution analysis"/>
      <sheetName val="WP Detail "/>
      <sheetName val="Model"/>
      <sheetName val="Sheet4"/>
      <sheetName val="ForeignStake"/>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Basket_June09_2010"/>
      <sheetName val="C1070"/>
      <sheetName val="Basket_Jan09"/>
      <sheetName val="Basket_2010"/>
      <sheetName val="Inflation v Price 6mth lag"/>
      <sheetName val="Basket_2011"/>
      <sheetName val="Basket_June09"/>
      <sheetName val="Basket_June09_Futures"/>
      <sheetName val="Commodities Exposure"/>
      <sheetName val=" Capital"/>
      <sheetName val="New Business"/>
      <sheetName val="Charts"/>
      <sheetName val="Pension"/>
      <sheetName val="Walk"/>
      <sheetName val="Chart 6"/>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summary"/>
      <sheetName val="consensus"/>
      <sheetName val="Gaap Adj"/>
      <sheetName val="COVER SHEET"/>
      <sheetName val="MW-Cache"/>
      <sheetName val="__FDSCACHE__"/>
      <sheetName val="IS-ANNUAL"/>
      <sheetName val="IS-QTRLY"/>
      <sheetName val="REV-ANNUAL"/>
      <sheetName val="REV-QTRLY"/>
      <sheetName val="SEL_FRANCHISES"/>
      <sheetName val="CFBS"/>
      <sheetName val="FOOTNOTES"/>
      <sheetName val="AGREEMENTS"/>
      <sheetName val="MGMT PROJECTIONS"/>
      <sheetName val="PIPELINE"/>
      <sheetName val="PIPELINE_UNADJ"/>
      <sheetName val="DCF"/>
      <sheetName val="DEBT"/>
      <sheetName val="patent expirations"/>
      <sheetName val="Var-YOY"/>
      <sheetName val="Var-Seq"/>
      <sheetName val="revenue snapshot"/>
      <sheetName val="rev contribution analysis"/>
      <sheetName val="rev change analysis"/>
      <sheetName val="2015 rev change"/>
      <sheetName val="MWA RR"/>
      <sheetName val="mwareDates"/>
      <sheetName val="MW Valuation"/>
      <sheetName val="mwareSettings"/>
      <sheetName val="ANOMALIES"/>
      <sheetName val="ASSUMPTIONS"/>
      <sheetName val="2008 pro forma EPS (wIMCL)"/>
      <sheetName val="prasugrel sales potential"/>
      <sheetName val="prasugrel npv"/>
      <sheetName val="Cialis JV"/>
      <sheetName val="tabs"/>
      <sheetName val="pipeline_summary"/>
      <sheetName val="C38001"/>
      <sheetName val="C3800"/>
      <sheetName val="Product Mix"/>
      <sheetName val="calendar"/>
      <sheetName val="patents"/>
      <sheetName val="launches"/>
      <sheetName val="pipeline handout"/>
      <sheetName val="FCF vs Guidance"/>
      <sheetName val="#REF"/>
      <sheetName val="diabetes_multiple"/>
      <sheetName val="TR Convert"/>
      <sheetName val="Annual"/>
      <sheetName val="Becker"/>
      <sheetName val="HGSI"/>
      <sheetName val="Partnerships"/>
    </sheetNames>
    <sheetDataSet>
      <sheetData sheetId="0" refreshError="1"/>
      <sheetData sheetId="1">
        <row r="1">
          <cell r="B1" t="str">
            <v>Eli Lilly &amp; Co.</v>
          </cell>
        </row>
      </sheetData>
      <sheetData sheetId="2"/>
      <sheetData sheetId="3"/>
      <sheetData sheetId="4"/>
      <sheetData sheetId="5"/>
      <sheetData sheetId="6"/>
      <sheetData sheetId="7" refreshError="1"/>
      <sheetData sheetId="8"/>
      <sheetData sheetId="9" refreshError="1"/>
      <sheetData sheetId="10"/>
      <sheetData sheetId="11"/>
      <sheetData sheetId="12"/>
      <sheetData sheetId="13" refreshError="1"/>
      <sheetData sheetId="14" refreshError="1"/>
      <sheetData sheetId="15"/>
      <sheetData sheetId="16"/>
      <sheetData sheetId="17"/>
      <sheetData sheetId="18" refreshError="1"/>
      <sheetData sheetId="19"/>
      <sheetData sheetId="20"/>
      <sheetData sheetId="21"/>
      <sheetData sheetId="22"/>
      <sheetData sheetId="23"/>
      <sheetData sheetId="24" refreshError="1">
        <row r="1">
          <cell r="U1" t="str">
            <v>SmartCharts</v>
          </cell>
          <cell r="BD1" t="str">
            <v>.</v>
          </cell>
        </row>
        <row r="2">
          <cell r="BD2" t="str">
            <v>.</v>
          </cell>
        </row>
        <row r="3">
          <cell r="BD3" t="str">
            <v>.</v>
          </cell>
        </row>
        <row r="4">
          <cell r="BD4" t="str">
            <v>.</v>
          </cell>
        </row>
        <row r="5">
          <cell r="C5" t="str">
            <v>Define value axis here:</v>
          </cell>
        </row>
        <row r="6">
          <cell r="C6" t="str">
            <v>Eli Lilly revenue contributions 2010E-2015E</v>
          </cell>
        </row>
        <row r="10">
          <cell r="C10" t="str">
            <v>Input your data here:</v>
          </cell>
          <cell r="BD10" t="str">
            <v>.</v>
          </cell>
        </row>
        <row r="11">
          <cell r="C11" t="str">
            <v>Sales ($M)</v>
          </cell>
          <cell r="D11" t="str">
            <v>2010E</v>
          </cell>
          <cell r="E11" t="str">
            <v>2011E</v>
          </cell>
          <cell r="F11" t="str">
            <v>2012E</v>
          </cell>
          <cell r="G11" t="str">
            <v>2013E</v>
          </cell>
          <cell r="H11" t="str">
            <v>2014E</v>
          </cell>
          <cell r="I11" t="str">
            <v>2015E</v>
          </cell>
          <cell r="BD11" t="str">
            <v>.</v>
          </cell>
        </row>
        <row r="12">
          <cell r="C12" t="str">
            <v>In-line products</v>
          </cell>
          <cell r="D12">
            <v>8741.7301775000014</v>
          </cell>
          <cell r="E12">
            <v>9422.206420550001</v>
          </cell>
          <cell r="F12">
            <v>9908.4720542889991</v>
          </cell>
          <cell r="G12">
            <v>10300.675416810274</v>
          </cell>
          <cell r="H12">
            <v>10709.128179281421</v>
          </cell>
          <cell r="I12">
            <v>10990.829805762725</v>
          </cell>
          <cell r="BD12" t="str">
            <v>.</v>
          </cell>
        </row>
        <row r="13">
          <cell r="C13" t="str">
            <v>Pipeline products launching 2010–2015</v>
          </cell>
          <cell r="D13">
            <v>141.25</v>
          </cell>
          <cell r="E13">
            <v>332.1875</v>
          </cell>
          <cell r="F13">
            <v>643.02499999999986</v>
          </cell>
          <cell r="G13">
            <v>1188.9100000000001</v>
          </cell>
          <cell r="H13">
            <v>2060.8072999999999</v>
          </cell>
          <cell r="I13">
            <v>3252.5061575</v>
          </cell>
          <cell r="BD13" t="str">
            <v>.</v>
          </cell>
        </row>
        <row r="14">
          <cell r="C14" t="str">
            <v>Products expiring 2010–2015</v>
          </cell>
          <cell r="D14">
            <v>13516.758760000001</v>
          </cell>
          <cell r="E14">
            <v>13145.262609800002</v>
          </cell>
          <cell r="F14">
            <v>10919.249930854003</v>
          </cell>
          <cell r="G14">
            <v>10206.164042898221</v>
          </cell>
          <cell r="H14">
            <v>7639.4611699592915</v>
          </cell>
          <cell r="I14">
            <v>5257.1242554678174</v>
          </cell>
          <cell r="BD14" t="str">
            <v>.</v>
          </cell>
        </row>
        <row r="15">
          <cell r="C15" t="str">
            <v>Δ in expiring products off 2010 base</v>
          </cell>
          <cell r="D15">
            <v>0</v>
          </cell>
          <cell r="E15">
            <v>-371.49615019999874</v>
          </cell>
          <cell r="F15">
            <v>-2597.5088291459979</v>
          </cell>
          <cell r="G15">
            <v>-3310.5947171017797</v>
          </cell>
          <cell r="H15">
            <v>-5877.2975900407091</v>
          </cell>
          <cell r="I15">
            <v>-8259.6345045321832</v>
          </cell>
          <cell r="BD15" t="str">
            <v>.</v>
          </cell>
        </row>
        <row r="16">
          <cell r="C16" t="str">
            <v>Net product sales</v>
          </cell>
          <cell r="D16">
            <v>22399.738937500002</v>
          </cell>
          <cell r="E16">
            <v>22899.656530350003</v>
          </cell>
          <cell r="F16">
            <v>21470.746985143003</v>
          </cell>
          <cell r="G16">
            <v>21695.749459708495</v>
          </cell>
          <cell r="H16">
            <v>20409.396649240713</v>
          </cell>
          <cell r="I16">
            <v>19500.460218730543</v>
          </cell>
          <cell r="BD16" t="str">
            <v>.</v>
          </cell>
        </row>
        <row r="17">
          <cell r="BD17" t="str">
            <v>.</v>
          </cell>
        </row>
        <row r="18">
          <cell r="BD18"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M37" t="str">
            <v>Do not change the width of the exhibit or font sizes (they are optimized for export to Word).</v>
          </cell>
          <cell r="BD37" t="str">
            <v>.</v>
          </cell>
        </row>
        <row r="38">
          <cell r="BD38" t="str">
            <v>.</v>
          </cell>
        </row>
        <row r="39">
          <cell r="M39" t="str">
            <v>Do not delete any rows or columns (some gray cells are used for calculations).</v>
          </cell>
          <cell r="BD39" t="str">
            <v>.</v>
          </cell>
        </row>
        <row r="40">
          <cell r="BD40" t="str">
            <v>.</v>
          </cell>
        </row>
        <row r="41">
          <cell r="BD41" t="str">
            <v>.</v>
          </cell>
        </row>
        <row r="42">
          <cell r="BD42" t="str">
            <v>.</v>
          </cell>
        </row>
        <row r="43">
          <cell r="BD43" t="str">
            <v>.</v>
          </cell>
        </row>
        <row r="44">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BD996" t="str">
            <v>.</v>
          </cell>
        </row>
        <row r="997">
          <cell r="A997" t="str">
            <v>.</v>
          </cell>
          <cell r="B997" t="str">
            <v>.</v>
          </cell>
          <cell r="C997" t="str">
            <v>.</v>
          </cell>
          <cell r="D997" t="str">
            <v>.</v>
          </cell>
          <cell r="E997" t="str">
            <v>.</v>
          </cell>
          <cell r="F997" t="str">
            <v>.</v>
          </cell>
          <cell r="G997" t="str">
            <v>.</v>
          </cell>
          <cell r="H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cell r="BD997" t="str">
            <v>.</v>
          </cell>
        </row>
      </sheetData>
      <sheetData sheetId="25" refreshError="1">
        <row r="1">
          <cell r="U1" t="str">
            <v>SmartCharts</v>
          </cell>
          <cell r="BD1" t="str">
            <v>.</v>
          </cell>
        </row>
        <row r="2">
          <cell r="BD2" t="str">
            <v>.</v>
          </cell>
        </row>
        <row r="3">
          <cell r="BD3" t="str">
            <v>.</v>
          </cell>
        </row>
        <row r="4">
          <cell r="BD4" t="str">
            <v>.</v>
          </cell>
        </row>
        <row r="5">
          <cell r="C5" t="str">
            <v>Define value axis here:</v>
          </cell>
        </row>
        <row r="6">
          <cell r="C6" t="str">
            <v>Eli Lilly YOY revenue change 2010E-2015E</v>
          </cell>
        </row>
        <row r="10">
          <cell r="C10" t="str">
            <v>Input your data here:</v>
          </cell>
          <cell r="BD10" t="str">
            <v>.</v>
          </cell>
        </row>
        <row r="11">
          <cell r="C11" t="str">
            <v>Sales ($M)</v>
          </cell>
          <cell r="D11" t="str">
            <v>2011E</v>
          </cell>
          <cell r="E11" t="str">
            <v>2012E</v>
          </cell>
          <cell r="F11" t="str">
            <v>2013E</v>
          </cell>
          <cell r="G11" t="str">
            <v>2014E</v>
          </cell>
          <cell r="H11" t="str">
            <v>2015E</v>
          </cell>
          <cell r="BC11" t="str">
            <v>.</v>
          </cell>
        </row>
        <row r="12">
          <cell r="C12" t="str">
            <v>In-line products</v>
          </cell>
          <cell r="D12">
            <v>680.47624304999954</v>
          </cell>
          <cell r="E12">
            <v>486.26563373899808</v>
          </cell>
          <cell r="F12">
            <v>392.20336252127527</v>
          </cell>
          <cell r="G12">
            <v>408.45276247114634</v>
          </cell>
          <cell r="H12">
            <v>281.70162648130463</v>
          </cell>
          <cell r="BC12" t="str">
            <v>.</v>
          </cell>
        </row>
        <row r="13">
          <cell r="A13" t="str">
            <v>.</v>
          </cell>
          <cell r="C13" t="str">
            <v>Pipeline products launching 2010–2015</v>
          </cell>
          <cell r="D13">
            <v>190.9375</v>
          </cell>
          <cell r="E13">
            <v>310.83749999999986</v>
          </cell>
          <cell r="F13">
            <v>545.88500000000022</v>
          </cell>
          <cell r="G13">
            <v>871.89729999999986</v>
          </cell>
          <cell r="H13">
            <v>1191.6988575</v>
          </cell>
          <cell r="BC13" t="str">
            <v>.</v>
          </cell>
        </row>
        <row r="14">
          <cell r="C14" t="str">
            <v>Products expiring 2010–2015</v>
          </cell>
          <cell r="D14">
            <v>-371.49615019999874</v>
          </cell>
          <cell r="E14">
            <v>-2226.0126789459991</v>
          </cell>
          <cell r="F14">
            <v>-713.0858879557818</v>
          </cell>
          <cell r="G14">
            <v>-2566.7028729389294</v>
          </cell>
          <cell r="H14">
            <v>-2382.3369144914741</v>
          </cell>
          <cell r="BC14" t="str">
            <v>.</v>
          </cell>
        </row>
        <row r="15">
          <cell r="C15" t="str">
            <v>Net YOY change</v>
          </cell>
          <cell r="D15">
            <v>499.9175928500008</v>
          </cell>
          <cell r="E15">
            <v>-1428.9095452069996</v>
          </cell>
          <cell r="F15">
            <v>225.00247456549187</v>
          </cell>
          <cell r="G15">
            <v>-1286.3528104677825</v>
          </cell>
          <cell r="H15">
            <v>-908.93643051016988</v>
          </cell>
          <cell r="BC15" t="str">
            <v>.</v>
          </cell>
        </row>
        <row r="16">
          <cell r="BC16" t="str">
            <v>.</v>
          </cell>
        </row>
        <row r="17">
          <cell r="BD17" t="str">
            <v>.</v>
          </cell>
        </row>
        <row r="18">
          <cell r="BD18"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M37" t="str">
            <v>Do not change the width of the exhibit or font sizes (they are optimized for export to Word).</v>
          </cell>
          <cell r="BD37" t="str">
            <v>.</v>
          </cell>
        </row>
        <row r="38">
          <cell r="BD38" t="str">
            <v>.</v>
          </cell>
        </row>
        <row r="39">
          <cell r="M39" t="str">
            <v>Do not delete any rows or columns (some gray cells are used for calculations).</v>
          </cell>
          <cell r="BD39" t="str">
            <v>.</v>
          </cell>
        </row>
        <row r="40">
          <cell r="BD40" t="str">
            <v>.</v>
          </cell>
        </row>
        <row r="41">
          <cell r="BD41" t="str">
            <v>.</v>
          </cell>
        </row>
        <row r="42">
          <cell r="BD42" t="str">
            <v>.</v>
          </cell>
        </row>
        <row r="43">
          <cell r="BD43" t="str">
            <v>.</v>
          </cell>
        </row>
        <row r="44">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C996" t="str">
            <v>.</v>
          </cell>
          <cell r="D996" t="str">
            <v>.</v>
          </cell>
          <cell r="E996" t="str">
            <v>.</v>
          </cell>
          <cell r="F996" t="str">
            <v>.</v>
          </cell>
          <cell r="G996" t="str">
            <v>.</v>
          </cell>
          <cell r="H996" t="str">
            <v>.</v>
          </cell>
          <cell r="BD996" t="str">
            <v>.</v>
          </cell>
        </row>
        <row r="997">
          <cell r="A997" t="str">
            <v>.</v>
          </cell>
          <cell r="B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cell r="BD997" t="str">
            <v>.</v>
          </cell>
        </row>
      </sheetData>
      <sheetData sheetId="26"/>
      <sheetData sheetId="27">
        <row r="1">
          <cell r="A1" t="str">
            <v>RRS-5.10</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row>
        <row r="4">
          <cell r="B4" t="str">
            <v>Ticker:</v>
          </cell>
          <cell r="C4" t="str">
            <v>LLY.N</v>
          </cell>
          <cell r="E4" t="str">
            <v>Company Name:</v>
          </cell>
          <cell r="F4" t="str">
            <v>Eli Lilly &amp; Co.</v>
          </cell>
          <cell r="I4" t="str">
            <v>Sedol:</v>
          </cell>
          <cell r="J4">
            <v>2516152</v>
          </cell>
          <cell r="K4" t="str">
            <v>#Refresh#</v>
          </cell>
        </row>
        <row r="5">
          <cell r="B5" t="str">
            <v xml:space="preserve">Chart Data Inputs (decimal formats will reflect on chart): </v>
          </cell>
          <cell r="H5" t="str">
            <v>Risk Reward Chart Gallery 
(Click on the below image for other Risk-Reward Charts)</v>
          </cell>
        </row>
        <row r="6">
          <cell r="B6" t="str">
            <v>Bull Case</v>
          </cell>
          <cell r="C6">
            <v>42</v>
          </cell>
          <cell r="AA6" t="str">
            <v>mstag:bullCaseValueEstimatePerShare</v>
          </cell>
          <cell r="AB6">
            <v>0</v>
          </cell>
          <cell r="AC6" t="str">
            <v>ISO4217:USD</v>
          </cell>
          <cell r="AD6" t="b">
            <v>0</v>
          </cell>
        </row>
        <row r="7">
          <cell r="B7" t="str">
            <v>Base Case</v>
          </cell>
          <cell r="C7">
            <v>37</v>
          </cell>
          <cell r="AA7" t="str">
            <v>mstag:met_12monthIntrinsicValueEstimate</v>
          </cell>
          <cell r="AB7">
            <v>0</v>
          </cell>
          <cell r="AC7" t="str">
            <v>ISO4217:USD</v>
          </cell>
          <cell r="AD7" t="b">
            <v>0</v>
          </cell>
        </row>
        <row r="8">
          <cell r="B8" t="str">
            <v>Bear Case</v>
          </cell>
          <cell r="C8">
            <v>32</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v>37</v>
          </cell>
          <cell r="O11" t="b">
            <v>1</v>
          </cell>
        </row>
        <row r="12">
          <cell r="B12" t="str">
            <v>Currency</v>
          </cell>
          <cell r="C12" t="str">
            <v>USD American Dollar</v>
          </cell>
          <cell r="F12">
            <v>0</v>
          </cell>
        </row>
        <row r="13">
          <cell r="B13" t="str">
            <v>Currency Symbol</v>
          </cell>
          <cell r="C13" t="str">
            <v>$</v>
          </cell>
          <cell r="F13">
            <v>0</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39231</v>
          </cell>
          <cell r="E15" t="str">
            <v>#Refresh#</v>
          </cell>
          <cell r="F15" t="str">
            <v>USD</v>
          </cell>
        </row>
        <row r="16">
          <cell r="B16" t="str">
            <v>End Date (+1 Yr)</v>
          </cell>
          <cell r="C16">
            <v>40327</v>
          </cell>
          <cell r="E16" t="str">
            <v>#Refresh#</v>
          </cell>
          <cell r="F16" t="str">
            <v>USD</v>
          </cell>
        </row>
        <row r="17">
          <cell r="B17">
            <v>34.57</v>
          </cell>
          <cell r="C17" t="str">
            <v>Hand entert Share Price</v>
          </cell>
          <cell r="H17" t="str">
            <v>2007-FY</v>
          </cell>
        </row>
        <row r="18">
          <cell r="B18" t="b">
            <v>0</v>
          </cell>
          <cell r="C18">
            <v>39962</v>
          </cell>
        </row>
        <row r="19">
          <cell r="C19" t="str">
            <v>2009-FY</v>
          </cell>
        </row>
        <row r="34">
          <cell r="A34" t="str">
            <v>BullCase</v>
          </cell>
        </row>
        <row r="52">
          <cell r="A52">
            <v>40327</v>
          </cell>
          <cell r="B52">
            <v>758</v>
          </cell>
          <cell r="N52" t="str">
            <v>May-10</v>
          </cell>
          <cell r="R52" t="b">
            <v>0</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Price(May-10)</v>
          </cell>
          <cell r="K53" t="str">
            <v>Bull Price(May-10)</v>
          </cell>
          <cell r="L53" t="str">
            <v>Bear Price(May-10)</v>
          </cell>
          <cell r="M53" t="str">
            <v>Extreme Downside Price(May-10)</v>
          </cell>
          <cell r="N53" t="str">
            <v>Price Target (May-10)</v>
          </cell>
          <cell r="O53" t="str">
            <v>Gray Line</v>
          </cell>
          <cell r="P53" t="str">
            <v>Prices</v>
          </cell>
          <cell r="Q53" t="str">
            <v>Volume</v>
          </cell>
          <cell r="R53" t="str">
            <v>Base Case(May-10)</v>
          </cell>
          <cell r="S53" t="str">
            <v>Header Row</v>
          </cell>
          <cell r="T53">
            <v>53</v>
          </cell>
          <cell r="U53">
            <v>0</v>
          </cell>
          <cell r="AI53" t="str">
            <v xml:space="preserve">Display </v>
          </cell>
          <cell r="AJ53" t="str">
            <v>Symbol</v>
          </cell>
          <cell r="AK53" t="str">
            <v>Unit</v>
          </cell>
          <cell r="AL53" t="str">
            <v>FactsetUnit</v>
          </cell>
          <cell r="AM53" t="str">
            <v>Right alligned</v>
          </cell>
          <cell r="AN53" t="str">
            <v>Display 2 Decimal Places for Currency Amount</v>
          </cell>
        </row>
        <row r="54">
          <cell r="A54">
            <v>39231</v>
          </cell>
          <cell r="B54">
            <v>39231</v>
          </cell>
          <cell r="C54" t="str">
            <v>Past</v>
          </cell>
          <cell r="D54">
            <v>59.46</v>
          </cell>
          <cell r="E54" t="e">
            <v>#N/A</v>
          </cell>
          <cell r="F54" t="e">
            <v>#N/A</v>
          </cell>
          <cell r="G54" t="e">
            <v>#N/A</v>
          </cell>
          <cell r="H54" t="e">
            <v>#N/A</v>
          </cell>
          <cell r="I54" t="e">
            <v>#N/A</v>
          </cell>
          <cell r="J54" t="e">
            <v>#N/A</v>
          </cell>
          <cell r="K54" t="e">
            <v>#N/A</v>
          </cell>
          <cell r="L54" t="e">
            <v>#N/A</v>
          </cell>
          <cell r="M54" t="e">
            <v>#N/A</v>
          </cell>
          <cell r="N54" t="e">
            <v>#N/A</v>
          </cell>
          <cell r="O54" t="e">
            <v>#N/A</v>
          </cell>
          <cell r="P54">
            <v>59.46</v>
          </cell>
          <cell r="Q54">
            <v>3.2017000000000002</v>
          </cell>
          <cell r="R54" t="e">
            <v>#N/A</v>
          </cell>
          <cell r="S54" t="str">
            <v>Count</v>
          </cell>
          <cell r="T54">
            <v>758</v>
          </cell>
          <cell r="U54">
            <v>42</v>
          </cell>
          <cell r="AI54" t="str">
            <v>AED UAE Dirham</v>
          </cell>
          <cell r="AJ54" t="str">
            <v>AED</v>
          </cell>
          <cell r="AK54" t="str">
            <v>AED</v>
          </cell>
          <cell r="AL54" t="str">
            <v>AED</v>
          </cell>
          <cell r="AM54">
            <v>0</v>
          </cell>
          <cell r="AN54">
            <v>2</v>
          </cell>
        </row>
        <row r="55">
          <cell r="A55">
            <v>39232</v>
          </cell>
          <cell r="B55">
            <v>39232</v>
          </cell>
          <cell r="C55" t="str">
            <v>Past</v>
          </cell>
          <cell r="D55">
            <v>59.24</v>
          </cell>
          <cell r="E55" t="e">
            <v>#N/A</v>
          </cell>
          <cell r="F55" t="e">
            <v>#N/A</v>
          </cell>
          <cell r="G55" t="e">
            <v>#N/A</v>
          </cell>
          <cell r="H55" t="e">
            <v>#N/A</v>
          </cell>
          <cell r="I55" t="e">
            <v>#N/A</v>
          </cell>
          <cell r="J55" t="e">
            <v>#N/A</v>
          </cell>
          <cell r="K55" t="e">
            <v>#N/A</v>
          </cell>
          <cell r="L55" t="e">
            <v>#N/A</v>
          </cell>
          <cell r="M55" t="e">
            <v>#N/A</v>
          </cell>
          <cell r="N55" t="e">
            <v>#N/A</v>
          </cell>
          <cell r="O55" t="e">
            <v>#N/A</v>
          </cell>
          <cell r="P55">
            <v>59.24</v>
          </cell>
          <cell r="Q55">
            <v>5.1042869999999994</v>
          </cell>
          <cell r="R55" t="e">
            <v>#N/A</v>
          </cell>
          <cell r="S55" t="str">
            <v>Curr Price</v>
          </cell>
          <cell r="T55">
            <v>34.57</v>
          </cell>
          <cell r="U55">
            <v>506</v>
          </cell>
          <cell r="V55">
            <v>114.16500000000001</v>
          </cell>
          <cell r="AI55" t="str">
            <v>ARS Argentinian Pesos</v>
          </cell>
          <cell r="AJ55" t="str">
            <v>Ar$</v>
          </cell>
          <cell r="AK55" t="str">
            <v>ARS</v>
          </cell>
          <cell r="AL55" t="str">
            <v>ARS</v>
          </cell>
          <cell r="AM55">
            <v>0</v>
          </cell>
          <cell r="AN55">
            <v>2</v>
          </cell>
        </row>
        <row r="56">
          <cell r="A56">
            <v>39233</v>
          </cell>
          <cell r="B56">
            <v>39233</v>
          </cell>
          <cell r="C56" t="str">
            <v>Past</v>
          </cell>
          <cell r="D56">
            <v>58.62</v>
          </cell>
          <cell r="E56" t="e">
            <v>#N/A</v>
          </cell>
          <cell r="F56" t="e">
            <v>#N/A</v>
          </cell>
          <cell r="G56" t="e">
            <v>#N/A</v>
          </cell>
          <cell r="H56" t="e">
            <v>#N/A</v>
          </cell>
          <cell r="I56" t="e">
            <v>#N/A</v>
          </cell>
          <cell r="J56" t="e">
            <v>#N/A</v>
          </cell>
          <cell r="K56" t="e">
            <v>#N/A</v>
          </cell>
          <cell r="L56" t="e">
            <v>#N/A</v>
          </cell>
          <cell r="M56" t="e">
            <v>#N/A</v>
          </cell>
          <cell r="N56" t="e">
            <v>#N/A</v>
          </cell>
          <cell r="O56" t="e">
            <v>#N/A</v>
          </cell>
          <cell r="P56">
            <v>58.62</v>
          </cell>
          <cell r="Q56">
            <v>5.3824379999999996</v>
          </cell>
          <cell r="R56" t="e">
            <v>#N/A</v>
          </cell>
          <cell r="S56" t="str">
            <v>Curr Price Date</v>
          </cell>
          <cell r="T56">
            <v>39962</v>
          </cell>
          <cell r="U56">
            <v>39951.672118055554</v>
          </cell>
          <cell r="AI56" t="str">
            <v>AUD Australian Dollar</v>
          </cell>
          <cell r="AJ56" t="str">
            <v>A$</v>
          </cell>
          <cell r="AK56" t="str">
            <v>AUD</v>
          </cell>
          <cell r="AL56" t="str">
            <v>AUD</v>
          </cell>
          <cell r="AM56">
            <v>0</v>
          </cell>
          <cell r="AN56">
            <v>2</v>
          </cell>
        </row>
        <row r="57">
          <cell r="A57">
            <v>39234</v>
          </cell>
          <cell r="B57">
            <v>39234</v>
          </cell>
          <cell r="C57" t="str">
            <v>Past</v>
          </cell>
          <cell r="D57">
            <v>58.94</v>
          </cell>
          <cell r="E57" t="e">
            <v>#N/A</v>
          </cell>
          <cell r="F57" t="e">
            <v>#N/A</v>
          </cell>
          <cell r="G57" t="e">
            <v>#N/A</v>
          </cell>
          <cell r="H57" t="e">
            <v>#N/A</v>
          </cell>
          <cell r="I57" t="e">
            <v>#N/A</v>
          </cell>
          <cell r="J57" t="e">
            <v>#N/A</v>
          </cell>
          <cell r="K57" t="e">
            <v>#N/A</v>
          </cell>
          <cell r="L57" t="e">
            <v>#N/A</v>
          </cell>
          <cell r="M57" t="e">
            <v>#N/A</v>
          </cell>
          <cell r="N57" t="e">
            <v>#N/A</v>
          </cell>
          <cell r="O57" t="e">
            <v>#N/A</v>
          </cell>
          <cell r="P57">
            <v>58.94</v>
          </cell>
          <cell r="Q57">
            <v>3.8512389999999996</v>
          </cell>
          <cell r="R57" t="e">
            <v>#N/A</v>
          </cell>
          <cell r="S57" t="str">
            <v>Bull-Curr</v>
          </cell>
          <cell r="T57">
            <v>7.43</v>
          </cell>
          <cell r="U57">
            <v>2.9367588932806322E-2</v>
          </cell>
          <cell r="AI57" t="str">
            <v>BGL Bulgarian levs</v>
          </cell>
          <cell r="AJ57" t="str">
            <v>BGL</v>
          </cell>
          <cell r="AK57" t="str">
            <v>BGL</v>
          </cell>
          <cell r="AL57" t="str">
            <v>BGN</v>
          </cell>
          <cell r="AM57">
            <v>0</v>
          </cell>
          <cell r="AN57">
            <v>2</v>
          </cell>
        </row>
        <row r="58">
          <cell r="A58">
            <v>39237</v>
          </cell>
          <cell r="B58">
            <v>39237</v>
          </cell>
          <cell r="C58" t="str">
            <v>Past</v>
          </cell>
          <cell r="D58">
            <v>59.16</v>
          </cell>
          <cell r="E58" t="e">
            <v>#N/A</v>
          </cell>
          <cell r="F58" t="e">
            <v>#N/A</v>
          </cell>
          <cell r="G58" t="e">
            <v>#N/A</v>
          </cell>
          <cell r="H58" t="e">
            <v>#N/A</v>
          </cell>
          <cell r="I58" t="e">
            <v>#N/A</v>
          </cell>
          <cell r="J58" t="e">
            <v>#N/A</v>
          </cell>
          <cell r="K58" t="e">
            <v>#N/A</v>
          </cell>
          <cell r="L58" t="e">
            <v>#N/A</v>
          </cell>
          <cell r="M58" t="e">
            <v>#N/A</v>
          </cell>
          <cell r="N58" t="e">
            <v>#N/A</v>
          </cell>
          <cell r="O58" t="e">
            <v>#N/A</v>
          </cell>
          <cell r="P58">
            <v>59.16</v>
          </cell>
          <cell r="Q58">
            <v>4.8737000000000004</v>
          </cell>
          <cell r="R58" t="e">
            <v>#N/A</v>
          </cell>
          <cell r="S58" t="str">
            <v>Upp-Cur</v>
          </cell>
          <cell r="T58">
            <v>-34.57</v>
          </cell>
          <cell r="U58">
            <v>-0.1366403162055336</v>
          </cell>
          <cell r="AI58" t="str">
            <v>BMD Bermudan Dollars</v>
          </cell>
          <cell r="AJ58" t="str">
            <v>BMD</v>
          </cell>
          <cell r="AK58" t="str">
            <v>BMD</v>
          </cell>
          <cell r="AL58" t="str">
            <v>BMD</v>
          </cell>
          <cell r="AM58">
            <v>0</v>
          </cell>
          <cell r="AN58">
            <v>2</v>
          </cell>
        </row>
        <row r="59">
          <cell r="A59">
            <v>39238</v>
          </cell>
          <cell r="B59">
            <v>39238</v>
          </cell>
          <cell r="C59" t="str">
            <v>Past</v>
          </cell>
          <cell r="D59">
            <v>59</v>
          </cell>
          <cell r="E59" t="e">
            <v>#N/A</v>
          </cell>
          <cell r="F59" t="e">
            <v>#N/A</v>
          </cell>
          <cell r="G59" t="e">
            <v>#N/A</v>
          </cell>
          <cell r="H59" t="e">
            <v>#N/A</v>
          </cell>
          <cell r="I59" t="e">
            <v>#N/A</v>
          </cell>
          <cell r="J59" t="e">
            <v>#N/A</v>
          </cell>
          <cell r="K59" t="e">
            <v>#N/A</v>
          </cell>
          <cell r="L59" t="e">
            <v>#N/A</v>
          </cell>
          <cell r="M59" t="e">
            <v>#N/A</v>
          </cell>
          <cell r="N59" t="e">
            <v>#N/A</v>
          </cell>
          <cell r="O59" t="e">
            <v>#N/A</v>
          </cell>
          <cell r="P59">
            <v>59</v>
          </cell>
          <cell r="Q59">
            <v>5.2781000000000002</v>
          </cell>
          <cell r="R59" t="e">
            <v>#N/A</v>
          </cell>
          <cell r="S59" t="str">
            <v>Curr-Bear</v>
          </cell>
          <cell r="T59">
            <v>2.5700000000000003</v>
          </cell>
          <cell r="U59">
            <v>1.015810276679842E-2</v>
          </cell>
          <cell r="AI59" t="str">
            <v>BRL Brazilian Real</v>
          </cell>
          <cell r="AJ59" t="str">
            <v>R$</v>
          </cell>
          <cell r="AK59" t="str">
            <v>BRL</v>
          </cell>
          <cell r="AL59" t="str">
            <v>BRL</v>
          </cell>
          <cell r="AM59">
            <v>0</v>
          </cell>
          <cell r="AN59">
            <v>2</v>
          </cell>
        </row>
        <row r="60">
          <cell r="A60">
            <v>39239</v>
          </cell>
          <cell r="B60">
            <v>39239</v>
          </cell>
          <cell r="C60" t="str">
            <v>Past</v>
          </cell>
          <cell r="D60">
            <v>58.29</v>
          </cell>
          <cell r="E60" t="e">
            <v>#N/A</v>
          </cell>
          <cell r="F60" t="e">
            <v>#N/A</v>
          </cell>
          <cell r="G60" t="e">
            <v>#N/A</v>
          </cell>
          <cell r="H60" t="e">
            <v>#N/A</v>
          </cell>
          <cell r="I60" t="e">
            <v>#N/A</v>
          </cell>
          <cell r="J60" t="e">
            <v>#N/A</v>
          </cell>
          <cell r="K60" t="e">
            <v>#N/A</v>
          </cell>
          <cell r="L60" t="e">
            <v>#N/A</v>
          </cell>
          <cell r="M60" t="e">
            <v>#N/A</v>
          </cell>
          <cell r="N60" t="e">
            <v>#N/A</v>
          </cell>
          <cell r="O60" t="e">
            <v>#N/A</v>
          </cell>
          <cell r="P60">
            <v>58.29</v>
          </cell>
          <cell r="Q60">
            <v>5.9253260000000001</v>
          </cell>
          <cell r="R60" t="e">
            <v>#N/A</v>
          </cell>
          <cell r="S60" t="str">
            <v>Curr-Lower</v>
          </cell>
          <cell r="T60">
            <v>34.57</v>
          </cell>
          <cell r="U60">
            <v>0.1366403162055336</v>
          </cell>
          <cell r="AI60" t="str">
            <v>CAD Canadian Dollars</v>
          </cell>
          <cell r="AJ60" t="str">
            <v>C$</v>
          </cell>
          <cell r="AK60" t="str">
            <v>CAD</v>
          </cell>
          <cell r="AL60" t="str">
            <v>CAD</v>
          </cell>
          <cell r="AM60">
            <v>0</v>
          </cell>
          <cell r="AN60">
            <v>2</v>
          </cell>
        </row>
        <row r="61">
          <cell r="A61">
            <v>39240</v>
          </cell>
          <cell r="B61">
            <v>39240</v>
          </cell>
          <cell r="C61" t="str">
            <v>Past</v>
          </cell>
          <cell r="D61">
            <v>56.93</v>
          </cell>
          <cell r="E61" t="e">
            <v>#N/A</v>
          </cell>
          <cell r="F61" t="e">
            <v>#N/A</v>
          </cell>
          <cell r="G61" t="e">
            <v>#N/A</v>
          </cell>
          <cell r="H61" t="e">
            <v>#N/A</v>
          </cell>
          <cell r="I61" t="e">
            <v>#N/A</v>
          </cell>
          <cell r="J61" t="e">
            <v>#N/A</v>
          </cell>
          <cell r="K61" t="e">
            <v>#N/A</v>
          </cell>
          <cell r="L61" t="e">
            <v>#N/A</v>
          </cell>
          <cell r="M61" t="e">
            <v>#N/A</v>
          </cell>
          <cell r="N61" t="e">
            <v>#N/A</v>
          </cell>
          <cell r="O61" t="e">
            <v>#N/A</v>
          </cell>
          <cell r="P61">
            <v>56.93</v>
          </cell>
          <cell r="Q61">
            <v>12.169370000000001</v>
          </cell>
          <cell r="R61" t="e">
            <v>#N/A</v>
          </cell>
          <cell r="S61" t="str">
            <v>PriceFoundAt</v>
          </cell>
          <cell r="T61">
            <v>506</v>
          </cell>
          <cell r="AI61" t="str">
            <v>CHF Swiss Francs</v>
          </cell>
          <cell r="AJ61" t="str">
            <v>SFr</v>
          </cell>
          <cell r="AK61" t="str">
            <v>CHF</v>
          </cell>
          <cell r="AL61" t="str">
            <v>CHF</v>
          </cell>
          <cell r="AM61">
            <v>0</v>
          </cell>
          <cell r="AN61">
            <v>2</v>
          </cell>
        </row>
        <row r="62">
          <cell r="A62">
            <v>39241</v>
          </cell>
          <cell r="B62">
            <v>39241</v>
          </cell>
          <cell r="C62" t="str">
            <v>Past</v>
          </cell>
          <cell r="D62">
            <v>57.02</v>
          </cell>
          <cell r="E62" t="e">
            <v>#N/A</v>
          </cell>
          <cell r="F62" t="e">
            <v>#N/A</v>
          </cell>
          <cell r="G62" t="e">
            <v>#N/A</v>
          </cell>
          <cell r="H62" t="e">
            <v>#N/A</v>
          </cell>
          <cell r="I62" t="e">
            <v>#N/A</v>
          </cell>
          <cell r="J62" t="e">
            <v>#N/A</v>
          </cell>
          <cell r="K62" t="e">
            <v>#N/A</v>
          </cell>
          <cell r="L62" t="e">
            <v>#N/A</v>
          </cell>
          <cell r="M62" t="e">
            <v>#N/A</v>
          </cell>
          <cell r="N62" t="e">
            <v>#N/A</v>
          </cell>
          <cell r="O62" t="e">
            <v>#N/A</v>
          </cell>
          <cell r="P62">
            <v>57.02</v>
          </cell>
          <cell r="Q62">
            <v>6.9949000000000003</v>
          </cell>
          <cell r="R62" t="e">
            <v>#N/A</v>
          </cell>
          <cell r="S62" t="str">
            <v>Starting Point</v>
          </cell>
          <cell r="T62">
            <v>559</v>
          </cell>
          <cell r="AI62" t="str">
            <v>CLP Chilean Pesos</v>
          </cell>
          <cell r="AJ62" t="str">
            <v>CLP</v>
          </cell>
          <cell r="AK62" t="str">
            <v>CLP</v>
          </cell>
          <cell r="AL62" t="str">
            <v>CLP</v>
          </cell>
          <cell r="AM62">
            <v>0</v>
          </cell>
          <cell r="AN62">
            <v>2</v>
          </cell>
        </row>
        <row r="63">
          <cell r="A63">
            <v>39244</v>
          </cell>
          <cell r="B63">
            <v>39244</v>
          </cell>
          <cell r="C63" t="str">
            <v>Past</v>
          </cell>
          <cell r="D63">
            <v>57.31</v>
          </cell>
          <cell r="E63" t="e">
            <v>#N/A</v>
          </cell>
          <cell r="F63" t="e">
            <v>#N/A</v>
          </cell>
          <cell r="G63" t="e">
            <v>#N/A</v>
          </cell>
          <cell r="H63" t="e">
            <v>#N/A</v>
          </cell>
          <cell r="I63" t="e">
            <v>#N/A</v>
          </cell>
          <cell r="J63" t="e">
            <v>#N/A</v>
          </cell>
          <cell r="K63" t="e">
            <v>#N/A</v>
          </cell>
          <cell r="L63" t="e">
            <v>#N/A</v>
          </cell>
          <cell r="M63" t="e">
            <v>#N/A</v>
          </cell>
          <cell r="N63" t="e">
            <v>#N/A</v>
          </cell>
          <cell r="O63" t="e">
            <v>#N/A</v>
          </cell>
          <cell r="P63">
            <v>57.31</v>
          </cell>
          <cell r="Q63">
            <v>4.9519529999999996</v>
          </cell>
          <cell r="R63" t="e">
            <v>#N/A</v>
          </cell>
          <cell r="S63" t="str">
            <v>Saved</v>
          </cell>
          <cell r="T63">
            <v>253</v>
          </cell>
          <cell r="AI63" t="str">
            <v>CNY Chinese Renminbi Yuan</v>
          </cell>
          <cell r="AJ63" t="str">
            <v>Rmb</v>
          </cell>
          <cell r="AK63" t="str">
            <v>CNY</v>
          </cell>
          <cell r="AL63" t="str">
            <v>CNY</v>
          </cell>
          <cell r="AM63">
            <v>0</v>
          </cell>
          <cell r="AN63">
            <v>2</v>
          </cell>
        </row>
        <row r="64">
          <cell r="A64">
            <v>39245</v>
          </cell>
          <cell r="B64">
            <v>39245</v>
          </cell>
          <cell r="C64" t="str">
            <v>Past</v>
          </cell>
          <cell r="D64">
            <v>56.78</v>
          </cell>
          <cell r="E64" t="e">
            <v>#N/A</v>
          </cell>
          <cell r="F64" t="e">
            <v>#N/A</v>
          </cell>
          <cell r="G64" t="e">
            <v>#N/A</v>
          </cell>
          <cell r="H64" t="e">
            <v>#N/A</v>
          </cell>
          <cell r="I64" t="e">
            <v>#N/A</v>
          </cell>
          <cell r="J64" t="e">
            <v>#N/A</v>
          </cell>
          <cell r="K64" t="e">
            <v>#N/A</v>
          </cell>
          <cell r="L64" t="e">
            <v>#N/A</v>
          </cell>
          <cell r="M64" t="e">
            <v>#N/A</v>
          </cell>
          <cell r="N64" t="e">
            <v>#N/A</v>
          </cell>
          <cell r="O64" t="e">
            <v>#N/A</v>
          </cell>
          <cell r="P64">
            <v>56.78</v>
          </cell>
          <cell r="Q64">
            <v>4.3268789999999999</v>
          </cell>
          <cell r="R64" t="e">
            <v>#N/A</v>
          </cell>
          <cell r="S64" t="str">
            <v>Right alligned</v>
          </cell>
          <cell r="T64">
            <v>0</v>
          </cell>
          <cell r="AI64" t="str">
            <v>COP Colombian Peso</v>
          </cell>
          <cell r="AJ64" t="str">
            <v>COP</v>
          </cell>
          <cell r="AK64" t="str">
            <v>COP</v>
          </cell>
          <cell r="AL64" t="str">
            <v>COP</v>
          </cell>
          <cell r="AM64">
            <v>0</v>
          </cell>
          <cell r="AN64">
            <v>2</v>
          </cell>
        </row>
        <row r="65">
          <cell r="A65">
            <v>39246</v>
          </cell>
          <cell r="B65">
            <v>39246</v>
          </cell>
          <cell r="C65" t="str">
            <v>Past</v>
          </cell>
          <cell r="D65">
            <v>56.94</v>
          </cell>
          <cell r="E65" t="e">
            <v>#N/A</v>
          </cell>
          <cell r="F65" t="e">
            <v>#N/A</v>
          </cell>
          <cell r="G65" t="e">
            <v>#N/A</v>
          </cell>
          <cell r="H65" t="e">
            <v>#N/A</v>
          </cell>
          <cell r="I65" t="e">
            <v>#N/A</v>
          </cell>
          <cell r="J65" t="e">
            <v>#N/A</v>
          </cell>
          <cell r="K65" t="e">
            <v>#N/A</v>
          </cell>
          <cell r="L65" t="e">
            <v>#N/A</v>
          </cell>
          <cell r="M65" t="e">
            <v>#N/A</v>
          </cell>
          <cell r="N65" t="e">
            <v>#N/A</v>
          </cell>
          <cell r="O65" t="e">
            <v>#N/A</v>
          </cell>
          <cell r="P65">
            <v>56.94</v>
          </cell>
          <cell r="Q65">
            <v>5.7039999999999997</v>
          </cell>
          <cell r="R65" t="e">
            <v>#N/A</v>
          </cell>
          <cell r="S65" t="str">
            <v>Decimal</v>
          </cell>
          <cell r="T65">
            <v>2</v>
          </cell>
          <cell r="AI65" t="str">
            <v>CZK Czech Krona</v>
          </cell>
          <cell r="AJ65" t="str">
            <v>Kcs</v>
          </cell>
          <cell r="AK65" t="str">
            <v>CZK</v>
          </cell>
          <cell r="AL65" t="str">
            <v>CZK</v>
          </cell>
          <cell r="AM65">
            <v>0</v>
          </cell>
          <cell r="AN65">
            <v>2</v>
          </cell>
        </row>
        <row r="66">
          <cell r="A66">
            <v>39247</v>
          </cell>
          <cell r="B66">
            <v>39247</v>
          </cell>
          <cell r="C66" t="str">
            <v>Past</v>
          </cell>
          <cell r="D66">
            <v>57.38</v>
          </cell>
          <cell r="E66" t="e">
            <v>#N/A</v>
          </cell>
          <cell r="F66" t="e">
            <v>#N/A</v>
          </cell>
          <cell r="G66" t="e">
            <v>#N/A</v>
          </cell>
          <cell r="H66" t="e">
            <v>#N/A</v>
          </cell>
          <cell r="I66" t="e">
            <v>#N/A</v>
          </cell>
          <cell r="J66" t="e">
            <v>#N/A</v>
          </cell>
          <cell r="K66" t="e">
            <v>#N/A</v>
          </cell>
          <cell r="L66" t="e">
            <v>#N/A</v>
          </cell>
          <cell r="M66" t="e">
            <v>#N/A</v>
          </cell>
          <cell r="N66" t="e">
            <v>#N/A</v>
          </cell>
          <cell r="O66" t="e">
            <v>#N/A</v>
          </cell>
          <cell r="P66">
            <v>57.38</v>
          </cell>
          <cell r="Q66">
            <v>4.8296600000000005</v>
          </cell>
          <cell r="R66" t="e">
            <v>#N/A</v>
          </cell>
          <cell r="S66" t="str">
            <v>default StartDate</v>
          </cell>
          <cell r="T66">
            <v>39231</v>
          </cell>
          <cell r="AI66" t="str">
            <v>DKK Danish Krone</v>
          </cell>
          <cell r="AJ66" t="str">
            <v>DKr</v>
          </cell>
          <cell r="AK66" t="str">
            <v>DKK</v>
          </cell>
          <cell r="AL66" t="str">
            <v>DKK</v>
          </cell>
          <cell r="AM66">
            <v>0</v>
          </cell>
          <cell r="AN66">
            <v>2</v>
          </cell>
        </row>
        <row r="67">
          <cell r="A67">
            <v>39248</v>
          </cell>
          <cell r="B67">
            <v>39248</v>
          </cell>
          <cell r="C67" t="str">
            <v>Past</v>
          </cell>
          <cell r="D67">
            <v>57.72</v>
          </cell>
          <cell r="E67" t="e">
            <v>#N/A</v>
          </cell>
          <cell r="F67" t="e">
            <v>#N/A</v>
          </cell>
          <cell r="G67" t="e">
            <v>#N/A</v>
          </cell>
          <cell r="H67" t="e">
            <v>#N/A</v>
          </cell>
          <cell r="I67" t="e">
            <v>#N/A</v>
          </cell>
          <cell r="J67" t="e">
            <v>#N/A</v>
          </cell>
          <cell r="K67" t="e">
            <v>#N/A</v>
          </cell>
          <cell r="L67" t="e">
            <v>#N/A</v>
          </cell>
          <cell r="M67" t="e">
            <v>#N/A</v>
          </cell>
          <cell r="N67" t="e">
            <v>#N/A</v>
          </cell>
          <cell r="O67" t="e">
            <v>#N/A</v>
          </cell>
          <cell r="P67">
            <v>57.72</v>
          </cell>
          <cell r="Q67">
            <v>4.9392000000000005</v>
          </cell>
          <cell r="R67" t="e">
            <v>#N/A</v>
          </cell>
          <cell r="S67" t="str">
            <v>default EndDate</v>
          </cell>
          <cell r="T67">
            <v>40327</v>
          </cell>
          <cell r="AI67" t="str">
            <v>DZD Algerian Dinar</v>
          </cell>
          <cell r="AJ67" t="str">
            <v>DZD</v>
          </cell>
          <cell r="AK67" t="str">
            <v>DZD</v>
          </cell>
          <cell r="AL67" t="str">
            <v>DZD</v>
          </cell>
          <cell r="AM67">
            <v>0</v>
          </cell>
          <cell r="AN67">
            <v>2</v>
          </cell>
        </row>
        <row r="68">
          <cell r="A68">
            <v>39251</v>
          </cell>
          <cell r="B68">
            <v>39251</v>
          </cell>
          <cell r="C68" t="str">
            <v>Past</v>
          </cell>
          <cell r="D68">
            <v>57.41</v>
          </cell>
          <cell r="E68" t="e">
            <v>#N/A</v>
          </cell>
          <cell r="F68" t="e">
            <v>#N/A</v>
          </cell>
          <cell r="G68" t="e">
            <v>#N/A</v>
          </cell>
          <cell r="H68" t="e">
            <v>#N/A</v>
          </cell>
          <cell r="I68" t="e">
            <v>#N/A</v>
          </cell>
          <cell r="J68" t="e">
            <v>#N/A</v>
          </cell>
          <cell r="K68" t="e">
            <v>#N/A</v>
          </cell>
          <cell r="L68" t="e">
            <v>#N/A</v>
          </cell>
          <cell r="M68" t="e">
            <v>#N/A</v>
          </cell>
          <cell r="N68" t="e">
            <v>#N/A</v>
          </cell>
          <cell r="O68" t="e">
            <v>#N/A</v>
          </cell>
          <cell r="P68">
            <v>57.41</v>
          </cell>
          <cell r="Q68">
            <v>3.0452239999999997</v>
          </cell>
          <cell r="R68" t="e">
            <v>#N/A</v>
          </cell>
          <cell r="S68" t="str">
            <v>Max sharePrice</v>
          </cell>
          <cell r="T68">
            <v>59.47</v>
          </cell>
          <cell r="AI68" t="str">
            <v>EGP Egyptian Pound</v>
          </cell>
          <cell r="AJ68" t="str">
            <v>EGP</v>
          </cell>
          <cell r="AK68" t="str">
            <v>EGP</v>
          </cell>
          <cell r="AL68" t="str">
            <v>EGP</v>
          </cell>
          <cell r="AM68">
            <v>0</v>
          </cell>
          <cell r="AN68">
            <v>2</v>
          </cell>
        </row>
        <row r="69">
          <cell r="A69">
            <v>39252</v>
          </cell>
          <cell r="B69">
            <v>39252</v>
          </cell>
          <cell r="C69" t="str">
            <v>Past</v>
          </cell>
          <cell r="D69">
            <v>57.75</v>
          </cell>
          <cell r="E69" t="e">
            <v>#N/A</v>
          </cell>
          <cell r="F69" t="e">
            <v>#N/A</v>
          </cell>
          <cell r="G69" t="e">
            <v>#N/A</v>
          </cell>
          <cell r="H69" t="e">
            <v>#N/A</v>
          </cell>
          <cell r="I69" t="e">
            <v>#N/A</v>
          </cell>
          <cell r="J69" t="e">
            <v>#N/A</v>
          </cell>
          <cell r="K69" t="e">
            <v>#N/A</v>
          </cell>
          <cell r="L69" t="e">
            <v>#N/A</v>
          </cell>
          <cell r="M69" t="e">
            <v>#N/A</v>
          </cell>
          <cell r="N69" t="e">
            <v>#N/A</v>
          </cell>
          <cell r="O69" t="e">
            <v>#N/A</v>
          </cell>
          <cell r="P69">
            <v>57.75</v>
          </cell>
          <cell r="Q69">
            <v>4.1207600000000006</v>
          </cell>
          <cell r="R69" t="e">
            <v>#N/A</v>
          </cell>
          <cell r="AI69" t="str">
            <v>EUR Euro</v>
          </cell>
          <cell r="AJ69" t="str">
            <v>€</v>
          </cell>
          <cell r="AK69" t="str">
            <v>EUR</v>
          </cell>
          <cell r="AL69" t="str">
            <v>EUR</v>
          </cell>
          <cell r="AM69">
            <v>0</v>
          </cell>
          <cell r="AN69">
            <v>2</v>
          </cell>
        </row>
        <row r="70">
          <cell r="A70">
            <v>39253</v>
          </cell>
          <cell r="B70">
            <v>39253</v>
          </cell>
          <cell r="C70" t="str">
            <v>Past</v>
          </cell>
          <cell r="D70">
            <v>56.77</v>
          </cell>
          <cell r="E70" t="e">
            <v>#N/A</v>
          </cell>
          <cell r="F70" t="e">
            <v>#N/A</v>
          </cell>
          <cell r="G70" t="e">
            <v>#N/A</v>
          </cell>
          <cell r="H70" t="e">
            <v>#N/A</v>
          </cell>
          <cell r="I70" t="e">
            <v>#N/A</v>
          </cell>
          <cell r="J70" t="e">
            <v>#N/A</v>
          </cell>
          <cell r="K70" t="e">
            <v>#N/A</v>
          </cell>
          <cell r="L70" t="e">
            <v>#N/A</v>
          </cell>
          <cell r="M70" t="e">
            <v>#N/A</v>
          </cell>
          <cell r="N70" t="e">
            <v>#N/A</v>
          </cell>
          <cell r="O70" t="e">
            <v>#N/A</v>
          </cell>
          <cell r="P70">
            <v>56.77</v>
          </cell>
          <cell r="Q70">
            <v>4.8172000000000006</v>
          </cell>
          <cell r="R70" t="e">
            <v>#N/A</v>
          </cell>
          <cell r="AI70" t="str">
            <v>GBp British Pence</v>
          </cell>
          <cell r="AJ70" t="str">
            <v>p</v>
          </cell>
          <cell r="AK70" t="str">
            <v>GBp</v>
          </cell>
          <cell r="AL70" t="str">
            <v>GBX</v>
          </cell>
          <cell r="AM70">
            <v>1</v>
          </cell>
          <cell r="AN70">
            <v>0</v>
          </cell>
        </row>
        <row r="71">
          <cell r="A71">
            <v>39254</v>
          </cell>
          <cell r="B71">
            <v>39254</v>
          </cell>
          <cell r="C71" t="str">
            <v>Past</v>
          </cell>
          <cell r="D71">
            <v>56.81</v>
          </cell>
          <cell r="E71" t="e">
            <v>#N/A</v>
          </cell>
          <cell r="F71" t="e">
            <v>#N/A</v>
          </cell>
          <cell r="G71" t="e">
            <v>#N/A</v>
          </cell>
          <cell r="H71" t="e">
            <v>#N/A</v>
          </cell>
          <cell r="I71" t="e">
            <v>#N/A</v>
          </cell>
          <cell r="J71" t="e">
            <v>#N/A</v>
          </cell>
          <cell r="K71" t="e">
            <v>#N/A</v>
          </cell>
          <cell r="L71" t="e">
            <v>#N/A</v>
          </cell>
          <cell r="M71" t="e">
            <v>#N/A</v>
          </cell>
          <cell r="N71" t="e">
            <v>#N/A</v>
          </cell>
          <cell r="O71" t="e">
            <v>#N/A</v>
          </cell>
          <cell r="P71">
            <v>56.81</v>
          </cell>
          <cell r="Q71">
            <v>4.1069849999999999</v>
          </cell>
          <cell r="R71" t="e">
            <v>#N/A</v>
          </cell>
          <cell r="AI71" t="str">
            <v>GBP British Pound</v>
          </cell>
          <cell r="AJ71" t="str">
            <v>₤</v>
          </cell>
          <cell r="AK71" t="str">
            <v>GBP</v>
          </cell>
          <cell r="AL71" t="str">
            <v>GBP</v>
          </cell>
          <cell r="AM71">
            <v>0</v>
          </cell>
          <cell r="AN71">
            <v>2</v>
          </cell>
        </row>
        <row r="72">
          <cell r="A72">
            <v>39255</v>
          </cell>
          <cell r="B72">
            <v>39255</v>
          </cell>
          <cell r="C72" t="str">
            <v>Past</v>
          </cell>
          <cell r="D72">
            <v>55.8</v>
          </cell>
          <cell r="E72" t="e">
            <v>#N/A</v>
          </cell>
          <cell r="F72" t="e">
            <v>#N/A</v>
          </cell>
          <cell r="G72" t="e">
            <v>#N/A</v>
          </cell>
          <cell r="H72" t="e">
            <v>#N/A</v>
          </cell>
          <cell r="I72" t="e">
            <v>#N/A</v>
          </cell>
          <cell r="J72" t="e">
            <v>#N/A</v>
          </cell>
          <cell r="K72" t="e">
            <v>#N/A</v>
          </cell>
          <cell r="L72" t="e">
            <v>#N/A</v>
          </cell>
          <cell r="M72" t="e">
            <v>#N/A</v>
          </cell>
          <cell r="N72" t="e">
            <v>#N/A</v>
          </cell>
          <cell r="O72" t="e">
            <v>#N/A</v>
          </cell>
          <cell r="P72">
            <v>55.8</v>
          </cell>
          <cell r="Q72">
            <v>5.7042630000000001</v>
          </cell>
          <cell r="R72" t="e">
            <v>#N/A</v>
          </cell>
          <cell r="AI72" t="str">
            <v>HKD Hong Kong Dollar</v>
          </cell>
          <cell r="AJ72" t="str">
            <v>HK$</v>
          </cell>
          <cell r="AK72" t="str">
            <v>HKD</v>
          </cell>
          <cell r="AL72" t="str">
            <v>HKD</v>
          </cell>
          <cell r="AM72">
            <v>0</v>
          </cell>
          <cell r="AN72">
            <v>2</v>
          </cell>
        </row>
        <row r="73">
          <cell r="A73">
            <v>39258</v>
          </cell>
          <cell r="B73">
            <v>39258</v>
          </cell>
          <cell r="C73" t="str">
            <v>Past</v>
          </cell>
          <cell r="D73">
            <v>55.48</v>
          </cell>
          <cell r="E73" t="e">
            <v>#N/A</v>
          </cell>
          <cell r="F73" t="e">
            <v>#N/A</v>
          </cell>
          <cell r="G73" t="e">
            <v>#N/A</v>
          </cell>
          <cell r="H73" t="e">
            <v>#N/A</v>
          </cell>
          <cell r="I73" t="e">
            <v>#N/A</v>
          </cell>
          <cell r="J73" t="e">
            <v>#N/A</v>
          </cell>
          <cell r="K73" t="e">
            <v>#N/A</v>
          </cell>
          <cell r="L73" t="e">
            <v>#N/A</v>
          </cell>
          <cell r="M73" t="e">
            <v>#N/A</v>
          </cell>
          <cell r="N73" t="e">
            <v>#N/A</v>
          </cell>
          <cell r="O73" t="e">
            <v>#N/A</v>
          </cell>
          <cell r="P73">
            <v>55.48</v>
          </cell>
          <cell r="Q73">
            <v>5.9312959999999997</v>
          </cell>
          <cell r="R73" t="e">
            <v>#N/A</v>
          </cell>
          <cell r="AI73" t="str">
            <v>HUF Hungarian forint</v>
          </cell>
          <cell r="AJ73" t="str">
            <v>Ft</v>
          </cell>
          <cell r="AK73" t="str">
            <v>HUF</v>
          </cell>
          <cell r="AL73" t="str">
            <v>HUF</v>
          </cell>
          <cell r="AM73">
            <v>0</v>
          </cell>
          <cell r="AN73">
            <v>2</v>
          </cell>
        </row>
        <row r="74">
          <cell r="A74">
            <v>39259</v>
          </cell>
          <cell r="B74">
            <v>39259</v>
          </cell>
          <cell r="C74" t="str">
            <v>Past</v>
          </cell>
          <cell r="D74">
            <v>55.87</v>
          </cell>
          <cell r="E74" t="e">
            <v>#N/A</v>
          </cell>
          <cell r="F74" t="e">
            <v>#N/A</v>
          </cell>
          <cell r="G74" t="e">
            <v>#N/A</v>
          </cell>
          <cell r="H74" t="e">
            <v>#N/A</v>
          </cell>
          <cell r="I74" t="e">
            <v>#N/A</v>
          </cell>
          <cell r="J74" t="e">
            <v>#N/A</v>
          </cell>
          <cell r="K74" t="e">
            <v>#N/A</v>
          </cell>
          <cell r="L74" t="e">
            <v>#N/A</v>
          </cell>
          <cell r="M74" t="e">
            <v>#N/A</v>
          </cell>
          <cell r="N74" t="e">
            <v>#N/A</v>
          </cell>
          <cell r="O74" t="e">
            <v>#N/A</v>
          </cell>
          <cell r="P74">
            <v>55.87</v>
          </cell>
          <cell r="Q74">
            <v>4.9879259999999999</v>
          </cell>
          <cell r="R74" t="e">
            <v>#N/A</v>
          </cell>
          <cell r="AI74" t="str">
            <v>IDR Indonesian Rupiah</v>
          </cell>
          <cell r="AJ74" t="str">
            <v>Rp</v>
          </cell>
          <cell r="AK74" t="str">
            <v>IDR</v>
          </cell>
          <cell r="AL74" t="str">
            <v>IDR</v>
          </cell>
          <cell r="AM74">
            <v>0</v>
          </cell>
          <cell r="AN74">
            <v>0</v>
          </cell>
        </row>
        <row r="75">
          <cell r="A75">
            <v>39260</v>
          </cell>
          <cell r="B75">
            <v>39260</v>
          </cell>
          <cell r="C75" t="str">
            <v>Past</v>
          </cell>
          <cell r="D75">
            <v>56.32</v>
          </cell>
          <cell r="E75" t="e">
            <v>#N/A</v>
          </cell>
          <cell r="F75" t="e">
            <v>#N/A</v>
          </cell>
          <cell r="G75" t="e">
            <v>#N/A</v>
          </cell>
          <cell r="H75" t="e">
            <v>#N/A</v>
          </cell>
          <cell r="I75" t="e">
            <v>#N/A</v>
          </cell>
          <cell r="J75" t="e">
            <v>#N/A</v>
          </cell>
          <cell r="K75" t="e">
            <v>#N/A</v>
          </cell>
          <cell r="L75" t="e">
            <v>#N/A</v>
          </cell>
          <cell r="M75" t="e">
            <v>#N/A</v>
          </cell>
          <cell r="N75" t="e">
            <v>#N/A</v>
          </cell>
          <cell r="O75" t="e">
            <v>#N/A</v>
          </cell>
          <cell r="P75">
            <v>56.32</v>
          </cell>
          <cell r="Q75">
            <v>5.0994830000000002</v>
          </cell>
          <cell r="R75" t="e">
            <v>#N/A</v>
          </cell>
          <cell r="AI75" t="str">
            <v>ILS Israeli shekel</v>
          </cell>
          <cell r="AJ75" t="str">
            <v>ILS</v>
          </cell>
          <cell r="AK75" t="str">
            <v>ILS</v>
          </cell>
          <cell r="AL75" t="str">
            <v>ILS</v>
          </cell>
          <cell r="AM75">
            <v>0</v>
          </cell>
          <cell r="AN75">
            <v>2</v>
          </cell>
        </row>
        <row r="76">
          <cell r="A76">
            <v>39261</v>
          </cell>
          <cell r="B76">
            <v>39261</v>
          </cell>
          <cell r="C76" t="str">
            <v>Past</v>
          </cell>
          <cell r="D76">
            <v>56.18</v>
          </cell>
          <cell r="E76" t="e">
            <v>#N/A</v>
          </cell>
          <cell r="F76" t="e">
            <v>#N/A</v>
          </cell>
          <cell r="G76" t="e">
            <v>#N/A</v>
          </cell>
          <cell r="H76" t="e">
            <v>#N/A</v>
          </cell>
          <cell r="I76" t="e">
            <v>#N/A</v>
          </cell>
          <cell r="J76" t="e">
            <v>#N/A</v>
          </cell>
          <cell r="K76" t="e">
            <v>#N/A</v>
          </cell>
          <cell r="L76" t="e">
            <v>#N/A</v>
          </cell>
          <cell r="M76" t="e">
            <v>#N/A</v>
          </cell>
          <cell r="N76" t="e">
            <v>#N/A</v>
          </cell>
          <cell r="O76" t="e">
            <v>#N/A</v>
          </cell>
          <cell r="P76">
            <v>56.18</v>
          </cell>
          <cell r="Q76">
            <v>3.4167700000000001</v>
          </cell>
          <cell r="R76" t="e">
            <v>#N/A</v>
          </cell>
          <cell r="AI76" t="str">
            <v>INR Indian Rupee</v>
          </cell>
          <cell r="AJ76" t="str">
            <v>Rs.</v>
          </cell>
          <cell r="AK76" t="str">
            <v>INR</v>
          </cell>
          <cell r="AL76" t="str">
            <v>INR</v>
          </cell>
          <cell r="AM76">
            <v>0</v>
          </cell>
          <cell r="AN76">
            <v>2</v>
          </cell>
        </row>
        <row r="77">
          <cell r="A77">
            <v>39262</v>
          </cell>
          <cell r="B77">
            <v>39262</v>
          </cell>
          <cell r="C77" t="str">
            <v>Past</v>
          </cell>
          <cell r="D77">
            <v>55.88</v>
          </cell>
          <cell r="E77" t="e">
            <v>#N/A</v>
          </cell>
          <cell r="F77" t="e">
            <v>#N/A</v>
          </cell>
          <cell r="G77" t="e">
            <v>#N/A</v>
          </cell>
          <cell r="H77" t="e">
            <v>#N/A</v>
          </cell>
          <cell r="I77" t="e">
            <v>#N/A</v>
          </cell>
          <cell r="J77" t="e">
            <v>#N/A</v>
          </cell>
          <cell r="K77" t="e">
            <v>#N/A</v>
          </cell>
          <cell r="L77" t="e">
            <v>#N/A</v>
          </cell>
          <cell r="M77" t="e">
            <v>#N/A</v>
          </cell>
          <cell r="N77" t="e">
            <v>#N/A</v>
          </cell>
          <cell r="O77" t="e">
            <v>#N/A</v>
          </cell>
          <cell r="P77">
            <v>55.88</v>
          </cell>
          <cell r="Q77">
            <v>4.4103110000000001</v>
          </cell>
          <cell r="R77" t="e">
            <v>#N/A</v>
          </cell>
          <cell r="AI77" t="str">
            <v>IQD Iraqi Dinar</v>
          </cell>
          <cell r="AJ77" t="str">
            <v>IQD</v>
          </cell>
          <cell r="AK77" t="str">
            <v>IQD</v>
          </cell>
          <cell r="AL77" t="str">
            <v>IQD</v>
          </cell>
          <cell r="AM77">
            <v>0</v>
          </cell>
          <cell r="AN77">
            <v>2</v>
          </cell>
        </row>
        <row r="78">
          <cell r="A78">
            <v>39265</v>
          </cell>
          <cell r="B78">
            <v>39265</v>
          </cell>
          <cell r="C78" t="str">
            <v>Past</v>
          </cell>
          <cell r="D78">
            <v>56.73</v>
          </cell>
          <cell r="E78" t="e">
            <v>#N/A</v>
          </cell>
          <cell r="F78" t="e">
            <v>#N/A</v>
          </cell>
          <cell r="G78" t="e">
            <v>#N/A</v>
          </cell>
          <cell r="H78" t="e">
            <v>#N/A</v>
          </cell>
          <cell r="I78" t="e">
            <v>#N/A</v>
          </cell>
          <cell r="J78" t="e">
            <v>#N/A</v>
          </cell>
          <cell r="K78" t="e">
            <v>#N/A</v>
          </cell>
          <cell r="L78" t="e">
            <v>#N/A</v>
          </cell>
          <cell r="M78" t="e">
            <v>#N/A</v>
          </cell>
          <cell r="N78" t="e">
            <v>#N/A</v>
          </cell>
          <cell r="O78" t="e">
            <v>#N/A</v>
          </cell>
          <cell r="P78">
            <v>56.73</v>
          </cell>
          <cell r="Q78">
            <v>3.6108500000000001</v>
          </cell>
          <cell r="R78" t="e">
            <v>#N/A</v>
          </cell>
          <cell r="AI78" t="str">
            <v>IRR Iranian Rial</v>
          </cell>
          <cell r="AJ78" t="str">
            <v>IRR</v>
          </cell>
          <cell r="AK78" t="str">
            <v>IRR</v>
          </cell>
          <cell r="AL78" t="str">
            <v>IRR</v>
          </cell>
          <cell r="AM78">
            <v>0</v>
          </cell>
          <cell r="AN78">
            <v>2</v>
          </cell>
        </row>
        <row r="79">
          <cell r="A79">
            <v>39266</v>
          </cell>
          <cell r="B79">
            <v>39266</v>
          </cell>
          <cell r="C79" t="str">
            <v>Past</v>
          </cell>
          <cell r="D79">
            <v>56.79</v>
          </cell>
          <cell r="E79" t="e">
            <v>#N/A</v>
          </cell>
          <cell r="F79" t="e">
            <v>#N/A</v>
          </cell>
          <cell r="G79" t="e">
            <v>#N/A</v>
          </cell>
          <cell r="H79" t="e">
            <v>#N/A</v>
          </cell>
          <cell r="I79" t="e">
            <v>#N/A</v>
          </cell>
          <cell r="J79" t="e">
            <v>#N/A</v>
          </cell>
          <cell r="K79" t="e">
            <v>#N/A</v>
          </cell>
          <cell r="L79" t="e">
            <v>#N/A</v>
          </cell>
          <cell r="M79" t="e">
            <v>#N/A</v>
          </cell>
          <cell r="N79" t="e">
            <v>#N/A</v>
          </cell>
          <cell r="O79" t="e">
            <v>#N/A</v>
          </cell>
          <cell r="P79">
            <v>56.79</v>
          </cell>
          <cell r="Q79">
            <v>1.4956779999999998</v>
          </cell>
          <cell r="R79" t="e">
            <v>#N/A</v>
          </cell>
          <cell r="AI79" t="str">
            <v>ISK Iceland Krona</v>
          </cell>
          <cell r="AJ79" t="str">
            <v>kr</v>
          </cell>
          <cell r="AK79" t="str">
            <v>ISK</v>
          </cell>
          <cell r="AL79" t="str">
            <v>ISK</v>
          </cell>
          <cell r="AM79">
            <v>0</v>
          </cell>
          <cell r="AN79">
            <v>2</v>
          </cell>
        </row>
        <row r="80">
          <cell r="A80">
            <v>39268</v>
          </cell>
          <cell r="B80">
            <v>39268</v>
          </cell>
          <cell r="C80" t="str">
            <v>Past</v>
          </cell>
          <cell r="D80">
            <v>56.56</v>
          </cell>
          <cell r="E80" t="e">
            <v>#N/A</v>
          </cell>
          <cell r="F80" t="e">
            <v>#N/A</v>
          </cell>
          <cell r="G80" t="e">
            <v>#N/A</v>
          </cell>
          <cell r="H80" t="e">
            <v>#N/A</v>
          </cell>
          <cell r="I80" t="e">
            <v>#N/A</v>
          </cell>
          <cell r="J80" t="e">
            <v>#N/A</v>
          </cell>
          <cell r="K80" t="e">
            <v>#N/A</v>
          </cell>
          <cell r="L80" t="e">
            <v>#N/A</v>
          </cell>
          <cell r="M80" t="e">
            <v>#N/A</v>
          </cell>
          <cell r="N80" t="e">
            <v>#N/A</v>
          </cell>
          <cell r="O80" t="e">
            <v>#N/A</v>
          </cell>
          <cell r="P80">
            <v>56.56</v>
          </cell>
          <cell r="Q80">
            <v>2.675608</v>
          </cell>
          <cell r="R80" t="e">
            <v>#N/A</v>
          </cell>
          <cell r="AI80" t="str">
            <v>JMD Jamaican Dollars</v>
          </cell>
          <cell r="AJ80" t="str">
            <v>JMD</v>
          </cell>
          <cell r="AK80" t="str">
            <v>JMD</v>
          </cell>
          <cell r="AL80" t="str">
            <v>JMD</v>
          </cell>
          <cell r="AM80">
            <v>0</v>
          </cell>
          <cell r="AN80">
            <v>2</v>
          </cell>
        </row>
        <row r="81">
          <cell r="A81">
            <v>39269</v>
          </cell>
          <cell r="B81">
            <v>39269</v>
          </cell>
          <cell r="C81" t="str">
            <v>Past</v>
          </cell>
          <cell r="D81">
            <v>56.64</v>
          </cell>
          <cell r="E81" t="e">
            <v>#N/A</v>
          </cell>
          <cell r="F81" t="e">
            <v>#N/A</v>
          </cell>
          <cell r="G81" t="e">
            <v>#N/A</v>
          </cell>
          <cell r="H81" t="e">
            <v>#N/A</v>
          </cell>
          <cell r="I81" t="e">
            <v>#N/A</v>
          </cell>
          <cell r="J81" t="e">
            <v>#N/A</v>
          </cell>
          <cell r="K81" t="e">
            <v>#N/A</v>
          </cell>
          <cell r="L81" t="e">
            <v>#N/A</v>
          </cell>
          <cell r="M81" t="e">
            <v>#N/A</v>
          </cell>
          <cell r="N81" t="e">
            <v>#N/A</v>
          </cell>
          <cell r="O81" t="e">
            <v>#N/A</v>
          </cell>
          <cell r="P81">
            <v>56.64</v>
          </cell>
          <cell r="Q81">
            <v>3.3121</v>
          </cell>
          <cell r="R81" t="e">
            <v>#N/A</v>
          </cell>
          <cell r="AI81" t="str">
            <v>JPY Japanese Yen</v>
          </cell>
          <cell r="AJ81" t="str">
            <v>¥</v>
          </cell>
          <cell r="AK81" t="str">
            <v>JPY</v>
          </cell>
          <cell r="AL81" t="str">
            <v>JPY</v>
          </cell>
          <cell r="AM81">
            <v>0</v>
          </cell>
          <cell r="AN81">
            <v>0</v>
          </cell>
        </row>
        <row r="82">
          <cell r="A82">
            <v>39272</v>
          </cell>
          <cell r="B82">
            <v>39272</v>
          </cell>
          <cell r="C82" t="str">
            <v>Past</v>
          </cell>
          <cell r="D82">
            <v>56.04</v>
          </cell>
          <cell r="E82" t="e">
            <v>#N/A</v>
          </cell>
          <cell r="F82" t="e">
            <v>#N/A</v>
          </cell>
          <cell r="G82" t="e">
            <v>#N/A</v>
          </cell>
          <cell r="H82" t="e">
            <v>#N/A</v>
          </cell>
          <cell r="I82" t="e">
            <v>#N/A</v>
          </cell>
          <cell r="J82" t="e">
            <v>#N/A</v>
          </cell>
          <cell r="K82" t="e">
            <v>#N/A</v>
          </cell>
          <cell r="L82" t="e">
            <v>#N/A</v>
          </cell>
          <cell r="M82" t="e">
            <v>#N/A</v>
          </cell>
          <cell r="N82" t="e">
            <v>#N/A</v>
          </cell>
          <cell r="O82" t="e">
            <v>#N/A</v>
          </cell>
          <cell r="P82">
            <v>56.04</v>
          </cell>
          <cell r="Q82">
            <v>5.2831489999999999</v>
          </cell>
          <cell r="R82" t="e">
            <v>#N/A</v>
          </cell>
          <cell r="AI82" t="str">
            <v>KES Kenyan Shilling</v>
          </cell>
          <cell r="AJ82" t="str">
            <v>KES</v>
          </cell>
          <cell r="AK82" t="str">
            <v>KES</v>
          </cell>
          <cell r="AL82" t="str">
            <v>KES</v>
          </cell>
          <cell r="AM82">
            <v>0</v>
          </cell>
          <cell r="AN82">
            <v>0</v>
          </cell>
        </row>
        <row r="83">
          <cell r="A83">
            <v>39273</v>
          </cell>
          <cell r="B83">
            <v>39273</v>
          </cell>
          <cell r="C83" t="str">
            <v>Past</v>
          </cell>
          <cell r="D83">
            <v>55.44</v>
          </cell>
          <cell r="E83" t="e">
            <v>#N/A</v>
          </cell>
          <cell r="F83" t="e">
            <v>#N/A</v>
          </cell>
          <cell r="G83" t="e">
            <v>#N/A</v>
          </cell>
          <cell r="H83" t="e">
            <v>#N/A</v>
          </cell>
          <cell r="I83" t="e">
            <v>#N/A</v>
          </cell>
          <cell r="J83" t="e">
            <v>#N/A</v>
          </cell>
          <cell r="K83" t="e">
            <v>#N/A</v>
          </cell>
          <cell r="L83" t="e">
            <v>#N/A</v>
          </cell>
          <cell r="M83" t="e">
            <v>#N/A</v>
          </cell>
          <cell r="N83" t="e">
            <v>#N/A</v>
          </cell>
          <cell r="O83" t="e">
            <v>#N/A</v>
          </cell>
          <cell r="P83">
            <v>55.44</v>
          </cell>
          <cell r="Q83">
            <v>4.202</v>
          </cell>
          <cell r="R83" t="e">
            <v>#N/A</v>
          </cell>
          <cell r="AI83" t="str">
            <v>KRW South Korean Won</v>
          </cell>
          <cell r="AJ83" t="str">
            <v>₩</v>
          </cell>
          <cell r="AK83" t="str">
            <v>KRW</v>
          </cell>
          <cell r="AL83" t="str">
            <v>KRW</v>
          </cell>
          <cell r="AM83">
            <v>0</v>
          </cell>
          <cell r="AN83">
            <v>0</v>
          </cell>
        </row>
        <row r="84">
          <cell r="A84">
            <v>39274</v>
          </cell>
          <cell r="B84">
            <v>39274</v>
          </cell>
          <cell r="C84" t="str">
            <v>Past</v>
          </cell>
          <cell r="D84">
            <v>55.76</v>
          </cell>
          <cell r="E84" t="e">
            <v>#N/A</v>
          </cell>
          <cell r="F84" t="e">
            <v>#N/A</v>
          </cell>
          <cell r="G84" t="e">
            <v>#N/A</v>
          </cell>
          <cell r="H84" t="e">
            <v>#N/A</v>
          </cell>
          <cell r="I84" t="e">
            <v>#N/A</v>
          </cell>
          <cell r="J84" t="e">
            <v>#N/A</v>
          </cell>
          <cell r="K84" t="e">
            <v>#N/A</v>
          </cell>
          <cell r="L84" t="e">
            <v>#N/A</v>
          </cell>
          <cell r="M84" t="e">
            <v>#N/A</v>
          </cell>
          <cell r="N84" t="e">
            <v>#N/A</v>
          </cell>
          <cell r="O84" t="e">
            <v>#N/A</v>
          </cell>
          <cell r="P84">
            <v>55.76</v>
          </cell>
          <cell r="Q84">
            <v>3.5052000000000003</v>
          </cell>
          <cell r="R84" t="e">
            <v>#N/A</v>
          </cell>
          <cell r="AI84" t="str">
            <v>KWD Kuwaiti Dinar</v>
          </cell>
          <cell r="AJ84" t="str">
            <v>KWD</v>
          </cell>
          <cell r="AK84" t="str">
            <v>KWD</v>
          </cell>
          <cell r="AL84" t="str">
            <v>KWD</v>
          </cell>
          <cell r="AM84">
            <v>0</v>
          </cell>
          <cell r="AN84">
            <v>2</v>
          </cell>
        </row>
        <row r="85">
          <cell r="A85">
            <v>39275</v>
          </cell>
          <cell r="B85">
            <v>39275</v>
          </cell>
          <cell r="C85" t="str">
            <v>Past</v>
          </cell>
          <cell r="D85">
            <v>56.79</v>
          </cell>
          <cell r="E85" t="e">
            <v>#N/A</v>
          </cell>
          <cell r="F85" t="e">
            <v>#N/A</v>
          </cell>
          <cell r="G85" t="e">
            <v>#N/A</v>
          </cell>
          <cell r="H85" t="e">
            <v>#N/A</v>
          </cell>
          <cell r="I85" t="e">
            <v>#N/A</v>
          </cell>
          <cell r="J85" t="e">
            <v>#N/A</v>
          </cell>
          <cell r="K85" t="e">
            <v>#N/A</v>
          </cell>
          <cell r="L85" t="e">
            <v>#N/A</v>
          </cell>
          <cell r="M85" t="e">
            <v>#N/A</v>
          </cell>
          <cell r="N85" t="e">
            <v>#N/A</v>
          </cell>
          <cell r="O85" t="e">
            <v>#N/A</v>
          </cell>
          <cell r="P85">
            <v>56.79</v>
          </cell>
          <cell r="Q85">
            <v>4.2929500000000003</v>
          </cell>
          <cell r="R85" t="e">
            <v>#N/A</v>
          </cell>
          <cell r="AI85" t="str">
            <v>KYD Cayman Dollars</v>
          </cell>
          <cell r="AJ85" t="str">
            <v>KYD</v>
          </cell>
          <cell r="AK85" t="str">
            <v>KYD</v>
          </cell>
          <cell r="AL85" t="str">
            <v>KYD</v>
          </cell>
          <cell r="AM85">
            <v>0</v>
          </cell>
          <cell r="AN85">
            <v>2</v>
          </cell>
        </row>
        <row r="86">
          <cell r="A86">
            <v>39276</v>
          </cell>
          <cell r="B86">
            <v>39276</v>
          </cell>
          <cell r="C86" t="str">
            <v>Past</v>
          </cell>
          <cell r="D86">
            <v>56.92</v>
          </cell>
          <cell r="E86" t="e">
            <v>#N/A</v>
          </cell>
          <cell r="F86" t="e">
            <v>#N/A</v>
          </cell>
          <cell r="G86" t="e">
            <v>#N/A</v>
          </cell>
          <cell r="H86" t="e">
            <v>#N/A</v>
          </cell>
          <cell r="I86" t="e">
            <v>#N/A</v>
          </cell>
          <cell r="J86" t="e">
            <v>#N/A</v>
          </cell>
          <cell r="K86" t="e">
            <v>#N/A</v>
          </cell>
          <cell r="L86" t="e">
            <v>#N/A</v>
          </cell>
          <cell r="M86" t="e">
            <v>#N/A</v>
          </cell>
          <cell r="N86" t="e">
            <v>#N/A</v>
          </cell>
          <cell r="O86" t="e">
            <v>#N/A</v>
          </cell>
          <cell r="P86">
            <v>56.92</v>
          </cell>
          <cell r="Q86">
            <v>2.8940379999999997</v>
          </cell>
          <cell r="R86" t="e">
            <v>#N/A</v>
          </cell>
          <cell r="AI86" t="str">
            <v>LKR Sri Lankan Rupee</v>
          </cell>
          <cell r="AJ86" t="str">
            <v>LKR</v>
          </cell>
          <cell r="AK86" t="str">
            <v>LKR</v>
          </cell>
          <cell r="AL86" t="str">
            <v>LKR</v>
          </cell>
          <cell r="AM86">
            <v>0</v>
          </cell>
          <cell r="AN86">
            <v>2</v>
          </cell>
        </row>
        <row r="87">
          <cell r="A87">
            <v>39279</v>
          </cell>
          <cell r="B87">
            <v>39279</v>
          </cell>
          <cell r="C87" t="str">
            <v>Past</v>
          </cell>
          <cell r="D87">
            <v>56.89</v>
          </cell>
          <cell r="E87" t="e">
            <v>#N/A</v>
          </cell>
          <cell r="F87" t="e">
            <v>#N/A</v>
          </cell>
          <cell r="G87" t="e">
            <v>#N/A</v>
          </cell>
          <cell r="H87" t="e">
            <v>#N/A</v>
          </cell>
          <cell r="I87" t="e">
            <v>#N/A</v>
          </cell>
          <cell r="J87" t="e">
            <v>#N/A</v>
          </cell>
          <cell r="K87" t="e">
            <v>#N/A</v>
          </cell>
          <cell r="L87" t="e">
            <v>#N/A</v>
          </cell>
          <cell r="M87" t="e">
            <v>#N/A</v>
          </cell>
          <cell r="N87" t="e">
            <v>#N/A</v>
          </cell>
          <cell r="O87" t="e">
            <v>#N/A</v>
          </cell>
          <cell r="P87">
            <v>56.89</v>
          </cell>
          <cell r="Q87">
            <v>3.6032000000000002</v>
          </cell>
          <cell r="R87" t="e">
            <v>#N/A</v>
          </cell>
          <cell r="AI87" t="str">
            <v>MAD Moroccan Dirham</v>
          </cell>
          <cell r="AJ87" t="str">
            <v>MAD</v>
          </cell>
          <cell r="AK87" t="str">
            <v>MAD</v>
          </cell>
          <cell r="AL87" t="str">
            <v>MAD</v>
          </cell>
          <cell r="AM87">
            <v>0</v>
          </cell>
          <cell r="AN87">
            <v>2</v>
          </cell>
        </row>
        <row r="88">
          <cell r="A88">
            <v>39280</v>
          </cell>
          <cell r="B88">
            <v>39280</v>
          </cell>
          <cell r="C88" t="str">
            <v>Past</v>
          </cell>
          <cell r="D88">
            <v>56.4</v>
          </cell>
          <cell r="E88" t="e">
            <v>#N/A</v>
          </cell>
          <cell r="F88" t="e">
            <v>#N/A</v>
          </cell>
          <cell r="G88" t="e">
            <v>#N/A</v>
          </cell>
          <cell r="H88" t="e">
            <v>#N/A</v>
          </cell>
          <cell r="I88" t="e">
            <v>#N/A</v>
          </cell>
          <cell r="J88" t="e">
            <v>#N/A</v>
          </cell>
          <cell r="K88" t="e">
            <v>#N/A</v>
          </cell>
          <cell r="L88" t="e">
            <v>#N/A</v>
          </cell>
          <cell r="M88" t="e">
            <v>#N/A</v>
          </cell>
          <cell r="N88" t="e">
            <v>#N/A</v>
          </cell>
          <cell r="O88" t="e">
            <v>#N/A</v>
          </cell>
          <cell r="P88">
            <v>56.4</v>
          </cell>
          <cell r="Q88">
            <v>4.2957900000000002</v>
          </cell>
          <cell r="R88" t="e">
            <v>#N/A</v>
          </cell>
          <cell r="AI88" t="str">
            <v>MXN Mexican Pesos (new)</v>
          </cell>
          <cell r="AJ88" t="str">
            <v>M$</v>
          </cell>
          <cell r="AK88" t="str">
            <v>MXN</v>
          </cell>
          <cell r="AL88" t="str">
            <v>MXN</v>
          </cell>
          <cell r="AM88">
            <v>0</v>
          </cell>
          <cell r="AN88">
            <v>2</v>
          </cell>
        </row>
        <row r="89">
          <cell r="A89">
            <v>39281</v>
          </cell>
          <cell r="B89">
            <v>39281</v>
          </cell>
          <cell r="C89" t="str">
            <v>Past</v>
          </cell>
          <cell r="D89">
            <v>56.05</v>
          </cell>
          <cell r="E89" t="e">
            <v>#N/A</v>
          </cell>
          <cell r="F89" t="e">
            <v>#N/A</v>
          </cell>
          <cell r="G89" t="e">
            <v>#N/A</v>
          </cell>
          <cell r="H89" t="e">
            <v>#N/A</v>
          </cell>
          <cell r="I89" t="e">
            <v>#N/A</v>
          </cell>
          <cell r="J89" t="e">
            <v>#N/A</v>
          </cell>
          <cell r="K89" t="e">
            <v>#N/A</v>
          </cell>
          <cell r="L89" t="e">
            <v>#N/A</v>
          </cell>
          <cell r="M89" t="e">
            <v>#N/A</v>
          </cell>
          <cell r="N89" t="e">
            <v>#N/A</v>
          </cell>
          <cell r="O89" t="e">
            <v>#N/A</v>
          </cell>
          <cell r="P89">
            <v>56.05</v>
          </cell>
          <cell r="Q89">
            <v>5.4182290000000002</v>
          </cell>
          <cell r="R89" t="e">
            <v>#N/A</v>
          </cell>
          <cell r="AI89" t="str">
            <v>MYR Malaysian Ringgit</v>
          </cell>
          <cell r="AJ89" t="str">
            <v>RM</v>
          </cell>
          <cell r="AK89" t="str">
            <v>MYR</v>
          </cell>
          <cell r="AL89" t="str">
            <v>MYR</v>
          </cell>
          <cell r="AM89">
            <v>0</v>
          </cell>
          <cell r="AN89">
            <v>2</v>
          </cell>
        </row>
        <row r="90">
          <cell r="A90">
            <v>39282</v>
          </cell>
          <cell r="B90">
            <v>39282</v>
          </cell>
          <cell r="C90" t="str">
            <v>Past</v>
          </cell>
          <cell r="D90">
            <v>56.38</v>
          </cell>
          <cell r="E90" t="e">
            <v>#N/A</v>
          </cell>
          <cell r="F90" t="e">
            <v>#N/A</v>
          </cell>
          <cell r="G90" t="e">
            <v>#N/A</v>
          </cell>
          <cell r="H90" t="e">
            <v>#N/A</v>
          </cell>
          <cell r="I90" t="e">
            <v>#N/A</v>
          </cell>
          <cell r="J90" t="e">
            <v>#N/A</v>
          </cell>
          <cell r="K90" t="e">
            <v>#N/A</v>
          </cell>
          <cell r="L90" t="e">
            <v>#N/A</v>
          </cell>
          <cell r="M90" t="e">
            <v>#N/A</v>
          </cell>
          <cell r="N90" t="e">
            <v>#N/A</v>
          </cell>
          <cell r="O90" t="e">
            <v>#N/A</v>
          </cell>
          <cell r="P90">
            <v>56.38</v>
          </cell>
          <cell r="Q90">
            <v>4.6968559999999995</v>
          </cell>
          <cell r="R90" t="e">
            <v>#N/A</v>
          </cell>
          <cell r="AI90" t="str">
            <v>NOK Norwegian Krone</v>
          </cell>
          <cell r="AJ90" t="str">
            <v>NKr</v>
          </cell>
          <cell r="AK90" t="str">
            <v>NOK</v>
          </cell>
          <cell r="AL90" t="str">
            <v>NOK</v>
          </cell>
          <cell r="AM90">
            <v>0</v>
          </cell>
          <cell r="AN90">
            <v>2</v>
          </cell>
        </row>
        <row r="91">
          <cell r="A91">
            <v>39283</v>
          </cell>
          <cell r="B91">
            <v>39283</v>
          </cell>
          <cell r="C91" t="str">
            <v>Past</v>
          </cell>
          <cell r="D91">
            <v>56.03</v>
          </cell>
          <cell r="E91" t="e">
            <v>#N/A</v>
          </cell>
          <cell r="F91" t="e">
            <v>#N/A</v>
          </cell>
          <cell r="G91" t="e">
            <v>#N/A</v>
          </cell>
          <cell r="H91" t="e">
            <v>#N/A</v>
          </cell>
          <cell r="I91" t="e">
            <v>#N/A</v>
          </cell>
          <cell r="J91" t="e">
            <v>#N/A</v>
          </cell>
          <cell r="K91" t="e">
            <v>#N/A</v>
          </cell>
          <cell r="L91" t="e">
            <v>#N/A</v>
          </cell>
          <cell r="M91" t="e">
            <v>#N/A</v>
          </cell>
          <cell r="N91" t="e">
            <v>#N/A</v>
          </cell>
          <cell r="O91" t="e">
            <v>#N/A</v>
          </cell>
          <cell r="P91">
            <v>56.03</v>
          </cell>
          <cell r="Q91">
            <v>6.8578999999999999</v>
          </cell>
          <cell r="R91" t="e">
            <v>#N/A</v>
          </cell>
          <cell r="AI91" t="str">
            <v>NZD New Zealand Dollars</v>
          </cell>
          <cell r="AJ91" t="str">
            <v>NZ$</v>
          </cell>
          <cell r="AK91" t="str">
            <v>NZD</v>
          </cell>
          <cell r="AL91" t="str">
            <v>NZD</v>
          </cell>
          <cell r="AM91">
            <v>0</v>
          </cell>
          <cell r="AN91">
            <v>2</v>
          </cell>
        </row>
        <row r="92">
          <cell r="A92">
            <v>39286</v>
          </cell>
          <cell r="B92">
            <v>39286</v>
          </cell>
          <cell r="C92" t="str">
            <v>Past</v>
          </cell>
          <cell r="D92">
            <v>57.17</v>
          </cell>
          <cell r="E92" t="e">
            <v>#N/A</v>
          </cell>
          <cell r="F92" t="e">
            <v>#N/A</v>
          </cell>
          <cell r="G92" t="e">
            <v>#N/A</v>
          </cell>
          <cell r="H92" t="e">
            <v>#N/A</v>
          </cell>
          <cell r="I92" t="e">
            <v>#N/A</v>
          </cell>
          <cell r="J92" t="e">
            <v>#N/A</v>
          </cell>
          <cell r="K92" t="e">
            <v>#N/A</v>
          </cell>
          <cell r="L92" t="e">
            <v>#N/A</v>
          </cell>
          <cell r="M92" t="e">
            <v>#N/A</v>
          </cell>
          <cell r="N92" t="e">
            <v>#N/A</v>
          </cell>
          <cell r="O92" t="e">
            <v>#N/A</v>
          </cell>
          <cell r="P92">
            <v>57.17</v>
          </cell>
          <cell r="Q92">
            <v>5.8880949999999999</v>
          </cell>
          <cell r="R92" t="e">
            <v>#N/A</v>
          </cell>
          <cell r="AI92" t="str">
            <v>OMR Rial Omani</v>
          </cell>
          <cell r="AJ92" t="str">
            <v>OMR</v>
          </cell>
          <cell r="AK92" t="str">
            <v>OMR</v>
          </cell>
          <cell r="AL92" t="str">
            <v>OMR</v>
          </cell>
          <cell r="AM92">
            <v>0</v>
          </cell>
          <cell r="AN92">
            <v>2</v>
          </cell>
        </row>
        <row r="93">
          <cell r="A93">
            <v>39287</v>
          </cell>
          <cell r="B93">
            <v>39287</v>
          </cell>
          <cell r="C93" t="str">
            <v>Past</v>
          </cell>
          <cell r="D93">
            <v>57.17</v>
          </cell>
          <cell r="E93" t="e">
            <v>#N/A</v>
          </cell>
          <cell r="F93" t="e">
            <v>#N/A</v>
          </cell>
          <cell r="G93" t="e">
            <v>#N/A</v>
          </cell>
          <cell r="H93" t="e">
            <v>#N/A</v>
          </cell>
          <cell r="I93" t="e">
            <v>#N/A</v>
          </cell>
          <cell r="J93" t="e">
            <v>#N/A</v>
          </cell>
          <cell r="K93" t="e">
            <v>#N/A</v>
          </cell>
          <cell r="L93" t="e">
            <v>#N/A</v>
          </cell>
          <cell r="M93" t="e">
            <v>#N/A</v>
          </cell>
          <cell r="N93" t="e">
            <v>#N/A</v>
          </cell>
          <cell r="O93" t="e">
            <v>#N/A</v>
          </cell>
          <cell r="P93">
            <v>57.17</v>
          </cell>
          <cell r="Q93">
            <v>10.90849</v>
          </cell>
          <cell r="R93" t="e">
            <v>#N/A</v>
          </cell>
          <cell r="AI93" t="str">
            <v>PAB Panamanian Balboa</v>
          </cell>
          <cell r="AJ93" t="str">
            <v>PAB</v>
          </cell>
          <cell r="AK93" t="str">
            <v>PAB</v>
          </cell>
          <cell r="AL93" t="str">
            <v>PAB</v>
          </cell>
          <cell r="AM93">
            <v>0</v>
          </cell>
          <cell r="AN93">
            <v>2</v>
          </cell>
        </row>
        <row r="94">
          <cell r="A94">
            <v>39288</v>
          </cell>
          <cell r="B94">
            <v>39288</v>
          </cell>
          <cell r="C94" t="str">
            <v>Past</v>
          </cell>
          <cell r="D94">
            <v>58.44</v>
          </cell>
          <cell r="E94" t="e">
            <v>#N/A</v>
          </cell>
          <cell r="F94" t="e">
            <v>#N/A</v>
          </cell>
          <cell r="G94" t="e">
            <v>#N/A</v>
          </cell>
          <cell r="H94" t="e">
            <v>#N/A</v>
          </cell>
          <cell r="I94" t="e">
            <v>#N/A</v>
          </cell>
          <cell r="J94" t="e">
            <v>#N/A</v>
          </cell>
          <cell r="K94" t="e">
            <v>#N/A</v>
          </cell>
          <cell r="L94" t="e">
            <v>#N/A</v>
          </cell>
          <cell r="M94" t="e">
            <v>#N/A</v>
          </cell>
          <cell r="N94" t="e">
            <v>#N/A</v>
          </cell>
          <cell r="O94" t="e">
            <v>#N/A</v>
          </cell>
          <cell r="P94">
            <v>58.44</v>
          </cell>
          <cell r="Q94">
            <v>7.3154709999999996</v>
          </cell>
          <cell r="R94" t="e">
            <v>#N/A</v>
          </cell>
          <cell r="AI94" t="str">
            <v>PEN Peruvian PEN</v>
          </cell>
          <cell r="AJ94" t="str">
            <v>PEN</v>
          </cell>
          <cell r="AK94" t="str">
            <v>PEN</v>
          </cell>
          <cell r="AL94" t="str">
            <v>PEN</v>
          </cell>
          <cell r="AM94">
            <v>0</v>
          </cell>
          <cell r="AN94">
            <v>2</v>
          </cell>
        </row>
        <row r="95">
          <cell r="A95">
            <v>39289</v>
          </cell>
          <cell r="B95">
            <v>39289</v>
          </cell>
          <cell r="C95" t="str">
            <v>Past</v>
          </cell>
          <cell r="D95">
            <v>56.7</v>
          </cell>
          <cell r="E95" t="e">
            <v>#N/A</v>
          </cell>
          <cell r="F95" t="e">
            <v>#N/A</v>
          </cell>
          <cell r="G95" t="e">
            <v>#N/A</v>
          </cell>
          <cell r="H95" t="e">
            <v>#N/A</v>
          </cell>
          <cell r="I95" t="e">
            <v>#N/A</v>
          </cell>
          <cell r="J95" t="e">
            <v>#N/A</v>
          </cell>
          <cell r="K95" t="e">
            <v>#N/A</v>
          </cell>
          <cell r="L95" t="e">
            <v>#N/A</v>
          </cell>
          <cell r="M95" t="e">
            <v>#N/A</v>
          </cell>
          <cell r="N95" t="e">
            <v>#N/A</v>
          </cell>
          <cell r="O95" t="e">
            <v>#N/A</v>
          </cell>
          <cell r="P95">
            <v>56.7</v>
          </cell>
          <cell r="Q95">
            <v>8.3653529999999989</v>
          </cell>
          <cell r="R95" t="e">
            <v>#N/A</v>
          </cell>
          <cell r="AI95" t="str">
            <v>PHP Philippino Peso</v>
          </cell>
          <cell r="AJ95" t="str">
            <v>PP</v>
          </cell>
          <cell r="AK95" t="str">
            <v>PHP</v>
          </cell>
          <cell r="AL95" t="str">
            <v>PHP</v>
          </cell>
          <cell r="AM95">
            <v>0</v>
          </cell>
          <cell r="AN95">
            <v>2</v>
          </cell>
        </row>
        <row r="96">
          <cell r="A96">
            <v>39290</v>
          </cell>
          <cell r="B96">
            <v>39290</v>
          </cell>
          <cell r="C96" t="str">
            <v>Past</v>
          </cell>
          <cell r="D96">
            <v>55.02</v>
          </cell>
          <cell r="E96" t="e">
            <v>#N/A</v>
          </cell>
          <cell r="F96" t="e">
            <v>#N/A</v>
          </cell>
          <cell r="G96" t="e">
            <v>#N/A</v>
          </cell>
          <cell r="H96" t="e">
            <v>#N/A</v>
          </cell>
          <cell r="I96" t="e">
            <v>#N/A</v>
          </cell>
          <cell r="J96" t="e">
            <v>#N/A</v>
          </cell>
          <cell r="K96" t="e">
            <v>#N/A</v>
          </cell>
          <cell r="L96" t="e">
            <v>#N/A</v>
          </cell>
          <cell r="M96" t="e">
            <v>#N/A</v>
          </cell>
          <cell r="N96" t="e">
            <v>#N/A</v>
          </cell>
          <cell r="O96" t="e">
            <v>#N/A</v>
          </cell>
          <cell r="P96">
            <v>55.02</v>
          </cell>
          <cell r="Q96">
            <v>6.3537309999999998</v>
          </cell>
          <cell r="R96" t="e">
            <v>#N/A</v>
          </cell>
          <cell r="AI96" t="str">
            <v>PKR Pakistani Rupee</v>
          </cell>
          <cell r="AJ96" t="str">
            <v>Rs.</v>
          </cell>
          <cell r="AK96" t="str">
            <v>PKR</v>
          </cell>
          <cell r="AL96" t="str">
            <v>PKR</v>
          </cell>
          <cell r="AM96">
            <v>0</v>
          </cell>
          <cell r="AN96">
            <v>2</v>
          </cell>
        </row>
        <row r="97">
          <cell r="A97">
            <v>39293</v>
          </cell>
          <cell r="B97">
            <v>39293</v>
          </cell>
          <cell r="C97" t="str">
            <v>Past</v>
          </cell>
          <cell r="D97">
            <v>54.77</v>
          </cell>
          <cell r="E97" t="e">
            <v>#N/A</v>
          </cell>
          <cell r="F97" t="e">
            <v>#N/A</v>
          </cell>
          <cell r="G97" t="e">
            <v>#N/A</v>
          </cell>
          <cell r="H97" t="e">
            <v>#N/A</v>
          </cell>
          <cell r="I97" t="e">
            <v>#N/A</v>
          </cell>
          <cell r="J97" t="e">
            <v>#N/A</v>
          </cell>
          <cell r="K97" t="e">
            <v>#N/A</v>
          </cell>
          <cell r="L97" t="e">
            <v>#N/A</v>
          </cell>
          <cell r="M97" t="e">
            <v>#N/A</v>
          </cell>
          <cell r="N97" t="e">
            <v>#N/A</v>
          </cell>
          <cell r="O97" t="e">
            <v>#N/A</v>
          </cell>
          <cell r="P97">
            <v>54.77</v>
          </cell>
          <cell r="Q97">
            <v>5.8481889999999996</v>
          </cell>
          <cell r="R97" t="e">
            <v>#N/A</v>
          </cell>
          <cell r="AI97" t="str">
            <v>PLN Polish Zloty</v>
          </cell>
          <cell r="AJ97" t="str">
            <v>zł</v>
          </cell>
          <cell r="AK97" t="str">
            <v>PLN</v>
          </cell>
          <cell r="AL97" t="str">
            <v>PLN</v>
          </cell>
          <cell r="AM97">
            <v>0</v>
          </cell>
          <cell r="AN97">
            <v>2</v>
          </cell>
        </row>
        <row r="98">
          <cell r="A98">
            <v>39294</v>
          </cell>
          <cell r="B98">
            <v>39294</v>
          </cell>
          <cell r="C98" t="str">
            <v>Past</v>
          </cell>
          <cell r="D98">
            <v>54.09</v>
          </cell>
          <cell r="E98" t="e">
            <v>#N/A</v>
          </cell>
          <cell r="F98" t="e">
            <v>#N/A</v>
          </cell>
          <cell r="G98" t="e">
            <v>#N/A</v>
          </cell>
          <cell r="H98" t="e">
            <v>#N/A</v>
          </cell>
          <cell r="I98" t="e">
            <v>#N/A</v>
          </cell>
          <cell r="J98" t="e">
            <v>#N/A</v>
          </cell>
          <cell r="K98" t="e">
            <v>#N/A</v>
          </cell>
          <cell r="L98" t="e">
            <v>#N/A</v>
          </cell>
          <cell r="M98" t="e">
            <v>#N/A</v>
          </cell>
          <cell r="N98" t="e">
            <v>#N/A</v>
          </cell>
          <cell r="O98" t="e">
            <v>#N/A</v>
          </cell>
          <cell r="P98">
            <v>54.09</v>
          </cell>
          <cell r="Q98">
            <v>8.2728470000000005</v>
          </cell>
          <cell r="R98" t="e">
            <v>#N/A</v>
          </cell>
          <cell r="AI98" t="str">
            <v>QAR Qatari Riyal</v>
          </cell>
          <cell r="AJ98" t="str">
            <v>QAR</v>
          </cell>
          <cell r="AK98" t="str">
            <v>QAR</v>
          </cell>
          <cell r="AL98" t="str">
            <v>QAR</v>
          </cell>
          <cell r="AM98">
            <v>0</v>
          </cell>
          <cell r="AN98">
            <v>2</v>
          </cell>
        </row>
        <row r="99">
          <cell r="A99">
            <v>39295</v>
          </cell>
          <cell r="B99">
            <v>39295</v>
          </cell>
          <cell r="C99" t="str">
            <v>Past</v>
          </cell>
          <cell r="D99">
            <v>54.2</v>
          </cell>
          <cell r="E99" t="e">
            <v>#N/A</v>
          </cell>
          <cell r="F99" t="e">
            <v>#N/A</v>
          </cell>
          <cell r="G99" t="e">
            <v>#N/A</v>
          </cell>
          <cell r="H99" t="e">
            <v>#N/A</v>
          </cell>
          <cell r="I99" t="e">
            <v>#N/A</v>
          </cell>
          <cell r="J99" t="e">
            <v>#N/A</v>
          </cell>
          <cell r="K99" t="e">
            <v>#N/A</v>
          </cell>
          <cell r="L99" t="e">
            <v>#N/A</v>
          </cell>
          <cell r="M99" t="e">
            <v>#N/A</v>
          </cell>
          <cell r="N99" t="e">
            <v>#N/A</v>
          </cell>
          <cell r="O99" t="e">
            <v>#N/A</v>
          </cell>
          <cell r="P99">
            <v>54.2</v>
          </cell>
          <cell r="Q99">
            <v>6.2463220000000002</v>
          </cell>
          <cell r="R99" t="e">
            <v>#N/A</v>
          </cell>
          <cell r="AI99" t="str">
            <v>RUB Russian Rouble</v>
          </cell>
          <cell r="AJ99" t="str">
            <v>RUB</v>
          </cell>
          <cell r="AK99" t="str">
            <v>RUB</v>
          </cell>
          <cell r="AL99" t="str">
            <v>RUB</v>
          </cell>
          <cell r="AM99">
            <v>0</v>
          </cell>
          <cell r="AN99">
            <v>2</v>
          </cell>
        </row>
        <row r="100">
          <cell r="A100">
            <v>39296</v>
          </cell>
          <cell r="B100">
            <v>39296</v>
          </cell>
          <cell r="C100" t="str">
            <v>Past</v>
          </cell>
          <cell r="D100">
            <v>54.6</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54.6</v>
          </cell>
          <cell r="Q100">
            <v>5.1132840000000002</v>
          </cell>
          <cell r="R100" t="e">
            <v>#N/A</v>
          </cell>
          <cell r="AI100" t="str">
            <v>SAR Saudi Riyal</v>
          </cell>
          <cell r="AJ100" t="str">
            <v>SAR</v>
          </cell>
          <cell r="AK100" t="str">
            <v>SAR</v>
          </cell>
          <cell r="AL100" t="str">
            <v>SAR</v>
          </cell>
          <cell r="AM100">
            <v>0</v>
          </cell>
          <cell r="AN100">
            <v>2</v>
          </cell>
        </row>
        <row r="101">
          <cell r="A101">
            <v>39297</v>
          </cell>
          <cell r="B101">
            <v>39297</v>
          </cell>
          <cell r="C101" t="str">
            <v>Past</v>
          </cell>
          <cell r="D101">
            <v>54.13</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54.13</v>
          </cell>
          <cell r="Q101">
            <v>5.5839489999999996</v>
          </cell>
          <cell r="R101" t="e">
            <v>#N/A</v>
          </cell>
          <cell r="AI101" t="str">
            <v>SEK Swedish Krona</v>
          </cell>
          <cell r="AJ101" t="str">
            <v>SKr</v>
          </cell>
          <cell r="AK101" t="str">
            <v>SEK</v>
          </cell>
          <cell r="AL101" t="str">
            <v>SEK</v>
          </cell>
          <cell r="AM101">
            <v>0</v>
          </cell>
          <cell r="AN101">
            <v>2</v>
          </cell>
        </row>
        <row r="102">
          <cell r="A102">
            <v>39300</v>
          </cell>
          <cell r="B102">
            <v>39300</v>
          </cell>
          <cell r="C102" t="str">
            <v>Past</v>
          </cell>
          <cell r="D102">
            <v>56.22</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56.22</v>
          </cell>
          <cell r="Q102">
            <v>7.3999939999999995</v>
          </cell>
          <cell r="R102" t="e">
            <v>#N/A</v>
          </cell>
          <cell r="AI102" t="str">
            <v>SGD Singapore Dollar</v>
          </cell>
          <cell r="AJ102" t="str">
            <v>S$</v>
          </cell>
          <cell r="AK102" t="str">
            <v>SGD</v>
          </cell>
          <cell r="AL102" t="str">
            <v>SGD</v>
          </cell>
          <cell r="AM102">
            <v>0</v>
          </cell>
          <cell r="AN102">
            <v>2</v>
          </cell>
        </row>
        <row r="103">
          <cell r="A103">
            <v>39301</v>
          </cell>
          <cell r="B103">
            <v>39301</v>
          </cell>
          <cell r="C103" t="str">
            <v>Past</v>
          </cell>
          <cell r="D103">
            <v>56.52</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56.52</v>
          </cell>
          <cell r="Q103">
            <v>7.5100069999999999</v>
          </cell>
          <cell r="R103" t="e">
            <v>#N/A</v>
          </cell>
          <cell r="AI103" t="str">
            <v>THB Thailand Baht</v>
          </cell>
          <cell r="AJ103" t="str">
            <v>Bt</v>
          </cell>
          <cell r="AK103" t="str">
            <v>THB</v>
          </cell>
          <cell r="AL103" t="str">
            <v>THB</v>
          </cell>
          <cell r="AM103">
            <v>0</v>
          </cell>
          <cell r="AN103">
            <v>2</v>
          </cell>
        </row>
        <row r="104">
          <cell r="A104">
            <v>39302</v>
          </cell>
          <cell r="B104">
            <v>39302</v>
          </cell>
          <cell r="C104" t="str">
            <v>Past</v>
          </cell>
          <cell r="D104">
            <v>58.4</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58.4</v>
          </cell>
          <cell r="Q104">
            <v>6.7241919999999995</v>
          </cell>
          <cell r="R104" t="e">
            <v>#N/A</v>
          </cell>
          <cell r="AI104" t="str">
            <v>TND Tunisian Dinar</v>
          </cell>
          <cell r="AJ104" t="str">
            <v>TND</v>
          </cell>
          <cell r="AK104" t="str">
            <v>TND</v>
          </cell>
          <cell r="AL104" t="str">
            <v>TND</v>
          </cell>
          <cell r="AM104">
            <v>0</v>
          </cell>
          <cell r="AN104">
            <v>2</v>
          </cell>
        </row>
        <row r="105">
          <cell r="A105">
            <v>39303</v>
          </cell>
          <cell r="B105">
            <v>39303</v>
          </cell>
          <cell r="C105" t="str">
            <v>Past</v>
          </cell>
          <cell r="D105">
            <v>57.85</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57.85</v>
          </cell>
          <cell r="Q105">
            <v>8.5117840000000005</v>
          </cell>
          <cell r="R105" t="e">
            <v>#N/A</v>
          </cell>
          <cell r="AI105" t="str">
            <v>TRY Turkish Lira</v>
          </cell>
          <cell r="AJ105" t="str">
            <v>TL</v>
          </cell>
          <cell r="AK105" t="str">
            <v>TRY</v>
          </cell>
          <cell r="AL105" t="str">
            <v>TRY</v>
          </cell>
          <cell r="AM105">
            <v>0</v>
          </cell>
          <cell r="AN105">
            <v>2</v>
          </cell>
        </row>
        <row r="106">
          <cell r="A106">
            <v>39304</v>
          </cell>
          <cell r="B106">
            <v>39304</v>
          </cell>
          <cell r="C106" t="str">
            <v>Past</v>
          </cell>
          <cell r="D106">
            <v>57.16</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57.16</v>
          </cell>
          <cell r="Q106">
            <v>8.0407329999999995</v>
          </cell>
          <cell r="R106" t="e">
            <v>#N/A</v>
          </cell>
          <cell r="AI106" t="str">
            <v>TWD New Taiwan Dollar</v>
          </cell>
          <cell r="AJ106" t="str">
            <v>NT$</v>
          </cell>
          <cell r="AK106" t="str">
            <v>TWD</v>
          </cell>
          <cell r="AL106" t="str">
            <v>TWD</v>
          </cell>
          <cell r="AM106">
            <v>0</v>
          </cell>
          <cell r="AN106">
            <v>2</v>
          </cell>
        </row>
        <row r="107">
          <cell r="A107">
            <v>39307</v>
          </cell>
          <cell r="B107">
            <v>39307</v>
          </cell>
          <cell r="C107" t="str">
            <v>Past</v>
          </cell>
          <cell r="D107">
            <v>56.93</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56.93</v>
          </cell>
          <cell r="Q107">
            <v>4.0047000000000006</v>
          </cell>
          <cell r="R107" t="e">
            <v>#N/A</v>
          </cell>
          <cell r="AI107" t="str">
            <v>UAH Ukrainian Hryvnia</v>
          </cell>
          <cell r="AJ107" t="str">
            <v>UAH</v>
          </cell>
          <cell r="AK107" t="str">
            <v>UAH</v>
          </cell>
          <cell r="AL107" t="str">
            <v>UAH</v>
          </cell>
          <cell r="AM107">
            <v>0</v>
          </cell>
          <cell r="AN107">
            <v>2</v>
          </cell>
        </row>
        <row r="108">
          <cell r="A108">
            <v>39308</v>
          </cell>
          <cell r="B108">
            <v>39308</v>
          </cell>
          <cell r="C108" t="str">
            <v>Past</v>
          </cell>
          <cell r="D108">
            <v>55.44</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55.44</v>
          </cell>
          <cell r="Q108">
            <v>5.3788500000000008</v>
          </cell>
          <cell r="R108" t="e">
            <v>#N/A</v>
          </cell>
          <cell r="AI108" t="str">
            <v>USD American Dollar</v>
          </cell>
          <cell r="AJ108" t="str">
            <v>$</v>
          </cell>
          <cell r="AK108" t="str">
            <v>USD</v>
          </cell>
          <cell r="AL108" t="str">
            <v>USD</v>
          </cell>
          <cell r="AM108">
            <v>0</v>
          </cell>
          <cell r="AN108">
            <v>2</v>
          </cell>
        </row>
        <row r="109">
          <cell r="A109">
            <v>39309</v>
          </cell>
          <cell r="B109">
            <v>39309</v>
          </cell>
          <cell r="C109" t="str">
            <v>Past</v>
          </cell>
          <cell r="D109">
            <v>55.18</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55.18</v>
          </cell>
          <cell r="Q109">
            <v>4.9745500000000007</v>
          </cell>
          <cell r="R109" t="e">
            <v>#N/A</v>
          </cell>
          <cell r="AI109" t="str">
            <v>VEB Venezuelan Bolivar</v>
          </cell>
          <cell r="AJ109" t="str">
            <v>VEB</v>
          </cell>
          <cell r="AK109" t="str">
            <v>VEB</v>
          </cell>
          <cell r="AL109" t="str">
            <v>VEB</v>
          </cell>
          <cell r="AM109">
            <v>0</v>
          </cell>
          <cell r="AN109">
            <v>2</v>
          </cell>
        </row>
        <row r="110">
          <cell r="A110">
            <v>39310</v>
          </cell>
          <cell r="B110">
            <v>39310</v>
          </cell>
          <cell r="C110" t="str">
            <v>Past</v>
          </cell>
          <cell r="D110">
            <v>54.83</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54.83</v>
          </cell>
          <cell r="Q110">
            <v>8.8786000000000005</v>
          </cell>
          <cell r="R110" t="e">
            <v>#N/A</v>
          </cell>
          <cell r="AI110" t="str">
            <v>ZAc South African Cent</v>
          </cell>
          <cell r="AJ110" t="str">
            <v>ZAc</v>
          </cell>
          <cell r="AK110" t="str">
            <v>ZAc</v>
          </cell>
          <cell r="AL110" t="str">
            <v>ZAc</v>
          </cell>
          <cell r="AM110">
            <v>0</v>
          </cell>
          <cell r="AN110">
            <v>0</v>
          </cell>
        </row>
        <row r="111">
          <cell r="A111">
            <v>39311</v>
          </cell>
          <cell r="B111">
            <v>39311</v>
          </cell>
          <cell r="C111" t="str">
            <v>Past</v>
          </cell>
          <cell r="D111">
            <v>55.81</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55.81</v>
          </cell>
          <cell r="Q111">
            <v>6.8274999999999997</v>
          </cell>
          <cell r="R111" t="e">
            <v>#N/A</v>
          </cell>
          <cell r="AI111" t="str">
            <v>ZAR South African rand</v>
          </cell>
          <cell r="AJ111" t="str">
            <v>ZAR</v>
          </cell>
          <cell r="AK111" t="str">
            <v>ZAR</v>
          </cell>
          <cell r="AL111" t="str">
            <v>ZAR</v>
          </cell>
          <cell r="AM111">
            <v>0</v>
          </cell>
          <cell r="AN111">
            <v>2</v>
          </cell>
        </row>
        <row r="112">
          <cell r="A112">
            <v>39314</v>
          </cell>
          <cell r="B112">
            <v>39314</v>
          </cell>
          <cell r="C112" t="str">
            <v>Past</v>
          </cell>
          <cell r="D112">
            <v>55.63</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55.63</v>
          </cell>
          <cell r="Q112">
            <v>4.8591000000000006</v>
          </cell>
          <cell r="R112" t="e">
            <v>#N/A</v>
          </cell>
          <cell r="AI112" t="str">
            <v xml:space="preserve">ZMK Zambian Kwacha </v>
          </cell>
          <cell r="AJ112" t="str">
            <v>ZMK</v>
          </cell>
          <cell r="AK112" t="str">
            <v>ZMK</v>
          </cell>
          <cell r="AL112" t="str">
            <v>ZMK</v>
          </cell>
          <cell r="AM112">
            <v>0</v>
          </cell>
          <cell r="AN112">
            <v>2</v>
          </cell>
        </row>
        <row r="113">
          <cell r="A113">
            <v>39315</v>
          </cell>
          <cell r="B113">
            <v>39315</v>
          </cell>
          <cell r="C113" t="str">
            <v>Past</v>
          </cell>
          <cell r="D113">
            <v>55.28</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55.28</v>
          </cell>
          <cell r="Q113">
            <v>3.3652000000000002</v>
          </cell>
          <cell r="R113" t="e">
            <v>#N/A</v>
          </cell>
        </row>
        <row r="114">
          <cell r="A114">
            <v>39316</v>
          </cell>
          <cell r="B114">
            <v>39316</v>
          </cell>
          <cell r="C114" t="str">
            <v>Past</v>
          </cell>
          <cell r="D114">
            <v>55.74</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55.74</v>
          </cell>
          <cell r="Q114">
            <v>4.6797000000000004</v>
          </cell>
          <cell r="R114" t="e">
            <v>#N/A</v>
          </cell>
        </row>
        <row r="115">
          <cell r="A115">
            <v>39317</v>
          </cell>
          <cell r="B115">
            <v>39317</v>
          </cell>
          <cell r="C115" t="str">
            <v>Past</v>
          </cell>
          <cell r="D115">
            <v>55.87</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55.87</v>
          </cell>
          <cell r="Q115">
            <v>2.7577000000000003</v>
          </cell>
          <cell r="R115" t="e">
            <v>#N/A</v>
          </cell>
        </row>
        <row r="116">
          <cell r="A116">
            <v>39318</v>
          </cell>
          <cell r="B116">
            <v>39318</v>
          </cell>
          <cell r="C116" t="str">
            <v>Past</v>
          </cell>
          <cell r="D116">
            <v>56.61</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56.61</v>
          </cell>
          <cell r="Q116">
            <v>5.5994999999999999</v>
          </cell>
          <cell r="R116" t="e">
            <v>#N/A</v>
          </cell>
        </row>
        <row r="117">
          <cell r="A117">
            <v>39321</v>
          </cell>
          <cell r="B117">
            <v>39321</v>
          </cell>
          <cell r="C117" t="str">
            <v>Past</v>
          </cell>
          <cell r="D117">
            <v>56.39</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56.39</v>
          </cell>
          <cell r="Q117">
            <v>3.1044</v>
          </cell>
          <cell r="R117" t="e">
            <v>#N/A</v>
          </cell>
        </row>
        <row r="118">
          <cell r="A118">
            <v>39322</v>
          </cell>
          <cell r="B118">
            <v>39322</v>
          </cell>
          <cell r="C118" t="str">
            <v>Past</v>
          </cell>
          <cell r="D118">
            <v>56.1</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56.1</v>
          </cell>
          <cell r="Q118">
            <v>5.4973999999999998</v>
          </cell>
          <cell r="R118" t="e">
            <v>#N/A</v>
          </cell>
        </row>
        <row r="119">
          <cell r="A119">
            <v>39323</v>
          </cell>
          <cell r="B119">
            <v>39323</v>
          </cell>
          <cell r="C119" t="str">
            <v>Past</v>
          </cell>
          <cell r="D119">
            <v>56.32</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56.32</v>
          </cell>
          <cell r="Q119">
            <v>5.9315000000000007</v>
          </cell>
          <cell r="R119" t="e">
            <v>#N/A</v>
          </cell>
        </row>
        <row r="120">
          <cell r="A120">
            <v>39324</v>
          </cell>
          <cell r="B120">
            <v>39324</v>
          </cell>
          <cell r="C120" t="str">
            <v>Past</v>
          </cell>
          <cell r="D120">
            <v>56.67</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56.67</v>
          </cell>
          <cell r="Q120">
            <v>4.6493000000000002</v>
          </cell>
          <cell r="R120" t="e">
            <v>#N/A</v>
          </cell>
        </row>
        <row r="121">
          <cell r="A121">
            <v>39325</v>
          </cell>
          <cell r="B121">
            <v>39325</v>
          </cell>
          <cell r="C121" t="str">
            <v>Past</v>
          </cell>
          <cell r="D121">
            <v>57.35</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57.35</v>
          </cell>
          <cell r="Q121">
            <v>5.6558999999999999</v>
          </cell>
          <cell r="R121" t="e">
            <v>#N/A</v>
          </cell>
        </row>
        <row r="122">
          <cell r="A122">
            <v>39329</v>
          </cell>
          <cell r="B122">
            <v>39329</v>
          </cell>
          <cell r="C122" t="str">
            <v>Past</v>
          </cell>
          <cell r="D122">
            <v>58.13</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58.13</v>
          </cell>
          <cell r="Q122">
            <v>5.6059000000000001</v>
          </cell>
          <cell r="R122" t="e">
            <v>#N/A</v>
          </cell>
        </row>
        <row r="123">
          <cell r="A123">
            <v>39330</v>
          </cell>
          <cell r="B123">
            <v>39330</v>
          </cell>
          <cell r="C123" t="str">
            <v>Past</v>
          </cell>
          <cell r="D123">
            <v>57.29</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57.29</v>
          </cell>
          <cell r="Q123">
            <v>4.7473000000000001</v>
          </cell>
          <cell r="R123" t="e">
            <v>#N/A</v>
          </cell>
        </row>
        <row r="124">
          <cell r="A124">
            <v>39331</v>
          </cell>
          <cell r="B124">
            <v>39331</v>
          </cell>
          <cell r="C124" t="str">
            <v>Past</v>
          </cell>
          <cell r="D124">
            <v>57.45</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57.45</v>
          </cell>
          <cell r="Q124">
            <v>4.0737000000000005</v>
          </cell>
          <cell r="R124" t="e">
            <v>#N/A</v>
          </cell>
        </row>
        <row r="125">
          <cell r="A125">
            <v>39332</v>
          </cell>
          <cell r="B125">
            <v>39332</v>
          </cell>
          <cell r="C125" t="str">
            <v>Past</v>
          </cell>
          <cell r="D125">
            <v>56.17</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56.17</v>
          </cell>
          <cell r="Q125">
            <v>5.9727000000000006</v>
          </cell>
          <cell r="R125" t="e">
            <v>#N/A</v>
          </cell>
        </row>
        <row r="126">
          <cell r="A126">
            <v>39335</v>
          </cell>
          <cell r="B126">
            <v>39335</v>
          </cell>
          <cell r="C126" t="str">
            <v>Past</v>
          </cell>
          <cell r="D126">
            <v>56.14</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56.14</v>
          </cell>
          <cell r="Q126">
            <v>4.4197000000000006</v>
          </cell>
          <cell r="R126" t="e">
            <v>#N/A</v>
          </cell>
        </row>
        <row r="127">
          <cell r="A127">
            <v>39336</v>
          </cell>
          <cell r="B127">
            <v>39336</v>
          </cell>
          <cell r="C127" t="str">
            <v>Past</v>
          </cell>
          <cell r="D127">
            <v>56.6</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56.6</v>
          </cell>
          <cell r="Q127">
            <v>4.0674000000000001</v>
          </cell>
          <cell r="R127" t="e">
            <v>#N/A</v>
          </cell>
        </row>
        <row r="128">
          <cell r="A128">
            <v>39337</v>
          </cell>
          <cell r="B128">
            <v>39337</v>
          </cell>
          <cell r="C128" t="str">
            <v>Past</v>
          </cell>
          <cell r="D128">
            <v>57.05</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57.05</v>
          </cell>
          <cell r="Q128">
            <v>4.3474000000000004</v>
          </cell>
          <cell r="R128" t="e">
            <v>#N/A</v>
          </cell>
        </row>
        <row r="129">
          <cell r="A129">
            <v>39338</v>
          </cell>
          <cell r="B129">
            <v>39338</v>
          </cell>
          <cell r="C129" t="str">
            <v>Past</v>
          </cell>
          <cell r="D129">
            <v>57.18</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57.18</v>
          </cell>
          <cell r="Q129">
            <v>4.7561</v>
          </cell>
          <cell r="R129" t="e">
            <v>#N/A</v>
          </cell>
        </row>
        <row r="130">
          <cell r="A130">
            <v>39339</v>
          </cell>
          <cell r="B130">
            <v>39339</v>
          </cell>
          <cell r="C130" t="str">
            <v>Past</v>
          </cell>
          <cell r="D130">
            <v>56.82</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56.82</v>
          </cell>
          <cell r="Q130">
            <v>4.9930000000000003</v>
          </cell>
          <cell r="R130" t="e">
            <v>#N/A</v>
          </cell>
        </row>
        <row r="131">
          <cell r="A131">
            <v>39342</v>
          </cell>
          <cell r="B131">
            <v>39342</v>
          </cell>
          <cell r="C131" t="str">
            <v>Past</v>
          </cell>
          <cell r="D131">
            <v>55.95</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55.95</v>
          </cell>
          <cell r="Q131">
            <v>4.3845000000000001</v>
          </cell>
          <cell r="R131" t="e">
            <v>#N/A</v>
          </cell>
        </row>
        <row r="132">
          <cell r="A132">
            <v>39343</v>
          </cell>
          <cell r="B132">
            <v>39343</v>
          </cell>
          <cell r="C132" t="str">
            <v>Past</v>
          </cell>
          <cell r="D132">
            <v>57.14</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57.14</v>
          </cell>
          <cell r="Q132">
            <v>4.0749000000000004</v>
          </cell>
          <cell r="R132" t="e">
            <v>#N/A</v>
          </cell>
        </row>
        <row r="133">
          <cell r="A133">
            <v>39344</v>
          </cell>
          <cell r="B133">
            <v>39344</v>
          </cell>
          <cell r="C133" t="str">
            <v>Past</v>
          </cell>
          <cell r="D133">
            <v>57.53</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57.53</v>
          </cell>
          <cell r="Q133">
            <v>5.4957000000000003</v>
          </cell>
          <cell r="R133" t="e">
            <v>#N/A</v>
          </cell>
        </row>
        <row r="134">
          <cell r="A134">
            <v>39345</v>
          </cell>
          <cell r="B134">
            <v>39345</v>
          </cell>
          <cell r="C134" t="str">
            <v>Past</v>
          </cell>
          <cell r="D134">
            <v>57.08</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57.08</v>
          </cell>
          <cell r="Q134">
            <v>3.6789000000000001</v>
          </cell>
          <cell r="R134" t="e">
            <v>#N/A</v>
          </cell>
        </row>
        <row r="135">
          <cell r="A135">
            <v>39346</v>
          </cell>
          <cell r="B135">
            <v>39346</v>
          </cell>
          <cell r="C135" t="str">
            <v>Past</v>
          </cell>
          <cell r="D135">
            <v>57.62</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57.62</v>
          </cell>
          <cell r="Q135">
            <v>4.8921000000000001</v>
          </cell>
          <cell r="R135" t="e">
            <v>#N/A</v>
          </cell>
        </row>
        <row r="136">
          <cell r="A136">
            <v>39349</v>
          </cell>
          <cell r="B136">
            <v>39349</v>
          </cell>
          <cell r="C136" t="str">
            <v>Past</v>
          </cell>
          <cell r="D136">
            <v>57.53</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57.53</v>
          </cell>
          <cell r="Q136">
            <v>3.286476</v>
          </cell>
          <cell r="R136" t="e">
            <v>#N/A</v>
          </cell>
        </row>
        <row r="137">
          <cell r="A137">
            <v>39350</v>
          </cell>
          <cell r="B137">
            <v>39350</v>
          </cell>
          <cell r="C137" t="str">
            <v>Past</v>
          </cell>
          <cell r="D137">
            <v>57.21</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57.21</v>
          </cell>
          <cell r="Q137">
            <v>4.5377999999999998</v>
          </cell>
          <cell r="R137" t="e">
            <v>#N/A</v>
          </cell>
        </row>
        <row r="138">
          <cell r="A138">
            <v>39351</v>
          </cell>
          <cell r="B138">
            <v>39351</v>
          </cell>
          <cell r="C138" t="str">
            <v>Past</v>
          </cell>
          <cell r="D138">
            <v>57.4</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57.4</v>
          </cell>
          <cell r="Q138">
            <v>5.3738659999999996</v>
          </cell>
          <cell r="R138" t="e">
            <v>#N/A</v>
          </cell>
        </row>
        <row r="139">
          <cell r="A139">
            <v>39352</v>
          </cell>
          <cell r="B139">
            <v>39352</v>
          </cell>
          <cell r="C139" t="str">
            <v>Past</v>
          </cell>
          <cell r="D139">
            <v>57.37</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57.37</v>
          </cell>
          <cell r="Q139">
            <v>4.0761000000000003</v>
          </cell>
          <cell r="R139" t="e">
            <v>#N/A</v>
          </cell>
        </row>
        <row r="140">
          <cell r="A140">
            <v>39353</v>
          </cell>
          <cell r="B140">
            <v>39353</v>
          </cell>
          <cell r="C140" t="str">
            <v>Past</v>
          </cell>
          <cell r="D140">
            <v>56.93</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56.93</v>
          </cell>
          <cell r="Q140">
            <v>4.3292000000000002</v>
          </cell>
          <cell r="R140" t="e">
            <v>#N/A</v>
          </cell>
        </row>
        <row r="141">
          <cell r="A141">
            <v>39356</v>
          </cell>
          <cell r="B141">
            <v>39356</v>
          </cell>
          <cell r="C141" t="str">
            <v>Past</v>
          </cell>
          <cell r="D141">
            <v>58.29</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58.29</v>
          </cell>
          <cell r="Q141">
            <v>5.6298800000000009</v>
          </cell>
          <cell r="R141" t="e">
            <v>#N/A</v>
          </cell>
        </row>
        <row r="142">
          <cell r="A142">
            <v>39357</v>
          </cell>
          <cell r="B142">
            <v>39357</v>
          </cell>
          <cell r="C142" t="str">
            <v>Past</v>
          </cell>
          <cell r="D142">
            <v>58.42</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58.42</v>
          </cell>
          <cell r="Q142">
            <v>2.8894000000000002</v>
          </cell>
          <cell r="R142" t="e">
            <v>#N/A</v>
          </cell>
        </row>
        <row r="143">
          <cell r="A143">
            <v>39358</v>
          </cell>
          <cell r="B143">
            <v>39358</v>
          </cell>
          <cell r="C143" t="str">
            <v>Past</v>
          </cell>
          <cell r="D143">
            <v>58.88</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58.88</v>
          </cell>
          <cell r="Q143">
            <v>4.1013000000000002</v>
          </cell>
          <cell r="R143" t="e">
            <v>#N/A</v>
          </cell>
        </row>
        <row r="144">
          <cell r="A144">
            <v>39359</v>
          </cell>
          <cell r="B144">
            <v>39359</v>
          </cell>
          <cell r="C144" t="str">
            <v>Past</v>
          </cell>
          <cell r="D144">
            <v>58.96</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58.96</v>
          </cell>
          <cell r="Q144">
            <v>4.8692000000000002</v>
          </cell>
          <cell r="R144" t="e">
            <v>#N/A</v>
          </cell>
        </row>
        <row r="145">
          <cell r="A145">
            <v>39360</v>
          </cell>
          <cell r="B145">
            <v>39360</v>
          </cell>
          <cell r="C145" t="str">
            <v>Past</v>
          </cell>
          <cell r="D145">
            <v>59.47</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59.47</v>
          </cell>
          <cell r="Q145">
            <v>3.7002000000000002</v>
          </cell>
          <cell r="R145" t="e">
            <v>#N/A</v>
          </cell>
        </row>
        <row r="146">
          <cell r="A146">
            <v>39363</v>
          </cell>
          <cell r="B146">
            <v>39363</v>
          </cell>
          <cell r="C146" t="str">
            <v>Past</v>
          </cell>
          <cell r="D146">
            <v>59</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59</v>
          </cell>
          <cell r="Q146">
            <v>2.6903000000000001</v>
          </cell>
          <cell r="R146" t="e">
            <v>#N/A</v>
          </cell>
        </row>
        <row r="147">
          <cell r="A147">
            <v>39364</v>
          </cell>
          <cell r="B147">
            <v>39364</v>
          </cell>
          <cell r="C147" t="str">
            <v>Past</v>
          </cell>
          <cell r="D147">
            <v>58.55</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58.55</v>
          </cell>
          <cell r="Q147">
            <v>4.1751000000000005</v>
          </cell>
          <cell r="R147" t="e">
            <v>#N/A</v>
          </cell>
        </row>
        <row r="148">
          <cell r="A148">
            <v>39365</v>
          </cell>
          <cell r="B148">
            <v>39365</v>
          </cell>
          <cell r="C148" t="str">
            <v>Past</v>
          </cell>
          <cell r="D148">
            <v>58.4</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58.4</v>
          </cell>
          <cell r="Q148">
            <v>4.3499999999999996</v>
          </cell>
          <cell r="R148" t="e">
            <v>#N/A</v>
          </cell>
        </row>
        <row r="149">
          <cell r="A149">
            <v>39366</v>
          </cell>
          <cell r="B149">
            <v>39366</v>
          </cell>
          <cell r="C149" t="str">
            <v>Past</v>
          </cell>
          <cell r="D149">
            <v>58.35</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58.35</v>
          </cell>
          <cell r="Q149">
            <v>5.1157000000000004</v>
          </cell>
          <cell r="R149" t="e">
            <v>#N/A</v>
          </cell>
        </row>
        <row r="150">
          <cell r="A150">
            <v>39367</v>
          </cell>
          <cell r="B150">
            <v>39367</v>
          </cell>
          <cell r="C150" t="str">
            <v>Past</v>
          </cell>
          <cell r="D150">
            <v>58.53</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58.53</v>
          </cell>
          <cell r="Q150">
            <v>2.8653300000000002</v>
          </cell>
          <cell r="R150" t="e">
            <v>#N/A</v>
          </cell>
        </row>
        <row r="151">
          <cell r="A151">
            <v>39370</v>
          </cell>
          <cell r="B151">
            <v>39370</v>
          </cell>
          <cell r="C151" t="str">
            <v>Past</v>
          </cell>
          <cell r="D151">
            <v>57.94</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57.94</v>
          </cell>
          <cell r="Q151">
            <v>5.585</v>
          </cell>
          <cell r="R151" t="e">
            <v>#N/A</v>
          </cell>
        </row>
        <row r="152">
          <cell r="A152">
            <v>39371</v>
          </cell>
          <cell r="B152">
            <v>39371</v>
          </cell>
          <cell r="C152" t="str">
            <v>Past</v>
          </cell>
          <cell r="D152">
            <v>57.15</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57.15</v>
          </cell>
          <cell r="Q152">
            <v>6.5124000000000004</v>
          </cell>
          <cell r="R152" t="e">
            <v>#N/A</v>
          </cell>
        </row>
        <row r="153">
          <cell r="A153">
            <v>39372</v>
          </cell>
          <cell r="B153">
            <v>39372</v>
          </cell>
          <cell r="C153" t="str">
            <v>Past</v>
          </cell>
          <cell r="D153">
            <v>56.95</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56.95</v>
          </cell>
          <cell r="Q153">
            <v>6.0697000000000001</v>
          </cell>
          <cell r="R153" t="e">
            <v>#N/A</v>
          </cell>
        </row>
        <row r="154">
          <cell r="A154">
            <v>39373</v>
          </cell>
          <cell r="B154">
            <v>39373</v>
          </cell>
          <cell r="C154" t="str">
            <v>Past</v>
          </cell>
          <cell r="D154">
            <v>56.65</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56.65</v>
          </cell>
          <cell r="Q154">
            <v>8.3421000000000003</v>
          </cell>
          <cell r="R154" t="e">
            <v>#N/A</v>
          </cell>
        </row>
        <row r="155">
          <cell r="A155">
            <v>39374</v>
          </cell>
          <cell r="B155">
            <v>39374</v>
          </cell>
          <cell r="C155" t="str">
            <v>Past</v>
          </cell>
          <cell r="D155">
            <v>56.06</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56.06</v>
          </cell>
          <cell r="Q155">
            <v>5.6345000000000001</v>
          </cell>
          <cell r="R155" t="e">
            <v>#N/A</v>
          </cell>
        </row>
        <row r="156">
          <cell r="A156">
            <v>39377</v>
          </cell>
          <cell r="B156">
            <v>39377</v>
          </cell>
          <cell r="C156" t="str">
            <v>Past</v>
          </cell>
          <cell r="D156">
            <v>56.08</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56.08</v>
          </cell>
          <cell r="Q156">
            <v>5.1609249999999998</v>
          </cell>
          <cell r="R156" t="e">
            <v>#N/A</v>
          </cell>
        </row>
        <row r="157">
          <cell r="A157">
            <v>39378</v>
          </cell>
          <cell r="B157">
            <v>39378</v>
          </cell>
          <cell r="C157" t="str">
            <v>Past</v>
          </cell>
          <cell r="D157">
            <v>57.13</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57.13</v>
          </cell>
          <cell r="Q157">
            <v>4.4173</v>
          </cell>
          <cell r="R157" t="e">
            <v>#N/A</v>
          </cell>
        </row>
        <row r="158">
          <cell r="A158">
            <v>39379</v>
          </cell>
          <cell r="B158">
            <v>39379</v>
          </cell>
          <cell r="C158" t="str">
            <v>Past</v>
          </cell>
          <cell r="D158">
            <v>56.15</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56.15</v>
          </cell>
          <cell r="Q158">
            <v>5.9507000000000003</v>
          </cell>
          <cell r="R158" t="e">
            <v>#N/A</v>
          </cell>
        </row>
        <row r="159">
          <cell r="A159">
            <v>39380</v>
          </cell>
          <cell r="B159">
            <v>39380</v>
          </cell>
          <cell r="C159" t="str">
            <v>Past</v>
          </cell>
          <cell r="D159">
            <v>52.43</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52.43</v>
          </cell>
          <cell r="Q159">
            <v>22.833000000000002</v>
          </cell>
          <cell r="R159" t="e">
            <v>#N/A</v>
          </cell>
        </row>
        <row r="160">
          <cell r="A160">
            <v>39381</v>
          </cell>
          <cell r="B160">
            <v>39381</v>
          </cell>
          <cell r="C160" t="str">
            <v>Past</v>
          </cell>
          <cell r="D160">
            <v>52.68</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52.68</v>
          </cell>
          <cell r="Q160">
            <v>9.4371000000000009</v>
          </cell>
          <cell r="R160" t="e">
            <v>#N/A</v>
          </cell>
        </row>
        <row r="161">
          <cell r="A161">
            <v>39384</v>
          </cell>
          <cell r="B161">
            <v>39384</v>
          </cell>
          <cell r="C161" t="str">
            <v>Past</v>
          </cell>
          <cell r="D161">
            <v>53.52</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53.52</v>
          </cell>
          <cell r="Q161">
            <v>9.7986000000000004</v>
          </cell>
          <cell r="R161" t="e">
            <v>#N/A</v>
          </cell>
        </row>
        <row r="162">
          <cell r="A162">
            <v>39385</v>
          </cell>
          <cell r="B162">
            <v>39385</v>
          </cell>
          <cell r="C162" t="str">
            <v>Past</v>
          </cell>
          <cell r="D162">
            <v>53.69</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53.69</v>
          </cell>
          <cell r="Q162">
            <v>5.8564000000000007</v>
          </cell>
          <cell r="R162" t="e">
            <v>#N/A</v>
          </cell>
        </row>
        <row r="163">
          <cell r="A163">
            <v>39386</v>
          </cell>
          <cell r="B163">
            <v>39386</v>
          </cell>
          <cell r="C163" t="str">
            <v>Past</v>
          </cell>
          <cell r="D163">
            <v>54.15</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54.15</v>
          </cell>
          <cell r="Q163">
            <v>9.7141999999999999</v>
          </cell>
          <cell r="R163" t="e">
            <v>#N/A</v>
          </cell>
        </row>
        <row r="164">
          <cell r="A164">
            <v>39387</v>
          </cell>
          <cell r="B164">
            <v>39387</v>
          </cell>
          <cell r="C164" t="str">
            <v>Past</v>
          </cell>
          <cell r="D164">
            <v>52.77</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52.77</v>
          </cell>
          <cell r="Q164">
            <v>8.0312999999999999</v>
          </cell>
          <cell r="R164" t="e">
            <v>#N/A</v>
          </cell>
        </row>
        <row r="165">
          <cell r="A165">
            <v>39388</v>
          </cell>
          <cell r="B165">
            <v>39388</v>
          </cell>
          <cell r="C165" t="str">
            <v>Past</v>
          </cell>
          <cell r="D165">
            <v>52.67</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52.67</v>
          </cell>
          <cell r="Q165">
            <v>11.8513</v>
          </cell>
          <cell r="R165" t="e">
            <v>#N/A</v>
          </cell>
        </row>
        <row r="166">
          <cell r="A166">
            <v>39391</v>
          </cell>
          <cell r="B166">
            <v>39391</v>
          </cell>
          <cell r="C166" t="str">
            <v>Past</v>
          </cell>
          <cell r="D166">
            <v>52.16</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52.16</v>
          </cell>
          <cell r="Q166">
            <v>12.31057</v>
          </cell>
          <cell r="R166" t="e">
            <v>#N/A</v>
          </cell>
        </row>
        <row r="167">
          <cell r="A167">
            <v>39392</v>
          </cell>
          <cell r="B167">
            <v>39392</v>
          </cell>
          <cell r="C167" t="str">
            <v>Past</v>
          </cell>
          <cell r="D167">
            <v>52.48</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52.48</v>
          </cell>
          <cell r="Q167">
            <v>7.184342</v>
          </cell>
          <cell r="R167" t="e">
            <v>#N/A</v>
          </cell>
        </row>
        <row r="168">
          <cell r="A168">
            <v>39393</v>
          </cell>
          <cell r="B168">
            <v>39393</v>
          </cell>
          <cell r="C168" t="str">
            <v>Past</v>
          </cell>
          <cell r="D168">
            <v>51.53</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51.53</v>
          </cell>
          <cell r="Q168">
            <v>5.9616600000000002</v>
          </cell>
          <cell r="R168" t="e">
            <v>#N/A</v>
          </cell>
        </row>
        <row r="169">
          <cell r="A169">
            <v>39394</v>
          </cell>
          <cell r="B169">
            <v>39394</v>
          </cell>
          <cell r="C169" t="str">
            <v>Past</v>
          </cell>
          <cell r="D169">
            <v>51.62</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51.62</v>
          </cell>
          <cell r="Q169">
            <v>8.3388410000000004</v>
          </cell>
          <cell r="R169" t="e">
            <v>#N/A</v>
          </cell>
        </row>
        <row r="170">
          <cell r="A170">
            <v>39395</v>
          </cell>
          <cell r="B170">
            <v>39395</v>
          </cell>
          <cell r="C170" t="str">
            <v>Past</v>
          </cell>
          <cell r="D170">
            <v>51.51</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51.51</v>
          </cell>
          <cell r="Q170">
            <v>6.8331679999999997</v>
          </cell>
          <cell r="R170" t="e">
            <v>#N/A</v>
          </cell>
        </row>
        <row r="171">
          <cell r="A171">
            <v>39398</v>
          </cell>
          <cell r="B171">
            <v>39398</v>
          </cell>
          <cell r="C171" t="str">
            <v>Past</v>
          </cell>
          <cell r="D171">
            <v>52.5</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52.5</v>
          </cell>
          <cell r="Q171">
            <v>6.6622859999999999</v>
          </cell>
          <cell r="R171" t="e">
            <v>#N/A</v>
          </cell>
        </row>
        <row r="172">
          <cell r="A172">
            <v>39399</v>
          </cell>
          <cell r="B172">
            <v>39399</v>
          </cell>
          <cell r="C172" t="str">
            <v>Past</v>
          </cell>
          <cell r="D172">
            <v>52.64</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52.64</v>
          </cell>
          <cell r="Q172">
            <v>8.5277119999999993</v>
          </cell>
          <cell r="R172" t="e">
            <v>#N/A</v>
          </cell>
        </row>
        <row r="173">
          <cell r="A173">
            <v>39400</v>
          </cell>
          <cell r="B173">
            <v>39400</v>
          </cell>
          <cell r="C173" t="str">
            <v>Past</v>
          </cell>
          <cell r="D173">
            <v>53.03</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53.03</v>
          </cell>
          <cell r="Q173">
            <v>6.5612000000000004</v>
          </cell>
          <cell r="R173" t="e">
            <v>#N/A</v>
          </cell>
        </row>
        <row r="174">
          <cell r="A174">
            <v>39401</v>
          </cell>
          <cell r="B174">
            <v>39401</v>
          </cell>
          <cell r="C174" t="str">
            <v>Past</v>
          </cell>
          <cell r="D174">
            <v>52.06</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52.06</v>
          </cell>
          <cell r="Q174">
            <v>5.8742300000000007</v>
          </cell>
          <cell r="R174" t="e">
            <v>#N/A</v>
          </cell>
        </row>
        <row r="175">
          <cell r="A175">
            <v>39402</v>
          </cell>
          <cell r="B175">
            <v>39402</v>
          </cell>
          <cell r="C175" t="str">
            <v>Past</v>
          </cell>
          <cell r="D175">
            <v>51.81</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51.81</v>
          </cell>
          <cell r="Q175">
            <v>6.7527569999999999</v>
          </cell>
          <cell r="R175" t="e">
            <v>#N/A</v>
          </cell>
        </row>
        <row r="176">
          <cell r="A176">
            <v>39405</v>
          </cell>
          <cell r="B176">
            <v>39405</v>
          </cell>
          <cell r="C176" t="str">
            <v>Past</v>
          </cell>
          <cell r="D176">
            <v>50.77</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50.77</v>
          </cell>
          <cell r="Q176">
            <v>8.6474580000000003</v>
          </cell>
          <cell r="R176" t="e">
            <v>#N/A</v>
          </cell>
        </row>
        <row r="177">
          <cell r="A177">
            <v>39406</v>
          </cell>
          <cell r="B177">
            <v>39406</v>
          </cell>
          <cell r="C177" t="str">
            <v>Past</v>
          </cell>
          <cell r="D177">
            <v>50.35</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50.35</v>
          </cell>
          <cell r="Q177">
            <v>6.0834000000000001</v>
          </cell>
          <cell r="R177" t="e">
            <v>#N/A</v>
          </cell>
        </row>
        <row r="178">
          <cell r="A178">
            <v>39407</v>
          </cell>
          <cell r="B178">
            <v>39407</v>
          </cell>
          <cell r="C178" t="str">
            <v>Past</v>
          </cell>
          <cell r="D178">
            <v>49.09</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49.09</v>
          </cell>
          <cell r="Q178">
            <v>5.9949200000000005</v>
          </cell>
          <cell r="R178" t="e">
            <v>#N/A</v>
          </cell>
        </row>
        <row r="179">
          <cell r="A179">
            <v>39409</v>
          </cell>
          <cell r="B179">
            <v>39409</v>
          </cell>
          <cell r="C179" t="str">
            <v>Past</v>
          </cell>
          <cell r="D179">
            <v>50.79</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50.79</v>
          </cell>
          <cell r="Q179">
            <v>2.8371400000000002</v>
          </cell>
          <cell r="R179" t="e">
            <v>#N/A</v>
          </cell>
        </row>
        <row r="180">
          <cell r="A180">
            <v>39412</v>
          </cell>
          <cell r="B180">
            <v>39412</v>
          </cell>
          <cell r="C180" t="str">
            <v>Past</v>
          </cell>
          <cell r="D180">
            <v>49.67</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49.67</v>
          </cell>
          <cell r="Q180">
            <v>4.9809609999999997</v>
          </cell>
          <cell r="R180" t="e">
            <v>#N/A</v>
          </cell>
        </row>
        <row r="181">
          <cell r="A181">
            <v>39413</v>
          </cell>
          <cell r="B181">
            <v>39413</v>
          </cell>
          <cell r="C181" t="str">
            <v>Past</v>
          </cell>
          <cell r="D181">
            <v>50.91</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50.91</v>
          </cell>
          <cell r="Q181">
            <v>6.4337459999999993</v>
          </cell>
          <cell r="R181" t="e">
            <v>#N/A</v>
          </cell>
        </row>
        <row r="182">
          <cell r="A182">
            <v>39414</v>
          </cell>
          <cell r="B182">
            <v>39414</v>
          </cell>
          <cell r="C182" t="str">
            <v>Past</v>
          </cell>
          <cell r="D182">
            <v>52.26</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52.26</v>
          </cell>
          <cell r="Q182">
            <v>6.0850039999999996</v>
          </cell>
          <cell r="R182" t="e">
            <v>#N/A</v>
          </cell>
        </row>
        <row r="183">
          <cell r="A183">
            <v>39415</v>
          </cell>
          <cell r="B183">
            <v>39415</v>
          </cell>
          <cell r="C183" t="str">
            <v>Past</v>
          </cell>
          <cell r="D183">
            <v>52.79</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52.79</v>
          </cell>
          <cell r="Q183">
            <v>6.5835209999999993</v>
          </cell>
          <cell r="R183" t="e">
            <v>#N/A</v>
          </cell>
        </row>
        <row r="184">
          <cell r="A184">
            <v>39416</v>
          </cell>
          <cell r="B184">
            <v>39416</v>
          </cell>
          <cell r="C184" t="str">
            <v>Past</v>
          </cell>
          <cell r="D184">
            <v>52.95</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52.95</v>
          </cell>
          <cell r="Q184">
            <v>5.9264969999999995</v>
          </cell>
          <cell r="R184" t="e">
            <v>#N/A</v>
          </cell>
        </row>
        <row r="185">
          <cell r="A185">
            <v>39419</v>
          </cell>
          <cell r="B185">
            <v>39419</v>
          </cell>
          <cell r="C185" t="str">
            <v>Past</v>
          </cell>
          <cell r="D185">
            <v>52.53</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52.53</v>
          </cell>
          <cell r="Q185">
            <v>4.885675</v>
          </cell>
          <cell r="R185" t="e">
            <v>#N/A</v>
          </cell>
        </row>
        <row r="186">
          <cell r="A186">
            <v>39420</v>
          </cell>
          <cell r="B186">
            <v>39420</v>
          </cell>
          <cell r="C186" t="str">
            <v>Past</v>
          </cell>
          <cell r="D186">
            <v>52.11</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52.11</v>
          </cell>
          <cell r="Q186">
            <v>5.4505400000000002</v>
          </cell>
          <cell r="R186" t="e">
            <v>#N/A</v>
          </cell>
        </row>
        <row r="187">
          <cell r="A187">
            <v>39421</v>
          </cell>
          <cell r="B187">
            <v>39421</v>
          </cell>
          <cell r="C187" t="str">
            <v>Past</v>
          </cell>
          <cell r="D187">
            <v>53.49</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53.49</v>
          </cell>
          <cell r="Q187">
            <v>4.8627000000000002</v>
          </cell>
          <cell r="R187" t="e">
            <v>#N/A</v>
          </cell>
        </row>
        <row r="188">
          <cell r="A188">
            <v>39422</v>
          </cell>
          <cell r="B188">
            <v>39422</v>
          </cell>
          <cell r="C188" t="str">
            <v>Past</v>
          </cell>
          <cell r="D188">
            <v>53.93</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53.93</v>
          </cell>
          <cell r="Q188">
            <v>6.5228649999999995</v>
          </cell>
          <cell r="R188" t="e">
            <v>#N/A</v>
          </cell>
        </row>
        <row r="189">
          <cell r="A189">
            <v>39423</v>
          </cell>
          <cell r="B189">
            <v>39423</v>
          </cell>
          <cell r="C189" t="str">
            <v>Past</v>
          </cell>
          <cell r="D189">
            <v>54.3</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54.3</v>
          </cell>
          <cell r="Q189">
            <v>4.4646129999999999</v>
          </cell>
          <cell r="R189" t="e">
            <v>#N/A</v>
          </cell>
        </row>
        <row r="190">
          <cell r="A190">
            <v>39426</v>
          </cell>
          <cell r="B190">
            <v>39426</v>
          </cell>
          <cell r="C190" t="str">
            <v>Past</v>
          </cell>
          <cell r="D190">
            <v>54.78</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54.78</v>
          </cell>
          <cell r="Q190">
            <v>4.6066440000000002</v>
          </cell>
          <cell r="R190" t="e">
            <v>#N/A</v>
          </cell>
        </row>
        <row r="191">
          <cell r="A191">
            <v>39427</v>
          </cell>
          <cell r="B191">
            <v>39427</v>
          </cell>
          <cell r="C191" t="str">
            <v>Past</v>
          </cell>
          <cell r="D191">
            <v>54.06</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54.06</v>
          </cell>
          <cell r="Q191">
            <v>5.7134960000000001</v>
          </cell>
          <cell r="R191" t="e">
            <v>#N/A</v>
          </cell>
        </row>
        <row r="192">
          <cell r="A192">
            <v>39428</v>
          </cell>
          <cell r="B192">
            <v>39428</v>
          </cell>
          <cell r="C192" t="str">
            <v>Past</v>
          </cell>
          <cell r="D192">
            <v>54.08</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54.08</v>
          </cell>
          <cell r="Q192">
            <v>7.2993449999999998</v>
          </cell>
          <cell r="R192" t="e">
            <v>#N/A</v>
          </cell>
        </row>
        <row r="193">
          <cell r="A193">
            <v>39429</v>
          </cell>
          <cell r="B193">
            <v>39429</v>
          </cell>
          <cell r="C193" t="str">
            <v>Past</v>
          </cell>
          <cell r="D193">
            <v>54.18</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54.18</v>
          </cell>
          <cell r="Q193">
            <v>5.670229</v>
          </cell>
          <cell r="R193" t="e">
            <v>#N/A</v>
          </cell>
        </row>
        <row r="194">
          <cell r="A194">
            <v>39430</v>
          </cell>
          <cell r="B194">
            <v>39430</v>
          </cell>
          <cell r="C194" t="str">
            <v>Past</v>
          </cell>
          <cell r="D194">
            <v>53.71</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53.71</v>
          </cell>
          <cell r="Q194">
            <v>5.0293600000000005</v>
          </cell>
          <cell r="R194" t="e">
            <v>#N/A</v>
          </cell>
        </row>
        <row r="195">
          <cell r="A195">
            <v>39433</v>
          </cell>
          <cell r="B195">
            <v>39433</v>
          </cell>
          <cell r="C195" t="str">
            <v>Past</v>
          </cell>
          <cell r="D195">
            <v>53.18</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53.18</v>
          </cell>
          <cell r="Q195">
            <v>4.7989839999999999</v>
          </cell>
          <cell r="R195" t="e">
            <v>#N/A</v>
          </cell>
        </row>
        <row r="196">
          <cell r="A196">
            <v>39434</v>
          </cell>
          <cell r="B196">
            <v>39434</v>
          </cell>
          <cell r="C196" t="str">
            <v>Past</v>
          </cell>
          <cell r="D196">
            <v>53.49</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53.49</v>
          </cell>
          <cell r="Q196">
            <v>9.4068189999999987</v>
          </cell>
          <cell r="R196" t="e">
            <v>#N/A</v>
          </cell>
        </row>
        <row r="197">
          <cell r="A197">
            <v>39435</v>
          </cell>
          <cell r="B197">
            <v>39435</v>
          </cell>
          <cell r="C197" t="str">
            <v>Past</v>
          </cell>
          <cell r="D197">
            <v>53.18</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53.18</v>
          </cell>
          <cell r="Q197">
            <v>6.3503749999999997</v>
          </cell>
          <cell r="R197" t="e">
            <v>#N/A</v>
          </cell>
        </row>
        <row r="198">
          <cell r="A198">
            <v>39436</v>
          </cell>
          <cell r="B198">
            <v>39436</v>
          </cell>
          <cell r="C198" t="str">
            <v>Past</v>
          </cell>
          <cell r="D198">
            <v>53.23</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53.23</v>
          </cell>
          <cell r="Q198">
            <v>5.5566759999999995</v>
          </cell>
          <cell r="R198" t="e">
            <v>#N/A</v>
          </cell>
        </row>
        <row r="199">
          <cell r="A199">
            <v>39437</v>
          </cell>
          <cell r="B199">
            <v>39437</v>
          </cell>
          <cell r="C199" t="str">
            <v>Past</v>
          </cell>
          <cell r="D199">
            <v>54.23</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54.23</v>
          </cell>
          <cell r="Q199">
            <v>7.5032889999999997</v>
          </cell>
          <cell r="R199" t="e">
            <v>#N/A</v>
          </cell>
        </row>
        <row r="200">
          <cell r="A200">
            <v>39440</v>
          </cell>
          <cell r="B200">
            <v>39440</v>
          </cell>
          <cell r="C200" t="str">
            <v>Past</v>
          </cell>
          <cell r="D200">
            <v>54.49</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54.49</v>
          </cell>
          <cell r="Q200">
            <v>1.468871</v>
          </cell>
          <cell r="R200" t="e">
            <v>#N/A</v>
          </cell>
        </row>
        <row r="201">
          <cell r="A201">
            <v>39442</v>
          </cell>
          <cell r="B201">
            <v>39442</v>
          </cell>
          <cell r="C201" t="str">
            <v>Past</v>
          </cell>
          <cell r="D201">
            <v>54.31</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54.31</v>
          </cell>
          <cell r="Q201">
            <v>2.5081150000000001</v>
          </cell>
          <cell r="R201" t="e">
            <v>#N/A</v>
          </cell>
        </row>
        <row r="202">
          <cell r="A202">
            <v>39443</v>
          </cell>
          <cell r="B202">
            <v>39443</v>
          </cell>
          <cell r="C202" t="str">
            <v>Past</v>
          </cell>
          <cell r="D202">
            <v>53.88</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53.88</v>
          </cell>
          <cell r="Q202">
            <v>3.3693939999999998</v>
          </cell>
          <cell r="R202" t="e">
            <v>#N/A</v>
          </cell>
        </row>
        <row r="203">
          <cell r="A203">
            <v>39444</v>
          </cell>
          <cell r="B203">
            <v>39444</v>
          </cell>
          <cell r="C203" t="str">
            <v>Past</v>
          </cell>
          <cell r="D203">
            <v>54.05</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54.05</v>
          </cell>
          <cell r="Q203">
            <v>3.0262359999999999</v>
          </cell>
          <cell r="R203" t="e">
            <v>#N/A</v>
          </cell>
        </row>
        <row r="204">
          <cell r="A204">
            <v>39447</v>
          </cell>
          <cell r="B204">
            <v>39447</v>
          </cell>
          <cell r="C204" t="str">
            <v>Past</v>
          </cell>
          <cell r="D204">
            <v>53.39</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53.39</v>
          </cell>
          <cell r="Q204">
            <v>3.9101249999999999</v>
          </cell>
          <cell r="R204" t="e">
            <v>#N/A</v>
          </cell>
        </row>
        <row r="205">
          <cell r="A205">
            <v>39449</v>
          </cell>
          <cell r="B205">
            <v>39449</v>
          </cell>
          <cell r="C205" t="str">
            <v>Past</v>
          </cell>
          <cell r="D205">
            <v>52.55</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52.55</v>
          </cell>
          <cell r="Q205">
            <v>5.5567800000000007</v>
          </cell>
          <cell r="R205" t="e">
            <v>#N/A</v>
          </cell>
        </row>
        <row r="206">
          <cell r="A206">
            <v>39450</v>
          </cell>
          <cell r="B206">
            <v>39450</v>
          </cell>
          <cell r="C206" t="str">
            <v>Past</v>
          </cell>
          <cell r="D206">
            <v>52.99</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52.99</v>
          </cell>
          <cell r="Q206">
            <v>4.5123329999999999</v>
          </cell>
          <cell r="R206" t="e">
            <v>#N/A</v>
          </cell>
        </row>
        <row r="207">
          <cell r="A207">
            <v>39451</v>
          </cell>
          <cell r="B207">
            <v>39451</v>
          </cell>
          <cell r="C207" t="str">
            <v>Past</v>
          </cell>
          <cell r="D207">
            <v>51.8</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51.8</v>
          </cell>
          <cell r="Q207">
            <v>6.1864909999999993</v>
          </cell>
          <cell r="R207" t="e">
            <v>#N/A</v>
          </cell>
        </row>
        <row r="208">
          <cell r="A208">
            <v>39454</v>
          </cell>
          <cell r="B208">
            <v>39454</v>
          </cell>
          <cell r="C208" t="str">
            <v>Past</v>
          </cell>
          <cell r="D208">
            <v>54.55</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54.55</v>
          </cell>
          <cell r="Q208">
            <v>10.376010000000001</v>
          </cell>
          <cell r="R208" t="e">
            <v>#N/A</v>
          </cell>
        </row>
        <row r="209">
          <cell r="A209">
            <v>39455</v>
          </cell>
          <cell r="B209">
            <v>39455</v>
          </cell>
          <cell r="C209" t="str">
            <v>Past</v>
          </cell>
          <cell r="D209">
            <v>56.06</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56.06</v>
          </cell>
          <cell r="Q209">
            <v>12.197900000000001</v>
          </cell>
          <cell r="R209" t="e">
            <v>#N/A</v>
          </cell>
        </row>
        <row r="210">
          <cell r="A210">
            <v>39456</v>
          </cell>
          <cell r="B210">
            <v>39456</v>
          </cell>
          <cell r="C210" t="str">
            <v>Past</v>
          </cell>
          <cell r="D210">
            <v>56.86</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56.86</v>
          </cell>
          <cell r="Q210">
            <v>9.5773159999999997</v>
          </cell>
          <cell r="R210" t="e">
            <v>#N/A</v>
          </cell>
        </row>
        <row r="211">
          <cell r="A211">
            <v>39457</v>
          </cell>
          <cell r="B211">
            <v>39457</v>
          </cell>
          <cell r="C211" t="str">
            <v>Past</v>
          </cell>
          <cell r="D211">
            <v>56.85</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56.85</v>
          </cell>
          <cell r="Q211">
            <v>6.2881279999999995</v>
          </cell>
          <cell r="R211" t="e">
            <v>#N/A</v>
          </cell>
        </row>
        <row r="212">
          <cell r="A212">
            <v>39458</v>
          </cell>
          <cell r="B212">
            <v>39458</v>
          </cell>
          <cell r="C212" t="str">
            <v>Past</v>
          </cell>
          <cell r="D212">
            <v>56.81</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56.81</v>
          </cell>
          <cell r="Q212">
            <v>5.3605770000000001</v>
          </cell>
          <cell r="R212" t="e">
            <v>#N/A</v>
          </cell>
        </row>
        <row r="213">
          <cell r="A213">
            <v>39461</v>
          </cell>
          <cell r="B213">
            <v>39461</v>
          </cell>
          <cell r="C213" t="str">
            <v>Past</v>
          </cell>
          <cell r="D213">
            <v>57.18</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57.18</v>
          </cell>
          <cell r="Q213">
            <v>5.5638000000000005</v>
          </cell>
          <cell r="R213" t="e">
            <v>#N/A</v>
          </cell>
        </row>
        <row r="214">
          <cell r="A214">
            <v>39462</v>
          </cell>
          <cell r="B214">
            <v>39462</v>
          </cell>
          <cell r="C214" t="str">
            <v>Past</v>
          </cell>
          <cell r="D214">
            <v>56.59</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56.59</v>
          </cell>
          <cell r="Q214">
            <v>5.8839459999999999</v>
          </cell>
          <cell r="R214" t="e">
            <v>#N/A</v>
          </cell>
        </row>
        <row r="215">
          <cell r="A215">
            <v>39463</v>
          </cell>
          <cell r="B215">
            <v>39463</v>
          </cell>
          <cell r="C215" t="str">
            <v>Past</v>
          </cell>
          <cell r="D215">
            <v>56.07</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56.07</v>
          </cell>
          <cell r="Q215">
            <v>7.9743740000000001</v>
          </cell>
          <cell r="R215" t="e">
            <v>#N/A</v>
          </cell>
        </row>
        <row r="216">
          <cell r="A216">
            <v>39464</v>
          </cell>
          <cell r="B216">
            <v>39464</v>
          </cell>
          <cell r="C216" t="str">
            <v>Past</v>
          </cell>
          <cell r="D216">
            <v>54.84</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54.84</v>
          </cell>
          <cell r="Q216">
            <v>9.6793959999999988</v>
          </cell>
          <cell r="R216" t="e">
            <v>#N/A</v>
          </cell>
        </row>
        <row r="217">
          <cell r="A217">
            <v>39465</v>
          </cell>
          <cell r="B217">
            <v>39465</v>
          </cell>
          <cell r="C217" t="str">
            <v>Past</v>
          </cell>
          <cell r="D217">
            <v>53.71</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53.71</v>
          </cell>
          <cell r="Q217">
            <v>10.013580000000001</v>
          </cell>
          <cell r="R217" t="e">
            <v>#N/A</v>
          </cell>
        </row>
        <row r="218">
          <cell r="A218">
            <v>39469</v>
          </cell>
          <cell r="B218">
            <v>39469</v>
          </cell>
          <cell r="C218" t="str">
            <v>Past</v>
          </cell>
          <cell r="D218">
            <v>52.17</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52.17</v>
          </cell>
          <cell r="Q218">
            <v>10.932950000000002</v>
          </cell>
          <cell r="R218" t="e">
            <v>#N/A</v>
          </cell>
        </row>
        <row r="219">
          <cell r="A219">
            <v>39470</v>
          </cell>
          <cell r="B219">
            <v>39470</v>
          </cell>
          <cell r="C219" t="str">
            <v>Past</v>
          </cell>
          <cell r="D219">
            <v>52.18</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52.18</v>
          </cell>
          <cell r="Q219">
            <v>8.778276</v>
          </cell>
          <cell r="R219" t="e">
            <v>#N/A</v>
          </cell>
        </row>
        <row r="220">
          <cell r="A220">
            <v>39471</v>
          </cell>
          <cell r="B220">
            <v>39471</v>
          </cell>
          <cell r="C220" t="str">
            <v>Past</v>
          </cell>
          <cell r="D220">
            <v>51.32</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51.32</v>
          </cell>
          <cell r="Q220">
            <v>12.998130000000002</v>
          </cell>
          <cell r="R220" t="e">
            <v>#N/A</v>
          </cell>
        </row>
        <row r="221">
          <cell r="A221">
            <v>39472</v>
          </cell>
          <cell r="B221">
            <v>39472</v>
          </cell>
          <cell r="C221" t="str">
            <v>Past</v>
          </cell>
          <cell r="D221">
            <v>50.74</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50.74</v>
          </cell>
          <cell r="Q221">
            <v>9.5241689999999988</v>
          </cell>
          <cell r="R221" t="e">
            <v>#N/A</v>
          </cell>
        </row>
        <row r="222">
          <cell r="A222">
            <v>39475</v>
          </cell>
          <cell r="B222">
            <v>39475</v>
          </cell>
          <cell r="C222" t="str">
            <v>Past</v>
          </cell>
          <cell r="D222">
            <v>51.4</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51.4</v>
          </cell>
          <cell r="Q222">
            <v>7.0740200000000009</v>
          </cell>
          <cell r="R222" t="e">
            <v>#N/A</v>
          </cell>
        </row>
        <row r="223">
          <cell r="A223">
            <v>39476</v>
          </cell>
          <cell r="B223">
            <v>39476</v>
          </cell>
          <cell r="C223" t="str">
            <v>Past</v>
          </cell>
          <cell r="D223">
            <v>52.31</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52.31</v>
          </cell>
          <cell r="Q223">
            <v>9.2642879999999987</v>
          </cell>
          <cell r="R223" t="e">
            <v>#N/A</v>
          </cell>
        </row>
        <row r="224">
          <cell r="A224">
            <v>39477</v>
          </cell>
          <cell r="B224">
            <v>39477</v>
          </cell>
          <cell r="C224" t="str">
            <v>Past</v>
          </cell>
          <cell r="D224">
            <v>51.35</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51.35</v>
          </cell>
          <cell r="Q224">
            <v>7.3581029999999998</v>
          </cell>
          <cell r="R224" t="e">
            <v>#N/A</v>
          </cell>
        </row>
        <row r="225">
          <cell r="A225">
            <v>39478</v>
          </cell>
          <cell r="B225">
            <v>39478</v>
          </cell>
          <cell r="C225" t="str">
            <v>Past</v>
          </cell>
          <cell r="D225">
            <v>51.39</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51.39</v>
          </cell>
          <cell r="Q225">
            <v>9.9696859999999994</v>
          </cell>
          <cell r="R225" t="e">
            <v>#N/A</v>
          </cell>
        </row>
        <row r="226">
          <cell r="A226">
            <v>39479</v>
          </cell>
          <cell r="B226">
            <v>39479</v>
          </cell>
          <cell r="C226" t="str">
            <v>Past</v>
          </cell>
          <cell r="D226">
            <v>51.66</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51.66</v>
          </cell>
          <cell r="Q226">
            <v>7.3747679999999995</v>
          </cell>
          <cell r="R226" t="e">
            <v>#N/A</v>
          </cell>
        </row>
        <row r="227">
          <cell r="A227">
            <v>39482</v>
          </cell>
          <cell r="B227">
            <v>39482</v>
          </cell>
          <cell r="C227" t="str">
            <v>Past</v>
          </cell>
          <cell r="D227">
            <v>52.08</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52.08</v>
          </cell>
          <cell r="Q227">
            <v>4.8363800000000001</v>
          </cell>
          <cell r="R227" t="e">
            <v>#N/A</v>
          </cell>
        </row>
        <row r="228">
          <cell r="A228">
            <v>39483</v>
          </cell>
          <cell r="B228">
            <v>39483</v>
          </cell>
          <cell r="C228" t="str">
            <v>Past</v>
          </cell>
          <cell r="D228">
            <v>51.24</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51.24</v>
          </cell>
          <cell r="Q228">
            <v>5.4406659999999993</v>
          </cell>
          <cell r="R228" t="e">
            <v>#N/A</v>
          </cell>
        </row>
        <row r="229">
          <cell r="A229">
            <v>39484</v>
          </cell>
          <cell r="B229">
            <v>39484</v>
          </cell>
          <cell r="C229" t="str">
            <v>Past</v>
          </cell>
          <cell r="D229">
            <v>51.4</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51.4</v>
          </cell>
          <cell r="Q229">
            <v>4.1012500000000003</v>
          </cell>
          <cell r="R229" t="e">
            <v>#N/A</v>
          </cell>
        </row>
        <row r="230">
          <cell r="A230">
            <v>39485</v>
          </cell>
          <cell r="B230">
            <v>39485</v>
          </cell>
          <cell r="C230" t="str">
            <v>Past</v>
          </cell>
          <cell r="D230">
            <v>51.22</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51.22</v>
          </cell>
          <cell r="Q230">
            <v>7.1532549999999997</v>
          </cell>
          <cell r="R230" t="e">
            <v>#N/A</v>
          </cell>
        </row>
        <row r="231">
          <cell r="A231">
            <v>39486</v>
          </cell>
          <cell r="B231">
            <v>39486</v>
          </cell>
          <cell r="C231" t="str">
            <v>Past</v>
          </cell>
          <cell r="D231">
            <v>50.23</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50.23</v>
          </cell>
          <cell r="Q231">
            <v>4.5241039999999995</v>
          </cell>
          <cell r="R231" t="e">
            <v>#N/A</v>
          </cell>
        </row>
        <row r="232">
          <cell r="A232">
            <v>39489</v>
          </cell>
          <cell r="B232">
            <v>39489</v>
          </cell>
          <cell r="C232" t="str">
            <v>Past</v>
          </cell>
          <cell r="D232">
            <v>50.23</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50.23</v>
          </cell>
          <cell r="Q232">
            <v>4.2224079999999997</v>
          </cell>
          <cell r="R232" t="e">
            <v>#N/A</v>
          </cell>
        </row>
        <row r="233">
          <cell r="A233">
            <v>39490</v>
          </cell>
          <cell r="B233">
            <v>39490</v>
          </cell>
          <cell r="C233" t="str">
            <v>Past</v>
          </cell>
          <cell r="D233">
            <v>51.02</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51.02</v>
          </cell>
          <cell r="Q233">
            <v>5.2176679999999998</v>
          </cell>
          <cell r="R233" t="e">
            <v>#N/A</v>
          </cell>
        </row>
        <row r="234">
          <cell r="A234">
            <v>39491</v>
          </cell>
          <cell r="B234">
            <v>39491</v>
          </cell>
          <cell r="C234" t="str">
            <v>Past</v>
          </cell>
          <cell r="D234">
            <v>50.34</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50.34</v>
          </cell>
          <cell r="Q234">
            <v>6.5031339999999993</v>
          </cell>
          <cell r="R234" t="e">
            <v>#N/A</v>
          </cell>
        </row>
        <row r="235">
          <cell r="A235">
            <v>39492</v>
          </cell>
          <cell r="B235">
            <v>39492</v>
          </cell>
          <cell r="C235" t="str">
            <v>Past</v>
          </cell>
          <cell r="D235">
            <v>49.98</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49.98</v>
          </cell>
          <cell r="Q235">
            <v>5.2135579999999999</v>
          </cell>
          <cell r="R235" t="e">
            <v>#N/A</v>
          </cell>
        </row>
        <row r="236">
          <cell r="A236">
            <v>39493</v>
          </cell>
          <cell r="B236">
            <v>39493</v>
          </cell>
          <cell r="C236" t="str">
            <v>Past</v>
          </cell>
          <cell r="D236">
            <v>50.82</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50.82</v>
          </cell>
          <cell r="Q236">
            <v>6.4792709999999998</v>
          </cell>
          <cell r="R236" t="e">
            <v>#N/A</v>
          </cell>
        </row>
        <row r="237">
          <cell r="A237">
            <v>39497</v>
          </cell>
          <cell r="B237">
            <v>39497</v>
          </cell>
          <cell r="C237" t="str">
            <v>Past</v>
          </cell>
          <cell r="D237">
            <v>50.3</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50.3</v>
          </cell>
          <cell r="Q237">
            <v>5.9148000000000005</v>
          </cell>
          <cell r="R237" t="e">
            <v>#N/A</v>
          </cell>
        </row>
        <row r="238">
          <cell r="A238">
            <v>39498</v>
          </cell>
          <cell r="B238">
            <v>39498</v>
          </cell>
          <cell r="C238" t="str">
            <v>Past</v>
          </cell>
          <cell r="D238">
            <v>50.37</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50.37</v>
          </cell>
          <cell r="Q238">
            <v>4.2902149999999999</v>
          </cell>
          <cell r="R238" t="e">
            <v>#N/A</v>
          </cell>
        </row>
        <row r="239">
          <cell r="A239">
            <v>39499</v>
          </cell>
          <cell r="B239">
            <v>39499</v>
          </cell>
          <cell r="C239" t="str">
            <v>Past</v>
          </cell>
          <cell r="D239">
            <v>49.82</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49.82</v>
          </cell>
          <cell r="Q239">
            <v>5.4567869999999994</v>
          </cell>
          <cell r="R239" t="e">
            <v>#N/A</v>
          </cell>
        </row>
        <row r="240">
          <cell r="A240">
            <v>39500</v>
          </cell>
          <cell r="B240">
            <v>39500</v>
          </cell>
          <cell r="C240" t="str">
            <v>Past</v>
          </cell>
          <cell r="D240">
            <v>50.51</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50.51</v>
          </cell>
          <cell r="Q240">
            <v>9.058940999999999</v>
          </cell>
          <cell r="R240" t="e">
            <v>#N/A</v>
          </cell>
        </row>
        <row r="241">
          <cell r="A241">
            <v>39503</v>
          </cell>
          <cell r="B241">
            <v>39503</v>
          </cell>
          <cell r="C241" t="str">
            <v>Past</v>
          </cell>
          <cell r="D241">
            <v>51.3</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51.3</v>
          </cell>
          <cell r="Q241">
            <v>5.266845</v>
          </cell>
          <cell r="R241" t="e">
            <v>#N/A</v>
          </cell>
        </row>
        <row r="242">
          <cell r="A242">
            <v>39504</v>
          </cell>
          <cell r="B242">
            <v>39504</v>
          </cell>
          <cell r="C242" t="str">
            <v>Past</v>
          </cell>
          <cell r="D242">
            <v>52.45</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52.45</v>
          </cell>
          <cell r="Q242">
            <v>8.0599000000000007</v>
          </cell>
          <cell r="R242" t="e">
            <v>#N/A</v>
          </cell>
        </row>
        <row r="243">
          <cell r="A243">
            <v>39505</v>
          </cell>
          <cell r="B243">
            <v>39505</v>
          </cell>
          <cell r="C243" t="str">
            <v>Past</v>
          </cell>
          <cell r="D243">
            <v>51.83</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51.83</v>
          </cell>
          <cell r="Q243">
            <v>3.6485909999999997</v>
          </cell>
          <cell r="R243" t="e">
            <v>#N/A</v>
          </cell>
        </row>
        <row r="244">
          <cell r="A244">
            <v>39506</v>
          </cell>
          <cell r="B244">
            <v>39506</v>
          </cell>
          <cell r="C244" t="str">
            <v>Past</v>
          </cell>
          <cell r="D244">
            <v>50.93</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50.93</v>
          </cell>
          <cell r="Q244">
            <v>4.396744</v>
          </cell>
          <cell r="R244" t="e">
            <v>#N/A</v>
          </cell>
        </row>
        <row r="245">
          <cell r="A245">
            <v>39507</v>
          </cell>
          <cell r="B245">
            <v>39507</v>
          </cell>
          <cell r="C245" t="str">
            <v>Past</v>
          </cell>
          <cell r="D245">
            <v>50.02</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50.02</v>
          </cell>
          <cell r="Q245">
            <v>6.9025270000000001</v>
          </cell>
          <cell r="R245" t="e">
            <v>#N/A</v>
          </cell>
        </row>
        <row r="246">
          <cell r="A246">
            <v>39510</v>
          </cell>
          <cell r="B246">
            <v>39510</v>
          </cell>
          <cell r="C246" t="str">
            <v>Past</v>
          </cell>
          <cell r="D246">
            <v>50.19</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50.19</v>
          </cell>
          <cell r="Q246">
            <v>4.0996920000000001</v>
          </cell>
          <cell r="R246" t="e">
            <v>#N/A</v>
          </cell>
        </row>
        <row r="247">
          <cell r="A247">
            <v>39511</v>
          </cell>
          <cell r="B247">
            <v>39511</v>
          </cell>
          <cell r="C247" t="str">
            <v>Past</v>
          </cell>
          <cell r="D247">
            <v>50.01</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50.01</v>
          </cell>
          <cell r="Q247">
            <v>5.8622290000000001</v>
          </cell>
          <cell r="R247" t="e">
            <v>#N/A</v>
          </cell>
        </row>
        <row r="248">
          <cell r="A248">
            <v>39512</v>
          </cell>
          <cell r="B248">
            <v>39512</v>
          </cell>
          <cell r="C248" t="str">
            <v>Past</v>
          </cell>
          <cell r="D248">
            <v>50.42</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50.42</v>
          </cell>
          <cell r="Q248">
            <v>4.5204360000000001</v>
          </cell>
          <cell r="R248" t="e">
            <v>#N/A</v>
          </cell>
        </row>
        <row r="249">
          <cell r="A249">
            <v>39513</v>
          </cell>
          <cell r="B249">
            <v>39513</v>
          </cell>
          <cell r="C249" t="str">
            <v>Past</v>
          </cell>
          <cell r="D249">
            <v>49.68</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49.68</v>
          </cell>
          <cell r="Q249">
            <v>4.4463159999999995</v>
          </cell>
          <cell r="R249" t="e">
            <v>#N/A</v>
          </cell>
        </row>
        <row r="250">
          <cell r="A250">
            <v>39514</v>
          </cell>
          <cell r="B250">
            <v>39514</v>
          </cell>
          <cell r="C250" t="str">
            <v>Past</v>
          </cell>
          <cell r="D250">
            <v>49.7</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49.7</v>
          </cell>
          <cell r="Q250">
            <v>7.2755619999999999</v>
          </cell>
          <cell r="R250" t="e">
            <v>#N/A</v>
          </cell>
        </row>
        <row r="251">
          <cell r="A251">
            <v>39517</v>
          </cell>
          <cell r="B251">
            <v>39517</v>
          </cell>
          <cell r="C251" t="str">
            <v>Past</v>
          </cell>
          <cell r="D251">
            <v>49.42</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49.42</v>
          </cell>
          <cell r="Q251">
            <v>7.0326489999999993</v>
          </cell>
          <cell r="R251" t="e">
            <v>#N/A</v>
          </cell>
        </row>
        <row r="252">
          <cell r="A252">
            <v>39518</v>
          </cell>
          <cell r="B252">
            <v>39518</v>
          </cell>
          <cell r="C252" t="str">
            <v>Past</v>
          </cell>
          <cell r="D252">
            <v>50.59</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50.59</v>
          </cell>
          <cell r="Q252">
            <v>7.4423949999999994</v>
          </cell>
          <cell r="R252" t="e">
            <v>#N/A</v>
          </cell>
        </row>
        <row r="253">
          <cell r="A253">
            <v>39519</v>
          </cell>
          <cell r="B253">
            <v>39519</v>
          </cell>
          <cell r="C253" t="str">
            <v>Past</v>
          </cell>
          <cell r="D253">
            <v>49.78</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49.78</v>
          </cell>
          <cell r="Q253">
            <v>5.8788689999999999</v>
          </cell>
          <cell r="R253" t="e">
            <v>#N/A</v>
          </cell>
        </row>
        <row r="254">
          <cell r="A254">
            <v>39520</v>
          </cell>
          <cell r="B254">
            <v>39520</v>
          </cell>
          <cell r="C254" t="str">
            <v>Past</v>
          </cell>
          <cell r="D254">
            <v>49.16</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49.16</v>
          </cell>
          <cell r="Q254">
            <v>6.654693</v>
          </cell>
          <cell r="R254" t="e">
            <v>#N/A</v>
          </cell>
        </row>
        <row r="255">
          <cell r="A255">
            <v>39521</v>
          </cell>
          <cell r="B255">
            <v>39521</v>
          </cell>
          <cell r="C255" t="str">
            <v>Past</v>
          </cell>
          <cell r="D255">
            <v>47.81</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47.81</v>
          </cell>
          <cell r="Q255">
            <v>8.4282450000000004</v>
          </cell>
          <cell r="R255" t="e">
            <v>#N/A</v>
          </cell>
        </row>
        <row r="256">
          <cell r="A256">
            <v>39524</v>
          </cell>
          <cell r="B256">
            <v>39524</v>
          </cell>
          <cell r="C256" t="str">
            <v>Past</v>
          </cell>
          <cell r="D256">
            <v>48.87</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48.87</v>
          </cell>
          <cell r="Q256">
            <v>6.8472469999999994</v>
          </cell>
          <cell r="R256" t="e">
            <v>#N/A</v>
          </cell>
        </row>
        <row r="257">
          <cell r="A257">
            <v>39525</v>
          </cell>
          <cell r="B257">
            <v>39525</v>
          </cell>
          <cell r="C257" t="str">
            <v>Past</v>
          </cell>
          <cell r="D257">
            <v>49.92</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49.92</v>
          </cell>
          <cell r="Q257">
            <v>5.3921999999999999</v>
          </cell>
          <cell r="R257" t="e">
            <v>#N/A</v>
          </cell>
        </row>
        <row r="258">
          <cell r="A258">
            <v>39526</v>
          </cell>
          <cell r="B258">
            <v>39526</v>
          </cell>
          <cell r="C258" t="str">
            <v>Past</v>
          </cell>
          <cell r="D258">
            <v>49.97</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49.97</v>
          </cell>
          <cell r="Q258">
            <v>5.7588840000000001</v>
          </cell>
          <cell r="R258" t="e">
            <v>#N/A</v>
          </cell>
        </row>
        <row r="259">
          <cell r="A259">
            <v>39527</v>
          </cell>
          <cell r="B259">
            <v>39527</v>
          </cell>
          <cell r="C259" t="str">
            <v>Past</v>
          </cell>
          <cell r="D259">
            <v>49.84</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49.84</v>
          </cell>
          <cell r="Q259">
            <v>9.1662759999999999</v>
          </cell>
          <cell r="R259" t="e">
            <v>#N/A</v>
          </cell>
        </row>
        <row r="260">
          <cell r="A260">
            <v>39531</v>
          </cell>
          <cell r="B260">
            <v>39531</v>
          </cell>
          <cell r="C260" t="str">
            <v>Past</v>
          </cell>
          <cell r="D260">
            <v>50.1</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50.1</v>
          </cell>
          <cell r="Q260">
            <v>5.7913179999999995</v>
          </cell>
          <cell r="R260" t="e">
            <v>#N/A</v>
          </cell>
        </row>
        <row r="261">
          <cell r="A261">
            <v>39532</v>
          </cell>
          <cell r="B261">
            <v>39532</v>
          </cell>
          <cell r="C261" t="str">
            <v>Past</v>
          </cell>
          <cell r="D261">
            <v>50.17</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50.17</v>
          </cell>
          <cell r="Q261">
            <v>4.5670100000000007</v>
          </cell>
          <cell r="R261" t="e">
            <v>#N/A</v>
          </cell>
        </row>
        <row r="262">
          <cell r="A262">
            <v>39533</v>
          </cell>
          <cell r="B262">
            <v>39533</v>
          </cell>
          <cell r="C262" t="str">
            <v>Past</v>
          </cell>
          <cell r="D262">
            <v>50.19</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50.19</v>
          </cell>
          <cell r="Q262">
            <v>6.3212000000000002</v>
          </cell>
          <cell r="R262" t="e">
            <v>#N/A</v>
          </cell>
        </row>
        <row r="263">
          <cell r="A263">
            <v>39534</v>
          </cell>
          <cell r="B263">
            <v>39534</v>
          </cell>
          <cell r="C263" t="str">
            <v>Past</v>
          </cell>
          <cell r="D263">
            <v>50.43</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50.43</v>
          </cell>
          <cell r="Q263">
            <v>4.9405919999999997</v>
          </cell>
          <cell r="R263" t="e">
            <v>#N/A</v>
          </cell>
        </row>
        <row r="264">
          <cell r="A264">
            <v>39535</v>
          </cell>
          <cell r="B264">
            <v>39535</v>
          </cell>
          <cell r="C264" t="str">
            <v>Past</v>
          </cell>
          <cell r="D264">
            <v>50.29</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50.29</v>
          </cell>
          <cell r="Q264">
            <v>5.3374350000000002</v>
          </cell>
          <cell r="R264" t="e">
            <v>#N/A</v>
          </cell>
        </row>
        <row r="265">
          <cell r="A265">
            <v>39538</v>
          </cell>
          <cell r="B265">
            <v>39538</v>
          </cell>
          <cell r="C265" t="str">
            <v>Past</v>
          </cell>
          <cell r="D265">
            <v>51.59</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51.59</v>
          </cell>
          <cell r="Q265">
            <v>8.4783720000000002</v>
          </cell>
          <cell r="R265" t="e">
            <v>#N/A</v>
          </cell>
        </row>
        <row r="266">
          <cell r="A266">
            <v>39539</v>
          </cell>
          <cell r="B266">
            <v>39539</v>
          </cell>
          <cell r="C266" t="str">
            <v>Past</v>
          </cell>
          <cell r="D266">
            <v>52.03</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52.03</v>
          </cell>
          <cell r="Q266">
            <v>7.230181</v>
          </cell>
          <cell r="R266" t="e">
            <v>#N/A</v>
          </cell>
        </row>
        <row r="267">
          <cell r="A267">
            <v>39540</v>
          </cell>
          <cell r="B267">
            <v>39540</v>
          </cell>
          <cell r="C267" t="str">
            <v>Past</v>
          </cell>
          <cell r="D267">
            <v>51.76</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51.76</v>
          </cell>
          <cell r="Q267">
            <v>5.5314839999999998</v>
          </cell>
          <cell r="R267" t="e">
            <v>#N/A</v>
          </cell>
        </row>
        <row r="268">
          <cell r="A268">
            <v>39541</v>
          </cell>
          <cell r="B268">
            <v>39541</v>
          </cell>
          <cell r="C268" t="str">
            <v>Past</v>
          </cell>
          <cell r="D268">
            <v>51.8</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51.8</v>
          </cell>
          <cell r="Q268">
            <v>5.0750000000000002</v>
          </cell>
          <cell r="R268" t="e">
            <v>#N/A</v>
          </cell>
        </row>
        <row r="269">
          <cell r="A269">
            <v>39542</v>
          </cell>
          <cell r="B269">
            <v>39542</v>
          </cell>
          <cell r="C269" t="str">
            <v>Past</v>
          </cell>
          <cell r="D269">
            <v>52.28</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52.28</v>
          </cell>
          <cell r="Q269">
            <v>5.583723</v>
          </cell>
          <cell r="R269" t="e">
            <v>#N/A</v>
          </cell>
        </row>
        <row r="270">
          <cell r="A270">
            <v>39545</v>
          </cell>
          <cell r="B270">
            <v>39545</v>
          </cell>
          <cell r="C270" t="str">
            <v>Past</v>
          </cell>
          <cell r="D270">
            <v>53.06</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53.06</v>
          </cell>
          <cell r="Q270">
            <v>6.1278569999999997</v>
          </cell>
          <cell r="R270" t="e">
            <v>#N/A</v>
          </cell>
        </row>
        <row r="271">
          <cell r="A271">
            <v>39546</v>
          </cell>
          <cell r="B271">
            <v>39546</v>
          </cell>
          <cell r="C271" t="str">
            <v>Past</v>
          </cell>
          <cell r="D271">
            <v>52.3</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52.3</v>
          </cell>
          <cell r="Q271">
            <v>4.8953959999999999</v>
          </cell>
          <cell r="R271" t="e">
            <v>#N/A</v>
          </cell>
        </row>
        <row r="272">
          <cell r="A272">
            <v>39547</v>
          </cell>
          <cell r="B272">
            <v>39547</v>
          </cell>
          <cell r="C272" t="str">
            <v>Past</v>
          </cell>
          <cell r="D272">
            <v>51.77</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51.77</v>
          </cell>
          <cell r="Q272">
            <v>5.0903510000000001</v>
          </cell>
          <cell r="R272" t="e">
            <v>#N/A</v>
          </cell>
        </row>
        <row r="273">
          <cell r="A273">
            <v>39548</v>
          </cell>
          <cell r="B273">
            <v>39548</v>
          </cell>
          <cell r="C273" t="str">
            <v>Past</v>
          </cell>
          <cell r="D273">
            <v>52.39</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52.39</v>
          </cell>
          <cell r="Q273">
            <v>5.4585059999999999</v>
          </cell>
          <cell r="R273" t="e">
            <v>#N/A</v>
          </cell>
        </row>
        <row r="274">
          <cell r="A274">
            <v>39549</v>
          </cell>
          <cell r="B274">
            <v>39549</v>
          </cell>
          <cell r="C274" t="str">
            <v>Past</v>
          </cell>
          <cell r="D274">
            <v>51.93</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51.93</v>
          </cell>
          <cell r="Q274">
            <v>5.3465759999999998</v>
          </cell>
          <cell r="R274" t="e">
            <v>#N/A</v>
          </cell>
        </row>
        <row r="275">
          <cell r="A275">
            <v>39552</v>
          </cell>
          <cell r="B275">
            <v>39552</v>
          </cell>
          <cell r="C275" t="str">
            <v>Past</v>
          </cell>
          <cell r="D275">
            <v>51.82</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51.82</v>
          </cell>
          <cell r="Q275">
            <v>4.8003</v>
          </cell>
          <cell r="R275" t="e">
            <v>#N/A</v>
          </cell>
        </row>
        <row r="276">
          <cell r="A276">
            <v>39553</v>
          </cell>
          <cell r="B276">
            <v>39553</v>
          </cell>
          <cell r="C276" t="str">
            <v>Past</v>
          </cell>
          <cell r="D276">
            <v>51.55</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51.55</v>
          </cell>
          <cell r="Q276">
            <v>5.6022179999999997</v>
          </cell>
          <cell r="R276" t="e">
            <v>#N/A</v>
          </cell>
        </row>
        <row r="277">
          <cell r="A277">
            <v>39554</v>
          </cell>
          <cell r="B277">
            <v>39554</v>
          </cell>
          <cell r="C277" t="str">
            <v>Past</v>
          </cell>
          <cell r="D277">
            <v>52.55</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52.55</v>
          </cell>
          <cell r="Q277">
            <v>4.3013560000000002</v>
          </cell>
          <cell r="R277" t="e">
            <v>#N/A</v>
          </cell>
        </row>
        <row r="278">
          <cell r="A278">
            <v>39555</v>
          </cell>
          <cell r="B278">
            <v>39555</v>
          </cell>
          <cell r="C278" t="str">
            <v>Past</v>
          </cell>
          <cell r="D278">
            <v>51.39</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51.39</v>
          </cell>
          <cell r="Q278">
            <v>6.9287829999999992</v>
          </cell>
          <cell r="R278" t="e">
            <v>#N/A</v>
          </cell>
        </row>
        <row r="279">
          <cell r="A279">
            <v>39556</v>
          </cell>
          <cell r="B279">
            <v>39556</v>
          </cell>
          <cell r="C279" t="str">
            <v>Past</v>
          </cell>
          <cell r="D279">
            <v>52.07</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52.07</v>
          </cell>
          <cell r="Q279">
            <v>6.2235579999999997</v>
          </cell>
          <cell r="R279" t="e">
            <v>#N/A</v>
          </cell>
        </row>
        <row r="280">
          <cell r="A280">
            <v>39559</v>
          </cell>
          <cell r="B280">
            <v>39559</v>
          </cell>
          <cell r="C280" t="str">
            <v>Past</v>
          </cell>
          <cell r="D280">
            <v>49.59</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49.59</v>
          </cell>
          <cell r="Q280">
            <v>10.13949</v>
          </cell>
          <cell r="R280" t="e">
            <v>#N/A</v>
          </cell>
        </row>
        <row r="281">
          <cell r="A281">
            <v>39560</v>
          </cell>
          <cell r="B281">
            <v>39560</v>
          </cell>
          <cell r="C281" t="str">
            <v>Past</v>
          </cell>
          <cell r="D281">
            <v>49.05</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49.05</v>
          </cell>
          <cell r="Q281">
            <v>8.5261739999999993</v>
          </cell>
          <cell r="R281" t="e">
            <v>#N/A</v>
          </cell>
        </row>
        <row r="282">
          <cell r="A282">
            <v>39561</v>
          </cell>
          <cell r="B282">
            <v>39561</v>
          </cell>
          <cell r="C282" t="str">
            <v>Past</v>
          </cell>
          <cell r="D282">
            <v>49.19</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49.19</v>
          </cell>
          <cell r="Q282">
            <v>6.5452360000000001</v>
          </cell>
          <cell r="R282" t="e">
            <v>#N/A</v>
          </cell>
        </row>
        <row r="283">
          <cell r="A283">
            <v>39562</v>
          </cell>
          <cell r="B283">
            <v>39562</v>
          </cell>
          <cell r="C283" t="str">
            <v>Past</v>
          </cell>
          <cell r="D283">
            <v>49.04</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49.04</v>
          </cell>
          <cell r="Q283">
            <v>4.4469729999999998</v>
          </cell>
          <cell r="R283" t="e">
            <v>#N/A</v>
          </cell>
        </row>
        <row r="284">
          <cell r="A284">
            <v>39563</v>
          </cell>
          <cell r="B284">
            <v>39563</v>
          </cell>
          <cell r="C284" t="str">
            <v>Past</v>
          </cell>
          <cell r="D284">
            <v>49.36</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49.36</v>
          </cell>
          <cell r="Q284">
            <v>4.609451</v>
          </cell>
          <cell r="R284" t="e">
            <v>#N/A</v>
          </cell>
        </row>
        <row r="285">
          <cell r="A285">
            <v>39566</v>
          </cell>
          <cell r="B285">
            <v>39566</v>
          </cell>
          <cell r="C285" t="str">
            <v>Past</v>
          </cell>
          <cell r="D285">
            <v>49.36</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49.36</v>
          </cell>
          <cell r="Q285">
            <v>4.9131529999999994</v>
          </cell>
          <cell r="R285" t="e">
            <v>#N/A</v>
          </cell>
        </row>
        <row r="286">
          <cell r="A286">
            <v>39567</v>
          </cell>
          <cell r="B286">
            <v>39567</v>
          </cell>
          <cell r="C286" t="str">
            <v>Past</v>
          </cell>
          <cell r="D286">
            <v>48.11</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48.11</v>
          </cell>
          <cell r="Q286">
            <v>8.5598390000000002</v>
          </cell>
          <cell r="R286" t="e">
            <v>#N/A</v>
          </cell>
        </row>
        <row r="287">
          <cell r="A287">
            <v>39568</v>
          </cell>
          <cell r="B287">
            <v>39568</v>
          </cell>
          <cell r="C287" t="str">
            <v>Past</v>
          </cell>
          <cell r="D287">
            <v>48.14</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48.14</v>
          </cell>
          <cell r="Q287">
            <v>6.1428139999999996</v>
          </cell>
          <cell r="R287" t="e">
            <v>#N/A</v>
          </cell>
        </row>
        <row r="288">
          <cell r="A288">
            <v>39569</v>
          </cell>
          <cell r="B288">
            <v>39569</v>
          </cell>
          <cell r="C288" t="str">
            <v>Past</v>
          </cell>
          <cell r="D288">
            <v>49.72</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49.72</v>
          </cell>
          <cell r="Q288">
            <v>6.2675000000000001</v>
          </cell>
          <cell r="R288" t="e">
            <v>#N/A</v>
          </cell>
        </row>
        <row r="289">
          <cell r="A289">
            <v>39570</v>
          </cell>
          <cell r="B289">
            <v>39570</v>
          </cell>
          <cell r="C289" t="str">
            <v>Past</v>
          </cell>
          <cell r="D289">
            <v>49.38</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49.38</v>
          </cell>
          <cell r="Q289">
            <v>3.6564389999999998</v>
          </cell>
          <cell r="R289" t="e">
            <v>#N/A</v>
          </cell>
        </row>
        <row r="290">
          <cell r="A290">
            <v>39573</v>
          </cell>
          <cell r="B290">
            <v>39573</v>
          </cell>
          <cell r="C290" t="str">
            <v>Past</v>
          </cell>
          <cell r="D290">
            <v>48.99</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48.99</v>
          </cell>
          <cell r="Q290">
            <v>3.4593929999999999</v>
          </cell>
          <cell r="R290" t="e">
            <v>#N/A</v>
          </cell>
        </row>
        <row r="291">
          <cell r="A291">
            <v>39574</v>
          </cell>
          <cell r="B291">
            <v>39574</v>
          </cell>
          <cell r="C291" t="str">
            <v>Past</v>
          </cell>
          <cell r="D291">
            <v>48.75</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48.75</v>
          </cell>
          <cell r="Q291">
            <v>4.2778359999999997</v>
          </cell>
          <cell r="R291" t="e">
            <v>#N/A</v>
          </cell>
        </row>
        <row r="292">
          <cell r="A292">
            <v>39575</v>
          </cell>
          <cell r="B292">
            <v>39575</v>
          </cell>
          <cell r="C292" t="str">
            <v>Past</v>
          </cell>
          <cell r="D292">
            <v>48.65</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48.65</v>
          </cell>
          <cell r="Q292">
            <v>5.5046119999999998</v>
          </cell>
          <cell r="R292" t="e">
            <v>#N/A</v>
          </cell>
        </row>
        <row r="293">
          <cell r="A293">
            <v>39576</v>
          </cell>
          <cell r="B293">
            <v>39576</v>
          </cell>
          <cell r="C293" t="str">
            <v>Past</v>
          </cell>
          <cell r="D293">
            <v>48.43</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48.43</v>
          </cell>
          <cell r="Q293">
            <v>5.3023039999999995</v>
          </cell>
          <cell r="R293" t="e">
            <v>#N/A</v>
          </cell>
        </row>
        <row r="294">
          <cell r="A294">
            <v>39577</v>
          </cell>
          <cell r="B294">
            <v>39577</v>
          </cell>
          <cell r="C294" t="str">
            <v>Past</v>
          </cell>
          <cell r="D294">
            <v>48.25</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48.25</v>
          </cell>
          <cell r="Q294">
            <v>4.2933690000000002</v>
          </cell>
          <cell r="R294" t="e">
            <v>#N/A</v>
          </cell>
        </row>
        <row r="295">
          <cell r="A295">
            <v>39580</v>
          </cell>
          <cell r="B295">
            <v>39580</v>
          </cell>
          <cell r="C295" t="str">
            <v>Past</v>
          </cell>
          <cell r="D295">
            <v>48.76</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48.76</v>
          </cell>
          <cell r="Q295">
            <v>3.5420409999999998</v>
          </cell>
          <cell r="R295" t="e">
            <v>#N/A</v>
          </cell>
        </row>
        <row r="296">
          <cell r="A296">
            <v>39581</v>
          </cell>
          <cell r="B296">
            <v>39581</v>
          </cell>
          <cell r="C296" t="str">
            <v>Past</v>
          </cell>
          <cell r="D296">
            <v>47.55</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47.55</v>
          </cell>
          <cell r="Q296">
            <v>5.3672779999999998</v>
          </cell>
          <cell r="R296" t="e">
            <v>#N/A</v>
          </cell>
        </row>
        <row r="297">
          <cell r="A297">
            <v>39582</v>
          </cell>
          <cell r="B297">
            <v>39582</v>
          </cell>
          <cell r="C297" t="str">
            <v>Past</v>
          </cell>
          <cell r="D297">
            <v>48.3</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48.3</v>
          </cell>
          <cell r="Q297">
            <v>4.3714700000000004</v>
          </cell>
          <cell r="R297" t="e">
            <v>#N/A</v>
          </cell>
        </row>
        <row r="298">
          <cell r="A298">
            <v>39583</v>
          </cell>
          <cell r="B298">
            <v>39583</v>
          </cell>
          <cell r="C298" t="str">
            <v>Past</v>
          </cell>
          <cell r="D298">
            <v>48.67</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48.67</v>
          </cell>
          <cell r="Q298">
            <v>5.1942259999999996</v>
          </cell>
          <cell r="R298" t="e">
            <v>#N/A</v>
          </cell>
        </row>
        <row r="299">
          <cell r="A299">
            <v>39584</v>
          </cell>
          <cell r="B299">
            <v>39584</v>
          </cell>
          <cell r="C299" t="str">
            <v>Past</v>
          </cell>
          <cell r="D299">
            <v>48.95</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48.95</v>
          </cell>
          <cell r="Q299">
            <v>5.1961449999999996</v>
          </cell>
          <cell r="R299" t="e">
            <v>#N/A</v>
          </cell>
        </row>
        <row r="300">
          <cell r="A300">
            <v>39587</v>
          </cell>
          <cell r="B300">
            <v>39587</v>
          </cell>
          <cell r="C300" t="str">
            <v>Past</v>
          </cell>
          <cell r="D300">
            <v>49.53</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49.53</v>
          </cell>
          <cell r="Q300">
            <v>3.7795079999999999</v>
          </cell>
          <cell r="R300" t="e">
            <v>#N/A</v>
          </cell>
        </row>
        <row r="301">
          <cell r="A301">
            <v>39588</v>
          </cell>
          <cell r="B301">
            <v>39588</v>
          </cell>
          <cell r="C301" t="str">
            <v>Past</v>
          </cell>
          <cell r="D301">
            <v>48.96</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48.96</v>
          </cell>
          <cell r="Q301">
            <v>4.1332800000000001</v>
          </cell>
          <cell r="R301" t="e">
            <v>#N/A</v>
          </cell>
        </row>
        <row r="302">
          <cell r="A302">
            <v>39589</v>
          </cell>
          <cell r="B302">
            <v>39589</v>
          </cell>
          <cell r="C302" t="str">
            <v>Past</v>
          </cell>
          <cell r="D302">
            <v>48.1</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48.1</v>
          </cell>
          <cell r="Q302">
            <v>4.6815200000000008</v>
          </cell>
          <cell r="R302" t="e">
            <v>#N/A</v>
          </cell>
        </row>
        <row r="303">
          <cell r="A303">
            <v>39590</v>
          </cell>
          <cell r="B303">
            <v>39590</v>
          </cell>
          <cell r="C303" t="str">
            <v>Past</v>
          </cell>
          <cell r="D303">
            <v>48.48</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48.48</v>
          </cell>
          <cell r="Q303">
            <v>3.1060369999999997</v>
          </cell>
          <cell r="R303" t="e">
            <v>#N/A</v>
          </cell>
        </row>
        <row r="304">
          <cell r="A304">
            <v>39591</v>
          </cell>
          <cell r="B304">
            <v>39591</v>
          </cell>
          <cell r="C304" t="str">
            <v>Past</v>
          </cell>
          <cell r="D304">
            <v>47.57</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47.57</v>
          </cell>
          <cell r="Q304">
            <v>3.602738</v>
          </cell>
          <cell r="R304" t="e">
            <v>#N/A</v>
          </cell>
        </row>
        <row r="305">
          <cell r="A305">
            <v>39595</v>
          </cell>
          <cell r="B305">
            <v>39595</v>
          </cell>
          <cell r="C305" t="str">
            <v>Past</v>
          </cell>
          <cell r="D305">
            <v>47.94</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47.94</v>
          </cell>
          <cell r="Q305">
            <v>2.9895320000000001</v>
          </cell>
          <cell r="R305" t="e">
            <v>#N/A</v>
          </cell>
        </row>
        <row r="306">
          <cell r="A306">
            <v>39596</v>
          </cell>
          <cell r="B306">
            <v>39596</v>
          </cell>
          <cell r="C306" t="str">
            <v>Past</v>
          </cell>
          <cell r="D306">
            <v>47.85</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47.85</v>
          </cell>
          <cell r="Q306">
            <v>3.5206619999999997</v>
          </cell>
          <cell r="R306" t="e">
            <v>#N/A</v>
          </cell>
        </row>
        <row r="307">
          <cell r="A307">
            <v>39597</v>
          </cell>
          <cell r="B307">
            <v>39597</v>
          </cell>
          <cell r="C307" t="str">
            <v>Past</v>
          </cell>
          <cell r="D307">
            <v>48.6</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48.6</v>
          </cell>
          <cell r="Q307">
            <v>6.289917</v>
          </cell>
          <cell r="R307" t="e">
            <v>#N/A</v>
          </cell>
        </row>
        <row r="308">
          <cell r="A308">
            <v>39598</v>
          </cell>
          <cell r="B308">
            <v>39598</v>
          </cell>
          <cell r="C308" t="str">
            <v>Past</v>
          </cell>
          <cell r="D308">
            <v>48.14</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48.14</v>
          </cell>
          <cell r="Q308">
            <v>4.0569929999999994</v>
          </cell>
          <cell r="R308" t="e">
            <v>#N/A</v>
          </cell>
        </row>
        <row r="309">
          <cell r="A309">
            <v>39601</v>
          </cell>
          <cell r="B309">
            <v>39601</v>
          </cell>
          <cell r="C309" t="str">
            <v>Past</v>
          </cell>
          <cell r="D309">
            <v>47.59</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47.59</v>
          </cell>
          <cell r="Q309">
            <v>5.9305129999999995</v>
          </cell>
          <cell r="R309" t="e">
            <v>#N/A</v>
          </cell>
        </row>
        <row r="310">
          <cell r="A310">
            <v>39602</v>
          </cell>
          <cell r="B310">
            <v>39602</v>
          </cell>
          <cell r="C310" t="str">
            <v>Past</v>
          </cell>
          <cell r="D310">
            <v>48.28</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48.28</v>
          </cell>
          <cell r="Q310">
            <v>7.2632879999999993</v>
          </cell>
          <cell r="R310" t="e">
            <v>#N/A</v>
          </cell>
        </row>
        <row r="311">
          <cell r="A311">
            <v>39603</v>
          </cell>
          <cell r="B311">
            <v>39603</v>
          </cell>
          <cell r="C311" t="str">
            <v>Past</v>
          </cell>
          <cell r="D311">
            <v>49.04</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49.04</v>
          </cell>
          <cell r="Q311">
            <v>7.4087769999999997</v>
          </cell>
          <cell r="R311" t="e">
            <v>#N/A</v>
          </cell>
        </row>
        <row r="312">
          <cell r="A312">
            <v>39604</v>
          </cell>
          <cell r="B312">
            <v>39604</v>
          </cell>
          <cell r="C312" t="str">
            <v>Past</v>
          </cell>
          <cell r="D312">
            <v>49.46</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49.46</v>
          </cell>
          <cell r="Q312">
            <v>7.8629619999999996</v>
          </cell>
          <cell r="R312" t="e">
            <v>#N/A</v>
          </cell>
        </row>
        <row r="313">
          <cell r="A313">
            <v>39605</v>
          </cell>
          <cell r="B313">
            <v>39605</v>
          </cell>
          <cell r="C313" t="str">
            <v>Past</v>
          </cell>
          <cell r="D313">
            <v>48.42</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48.42</v>
          </cell>
          <cell r="Q313">
            <v>7.8118429999999996</v>
          </cell>
          <cell r="R313" t="e">
            <v>#N/A</v>
          </cell>
        </row>
        <row r="314">
          <cell r="A314">
            <v>39608</v>
          </cell>
          <cell r="B314">
            <v>39608</v>
          </cell>
          <cell r="C314" t="str">
            <v>Past</v>
          </cell>
          <cell r="D314">
            <v>48.18</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48.18</v>
          </cell>
          <cell r="Q314">
            <v>6.4204279999999994</v>
          </cell>
          <cell r="R314" t="e">
            <v>#N/A</v>
          </cell>
        </row>
        <row r="315">
          <cell r="A315">
            <v>39609</v>
          </cell>
          <cell r="B315">
            <v>39609</v>
          </cell>
          <cell r="C315" t="str">
            <v>Past</v>
          </cell>
          <cell r="D315">
            <v>47.94</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47.94</v>
          </cell>
          <cell r="Q315">
            <v>5.1661869999999999</v>
          </cell>
          <cell r="R315" t="e">
            <v>#N/A</v>
          </cell>
        </row>
        <row r="316">
          <cell r="A316">
            <v>39610</v>
          </cell>
          <cell r="B316">
            <v>39610</v>
          </cell>
          <cell r="C316" t="str">
            <v>Past</v>
          </cell>
          <cell r="D316">
            <v>47.43</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47.43</v>
          </cell>
          <cell r="Q316">
            <v>4.0563459999999996</v>
          </cell>
          <cell r="R316" t="e">
            <v>#N/A</v>
          </cell>
        </row>
        <row r="317">
          <cell r="A317">
            <v>39611</v>
          </cell>
          <cell r="B317">
            <v>39611</v>
          </cell>
          <cell r="C317" t="str">
            <v>Past</v>
          </cell>
          <cell r="D317">
            <v>47.7</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47.7</v>
          </cell>
          <cell r="Q317">
            <v>4.5953330000000001</v>
          </cell>
          <cell r="R317" t="e">
            <v>#N/A</v>
          </cell>
        </row>
        <row r="318">
          <cell r="A318">
            <v>39612</v>
          </cell>
          <cell r="B318">
            <v>39612</v>
          </cell>
          <cell r="C318" t="str">
            <v>Past</v>
          </cell>
          <cell r="D318">
            <v>48.33</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48.33</v>
          </cell>
          <cell r="Q318">
            <v>4.2988210000000002</v>
          </cell>
          <cell r="R318" t="e">
            <v>#N/A</v>
          </cell>
        </row>
        <row r="319">
          <cell r="A319">
            <v>39615</v>
          </cell>
          <cell r="B319">
            <v>39615</v>
          </cell>
          <cell r="C319" t="str">
            <v>Past</v>
          </cell>
          <cell r="D319">
            <v>47.85</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47.85</v>
          </cell>
          <cell r="Q319">
            <v>5.5685279999999997</v>
          </cell>
          <cell r="R319" t="e">
            <v>#N/A</v>
          </cell>
        </row>
        <row r="320">
          <cell r="A320">
            <v>39616</v>
          </cell>
          <cell r="B320">
            <v>39616</v>
          </cell>
          <cell r="C320" t="str">
            <v>Past</v>
          </cell>
          <cell r="D320">
            <v>47.78</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47.78</v>
          </cell>
          <cell r="Q320">
            <v>3.4322689999999998</v>
          </cell>
          <cell r="R320" t="e">
            <v>#N/A</v>
          </cell>
        </row>
        <row r="321">
          <cell r="A321">
            <v>39617</v>
          </cell>
          <cell r="B321">
            <v>39617</v>
          </cell>
          <cell r="C321" t="str">
            <v>Past</v>
          </cell>
          <cell r="D321">
            <v>46.97</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46.97</v>
          </cell>
          <cell r="Q321">
            <v>4.2175900000000004</v>
          </cell>
          <cell r="R321" t="e">
            <v>#N/A</v>
          </cell>
        </row>
        <row r="322">
          <cell r="A322">
            <v>39618</v>
          </cell>
          <cell r="B322">
            <v>39618</v>
          </cell>
          <cell r="C322" t="str">
            <v>Past</v>
          </cell>
          <cell r="D322">
            <v>47.79</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47.79</v>
          </cell>
          <cell r="Q322">
            <v>8.2233280000000004</v>
          </cell>
          <cell r="R322" t="e">
            <v>#N/A</v>
          </cell>
        </row>
        <row r="323">
          <cell r="A323">
            <v>39619</v>
          </cell>
          <cell r="B323">
            <v>39619</v>
          </cell>
          <cell r="C323" t="str">
            <v>Past</v>
          </cell>
          <cell r="D323">
            <v>46.93</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46.93</v>
          </cell>
          <cell r="Q323">
            <v>7.4238809999999997</v>
          </cell>
          <cell r="R323" t="e">
            <v>#N/A</v>
          </cell>
        </row>
        <row r="324">
          <cell r="A324">
            <v>39622</v>
          </cell>
          <cell r="B324">
            <v>39622</v>
          </cell>
          <cell r="C324" t="str">
            <v>Past</v>
          </cell>
          <cell r="D324">
            <v>47.6</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47.6</v>
          </cell>
          <cell r="Q324">
            <v>5.4291179999999999</v>
          </cell>
          <cell r="R324" t="e">
            <v>#N/A</v>
          </cell>
        </row>
        <row r="325">
          <cell r="A325">
            <v>39623</v>
          </cell>
          <cell r="B325">
            <v>39623</v>
          </cell>
          <cell r="C325" t="str">
            <v>Past</v>
          </cell>
          <cell r="D325">
            <v>46.94</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46.94</v>
          </cell>
          <cell r="Q325">
            <v>9.2603100000000005</v>
          </cell>
          <cell r="R325" t="e">
            <v>#N/A</v>
          </cell>
        </row>
        <row r="326">
          <cell r="A326">
            <v>39624</v>
          </cell>
          <cell r="B326">
            <v>39624</v>
          </cell>
          <cell r="C326" t="str">
            <v>Past</v>
          </cell>
          <cell r="D326">
            <v>47</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47</v>
          </cell>
          <cell r="Q326">
            <v>6.0174319999999994</v>
          </cell>
          <cell r="R326" t="e">
            <v>#N/A</v>
          </cell>
        </row>
        <row r="327">
          <cell r="A327">
            <v>39625</v>
          </cell>
          <cell r="B327">
            <v>39625</v>
          </cell>
          <cell r="C327" t="str">
            <v>Past</v>
          </cell>
          <cell r="D327">
            <v>46.02</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46.02</v>
          </cell>
          <cell r="Q327">
            <v>6.5172559999999997</v>
          </cell>
          <cell r="R327" t="e">
            <v>#N/A</v>
          </cell>
        </row>
        <row r="328">
          <cell r="A328">
            <v>39626</v>
          </cell>
          <cell r="B328">
            <v>39626</v>
          </cell>
          <cell r="C328" t="str">
            <v>Past</v>
          </cell>
          <cell r="D328">
            <v>45.61</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45.61</v>
          </cell>
          <cell r="Q328">
            <v>7.4178179999999996</v>
          </cell>
          <cell r="R328" t="e">
            <v>#N/A</v>
          </cell>
        </row>
        <row r="329">
          <cell r="A329">
            <v>39629</v>
          </cell>
          <cell r="B329">
            <v>39629</v>
          </cell>
          <cell r="C329" t="str">
            <v>Past</v>
          </cell>
          <cell r="D329">
            <v>46.16</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46.16</v>
          </cell>
          <cell r="Q329">
            <v>5.4170349999999994</v>
          </cell>
          <cell r="R329" t="e">
            <v>#N/A</v>
          </cell>
        </row>
        <row r="330">
          <cell r="A330">
            <v>39630</v>
          </cell>
          <cell r="B330">
            <v>39630</v>
          </cell>
          <cell r="C330" t="str">
            <v>Past</v>
          </cell>
          <cell r="D330">
            <v>46.1</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46.1</v>
          </cell>
          <cell r="Q330">
            <v>6.4543559999999998</v>
          </cell>
          <cell r="R330" t="e">
            <v>#N/A</v>
          </cell>
        </row>
        <row r="331">
          <cell r="A331">
            <v>39631</v>
          </cell>
          <cell r="B331">
            <v>39631</v>
          </cell>
          <cell r="C331" t="str">
            <v>Past</v>
          </cell>
          <cell r="D331">
            <v>46.09</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46.09</v>
          </cell>
          <cell r="Q331">
            <v>4.656085</v>
          </cell>
          <cell r="R331" t="e">
            <v>#N/A</v>
          </cell>
        </row>
        <row r="332">
          <cell r="A332">
            <v>39632</v>
          </cell>
          <cell r="B332">
            <v>39632</v>
          </cell>
          <cell r="C332" t="str">
            <v>Past</v>
          </cell>
          <cell r="D332">
            <v>46.98</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46.98</v>
          </cell>
          <cell r="Q332">
            <v>4.531256</v>
          </cell>
          <cell r="R332" t="e">
            <v>#N/A</v>
          </cell>
        </row>
        <row r="333">
          <cell r="A333">
            <v>39636</v>
          </cell>
          <cell r="B333">
            <v>39636</v>
          </cell>
          <cell r="C333" t="str">
            <v>Past</v>
          </cell>
          <cell r="D333">
            <v>46.21</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46.21</v>
          </cell>
          <cell r="Q333">
            <v>6.0968329999999993</v>
          </cell>
          <cell r="R333" t="e">
            <v>#N/A</v>
          </cell>
        </row>
        <row r="334">
          <cell r="A334">
            <v>39637</v>
          </cell>
          <cell r="B334">
            <v>39637</v>
          </cell>
          <cell r="C334" t="str">
            <v>Past</v>
          </cell>
          <cell r="D334">
            <v>48.46</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48.46</v>
          </cell>
          <cell r="Q334">
            <v>9.3727459999999994</v>
          </cell>
          <cell r="R334" t="e">
            <v>#N/A</v>
          </cell>
        </row>
        <row r="335">
          <cell r="A335">
            <v>39638</v>
          </cell>
          <cell r="B335">
            <v>39638</v>
          </cell>
          <cell r="C335" t="str">
            <v>Past</v>
          </cell>
          <cell r="D335">
            <v>48.37</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48.37</v>
          </cell>
          <cell r="Q335">
            <v>6.5000749999999998</v>
          </cell>
          <cell r="R335" t="e">
            <v>#N/A</v>
          </cell>
        </row>
        <row r="336">
          <cell r="A336">
            <v>39639</v>
          </cell>
          <cell r="B336">
            <v>39639</v>
          </cell>
          <cell r="C336" t="str">
            <v>Past</v>
          </cell>
          <cell r="D336">
            <v>48.16</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48.16</v>
          </cell>
          <cell r="Q336">
            <v>7.3747479999999994</v>
          </cell>
          <cell r="R336" t="e">
            <v>#N/A</v>
          </cell>
        </row>
        <row r="337">
          <cell r="A337">
            <v>39640</v>
          </cell>
          <cell r="B337">
            <v>39640</v>
          </cell>
          <cell r="C337" t="str">
            <v>Past</v>
          </cell>
          <cell r="D337">
            <v>47.67</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47.67</v>
          </cell>
          <cell r="Q337">
            <v>4.5388700000000002</v>
          </cell>
          <cell r="R337" t="e">
            <v>#N/A</v>
          </cell>
        </row>
        <row r="338">
          <cell r="A338">
            <v>39643</v>
          </cell>
          <cell r="B338">
            <v>39643</v>
          </cell>
          <cell r="C338" t="str">
            <v>Past</v>
          </cell>
          <cell r="D338">
            <v>48.01</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48.01</v>
          </cell>
          <cell r="Q338">
            <v>5.7160969999999995</v>
          </cell>
          <cell r="R338" t="e">
            <v>#N/A</v>
          </cell>
        </row>
        <row r="339">
          <cell r="A339">
            <v>39644</v>
          </cell>
          <cell r="B339">
            <v>39644</v>
          </cell>
          <cell r="C339" t="str">
            <v>Past</v>
          </cell>
          <cell r="D339">
            <v>48.11</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48.11</v>
          </cell>
          <cell r="Q339">
            <v>8.1845389999999991</v>
          </cell>
          <cell r="R339" t="e">
            <v>#N/A</v>
          </cell>
        </row>
        <row r="340">
          <cell r="A340">
            <v>39645</v>
          </cell>
          <cell r="B340">
            <v>39645</v>
          </cell>
          <cell r="C340" t="str">
            <v>Past</v>
          </cell>
          <cell r="D340">
            <v>48.28</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48.28</v>
          </cell>
          <cell r="Q340">
            <v>6.356236</v>
          </cell>
          <cell r="R340" t="e">
            <v>#N/A</v>
          </cell>
        </row>
        <row r="341">
          <cell r="A341">
            <v>39646</v>
          </cell>
          <cell r="B341">
            <v>39646</v>
          </cell>
          <cell r="C341" t="str">
            <v>Past</v>
          </cell>
          <cell r="D341">
            <v>48.38</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48.38</v>
          </cell>
          <cell r="Q341">
            <v>6.514837</v>
          </cell>
          <cell r="R341" t="e">
            <v>#N/A</v>
          </cell>
        </row>
        <row r="342">
          <cell r="A342">
            <v>39647</v>
          </cell>
          <cell r="B342">
            <v>39647</v>
          </cell>
          <cell r="C342" t="str">
            <v>Past</v>
          </cell>
          <cell r="D342">
            <v>47.91</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47.91</v>
          </cell>
          <cell r="Q342">
            <v>6.4213829999999996</v>
          </cell>
          <cell r="R342" t="e">
            <v>#N/A</v>
          </cell>
        </row>
        <row r="343">
          <cell r="A343">
            <v>39650</v>
          </cell>
          <cell r="B343">
            <v>39650</v>
          </cell>
          <cell r="C343" t="str">
            <v>Past</v>
          </cell>
          <cell r="D343">
            <v>47.18</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47.18</v>
          </cell>
          <cell r="Q343">
            <v>4.7416919999999996</v>
          </cell>
          <cell r="R343" t="e">
            <v>#N/A</v>
          </cell>
        </row>
        <row r="344">
          <cell r="A344">
            <v>39651</v>
          </cell>
          <cell r="B344">
            <v>39651</v>
          </cell>
          <cell r="C344" t="str">
            <v>Past</v>
          </cell>
          <cell r="D344">
            <v>46.73</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46.73</v>
          </cell>
          <cell r="Q344">
            <v>6.6683329999999996</v>
          </cell>
          <cell r="R344" t="e">
            <v>#N/A</v>
          </cell>
        </row>
        <row r="345">
          <cell r="A345">
            <v>39652</v>
          </cell>
          <cell r="B345">
            <v>39652</v>
          </cell>
          <cell r="C345" t="str">
            <v>Past</v>
          </cell>
          <cell r="D345">
            <v>47.62</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47.62</v>
          </cell>
          <cell r="Q345">
            <v>5.6084069999999997</v>
          </cell>
          <cell r="R345" t="e">
            <v>#N/A</v>
          </cell>
        </row>
        <row r="346">
          <cell r="A346">
            <v>39653</v>
          </cell>
          <cell r="B346">
            <v>39653</v>
          </cell>
          <cell r="C346" t="str">
            <v>Past</v>
          </cell>
          <cell r="D346">
            <v>48</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48</v>
          </cell>
          <cell r="Q346">
            <v>4.9491429999999994</v>
          </cell>
          <cell r="R346" t="e">
            <v>#N/A</v>
          </cell>
        </row>
        <row r="347">
          <cell r="A347">
            <v>39654</v>
          </cell>
          <cell r="B347">
            <v>39654</v>
          </cell>
          <cell r="C347" t="str">
            <v>Past</v>
          </cell>
          <cell r="D347">
            <v>47.81</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47.81</v>
          </cell>
          <cell r="Q347">
            <v>4.2006809999999994</v>
          </cell>
          <cell r="R347" t="e">
            <v>#N/A</v>
          </cell>
        </row>
        <row r="348">
          <cell r="A348">
            <v>39657</v>
          </cell>
          <cell r="B348">
            <v>39657</v>
          </cell>
          <cell r="C348" t="str">
            <v>Past</v>
          </cell>
          <cell r="D348">
            <v>47.62</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47.62</v>
          </cell>
          <cell r="Q348">
            <v>5.1311879999999999</v>
          </cell>
          <cell r="R348" t="e">
            <v>#N/A</v>
          </cell>
        </row>
        <row r="349">
          <cell r="A349">
            <v>39658</v>
          </cell>
          <cell r="B349">
            <v>39658</v>
          </cell>
          <cell r="C349" t="str">
            <v>Past</v>
          </cell>
          <cell r="D349">
            <v>48.26</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48.26</v>
          </cell>
          <cell r="Q349">
            <v>5.5355879999999997</v>
          </cell>
          <cell r="R349" t="e">
            <v>#N/A</v>
          </cell>
        </row>
        <row r="350">
          <cell r="A350">
            <v>39659</v>
          </cell>
          <cell r="B350">
            <v>39659</v>
          </cell>
          <cell r="C350" t="str">
            <v>Past</v>
          </cell>
          <cell r="D350">
            <v>47.41</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47.41</v>
          </cell>
          <cell r="Q350">
            <v>7.4262059999999996</v>
          </cell>
          <cell r="R350" t="e">
            <v>#N/A</v>
          </cell>
        </row>
        <row r="351">
          <cell r="A351">
            <v>39660</v>
          </cell>
          <cell r="B351">
            <v>39660</v>
          </cell>
          <cell r="C351" t="str">
            <v>Past</v>
          </cell>
          <cell r="D351">
            <v>47.11</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47.11</v>
          </cell>
          <cell r="Q351">
            <v>4.9318520000000001</v>
          </cell>
          <cell r="R351" t="e">
            <v>#N/A</v>
          </cell>
        </row>
        <row r="352">
          <cell r="A352">
            <v>39661</v>
          </cell>
          <cell r="B352">
            <v>39661</v>
          </cell>
          <cell r="C352" t="str">
            <v>Past</v>
          </cell>
          <cell r="D352">
            <v>47.04</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47.04</v>
          </cell>
          <cell r="Q352">
            <v>4.3291810000000002</v>
          </cell>
          <cell r="R352" t="e">
            <v>#N/A</v>
          </cell>
        </row>
        <row r="353">
          <cell r="A353">
            <v>39664</v>
          </cell>
          <cell r="B353">
            <v>39664</v>
          </cell>
          <cell r="C353" t="str">
            <v>Past</v>
          </cell>
          <cell r="D353">
            <v>47.37</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47.37</v>
          </cell>
          <cell r="Q353">
            <v>4.7518129999999994</v>
          </cell>
          <cell r="R353" t="e">
            <v>#N/A</v>
          </cell>
        </row>
        <row r="354">
          <cell r="A354">
            <v>39665</v>
          </cell>
          <cell r="B354">
            <v>39665</v>
          </cell>
          <cell r="C354" t="str">
            <v>Past</v>
          </cell>
          <cell r="D354">
            <v>47.79</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47.79</v>
          </cell>
          <cell r="Q354">
            <v>6.4860509999999998</v>
          </cell>
          <cell r="R354" t="e">
            <v>#N/A</v>
          </cell>
        </row>
        <row r="355">
          <cell r="A355">
            <v>39666</v>
          </cell>
          <cell r="B355">
            <v>39666</v>
          </cell>
          <cell r="C355" t="str">
            <v>Past</v>
          </cell>
          <cell r="D355">
            <v>48</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48</v>
          </cell>
          <cell r="Q355">
            <v>3.5196000000000001</v>
          </cell>
          <cell r="R355" t="e">
            <v>#N/A</v>
          </cell>
        </row>
        <row r="356">
          <cell r="A356">
            <v>39667</v>
          </cell>
          <cell r="B356">
            <v>39667</v>
          </cell>
          <cell r="C356" t="str">
            <v>Past</v>
          </cell>
          <cell r="D356">
            <v>47.58</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47.58</v>
          </cell>
          <cell r="Q356">
            <v>4.5968609999999996</v>
          </cell>
          <cell r="R356" t="e">
            <v>#N/A</v>
          </cell>
        </row>
        <row r="357">
          <cell r="A357">
            <v>39668</v>
          </cell>
          <cell r="B357">
            <v>39668</v>
          </cell>
          <cell r="C357" t="str">
            <v>Past</v>
          </cell>
          <cell r="D357">
            <v>48.51</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48.51</v>
          </cell>
          <cell r="Q357">
            <v>4.1587300000000003</v>
          </cell>
          <cell r="R357" t="e">
            <v>#N/A</v>
          </cell>
        </row>
        <row r="358">
          <cell r="A358">
            <v>39671</v>
          </cell>
          <cell r="B358">
            <v>39671</v>
          </cell>
          <cell r="C358" t="str">
            <v>Past</v>
          </cell>
          <cell r="D358">
            <v>49.05</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49.05</v>
          </cell>
          <cell r="Q358">
            <v>6.1157829999999995</v>
          </cell>
          <cell r="R358" t="e">
            <v>#N/A</v>
          </cell>
        </row>
        <row r="359">
          <cell r="A359">
            <v>39672</v>
          </cell>
          <cell r="B359">
            <v>39672</v>
          </cell>
          <cell r="C359" t="str">
            <v>Past</v>
          </cell>
          <cell r="D359">
            <v>49.25</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49.25</v>
          </cell>
          <cell r="Q359">
            <v>6.038087</v>
          </cell>
          <cell r="R359" t="e">
            <v>#N/A</v>
          </cell>
        </row>
        <row r="360">
          <cell r="A360">
            <v>39673</v>
          </cell>
          <cell r="B360">
            <v>39673</v>
          </cell>
          <cell r="C360" t="str">
            <v>Past</v>
          </cell>
          <cell r="D360">
            <v>48.38</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48.38</v>
          </cell>
          <cell r="Q360">
            <v>4.9549279999999998</v>
          </cell>
          <cell r="R360" t="e">
            <v>#N/A</v>
          </cell>
        </row>
        <row r="361">
          <cell r="A361">
            <v>39674</v>
          </cell>
          <cell r="B361">
            <v>39674</v>
          </cell>
          <cell r="C361" t="str">
            <v>Past</v>
          </cell>
          <cell r="D361">
            <v>48.34</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48.34</v>
          </cell>
          <cell r="Q361">
            <v>4.7061489999999999</v>
          </cell>
          <cell r="R361" t="e">
            <v>#N/A</v>
          </cell>
        </row>
        <row r="362">
          <cell r="A362">
            <v>39675</v>
          </cell>
          <cell r="B362">
            <v>39675</v>
          </cell>
          <cell r="C362" t="str">
            <v>Past</v>
          </cell>
          <cell r="D362">
            <v>48.78</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48.78</v>
          </cell>
          <cell r="Q362">
            <v>4.6113580000000001</v>
          </cell>
          <cell r="R362" t="e">
            <v>#N/A</v>
          </cell>
        </row>
        <row r="363">
          <cell r="A363">
            <v>39678</v>
          </cell>
          <cell r="B363">
            <v>39678</v>
          </cell>
          <cell r="C363" t="str">
            <v>Past</v>
          </cell>
          <cell r="D363">
            <v>48.05</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48.05</v>
          </cell>
          <cell r="Q363">
            <v>6.2457180000000001</v>
          </cell>
          <cell r="R363" t="e">
            <v>#N/A</v>
          </cell>
        </row>
        <row r="364">
          <cell r="A364">
            <v>39679</v>
          </cell>
          <cell r="B364">
            <v>39679</v>
          </cell>
          <cell r="C364" t="str">
            <v>Past</v>
          </cell>
          <cell r="D364">
            <v>47.8</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47.8</v>
          </cell>
          <cell r="Q364">
            <v>5.4486829999999999</v>
          </cell>
          <cell r="R364" t="e">
            <v>#N/A</v>
          </cell>
        </row>
        <row r="365">
          <cell r="A365">
            <v>39680</v>
          </cell>
          <cell r="B365">
            <v>39680</v>
          </cell>
          <cell r="C365" t="str">
            <v>Past</v>
          </cell>
          <cell r="D365">
            <v>47.41</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47.41</v>
          </cell>
          <cell r="Q365">
            <v>4.5450109999999997</v>
          </cell>
          <cell r="R365" t="e">
            <v>#N/A</v>
          </cell>
        </row>
        <row r="366">
          <cell r="A366">
            <v>39681</v>
          </cell>
          <cell r="B366">
            <v>39681</v>
          </cell>
          <cell r="C366" t="str">
            <v>Past</v>
          </cell>
          <cell r="D366">
            <v>47.17</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47.17</v>
          </cell>
          <cell r="Q366">
            <v>4.1615440000000001</v>
          </cell>
          <cell r="R366" t="e">
            <v>#N/A</v>
          </cell>
        </row>
        <row r="367">
          <cell r="A367">
            <v>39682</v>
          </cell>
          <cell r="B367">
            <v>39682</v>
          </cell>
          <cell r="C367" t="str">
            <v>Past</v>
          </cell>
          <cell r="D367">
            <v>48.03</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48.03</v>
          </cell>
          <cell r="Q367">
            <v>5.1343179999999995</v>
          </cell>
          <cell r="R367" t="e">
            <v>#N/A</v>
          </cell>
        </row>
        <row r="368">
          <cell r="A368">
            <v>39685</v>
          </cell>
          <cell r="B368">
            <v>39685</v>
          </cell>
          <cell r="C368" t="str">
            <v>Past</v>
          </cell>
          <cell r="D368">
            <v>47.52</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47.52</v>
          </cell>
          <cell r="Q368">
            <v>3.9402059999999999</v>
          </cell>
          <cell r="R368" t="e">
            <v>#N/A</v>
          </cell>
        </row>
        <row r="369">
          <cell r="A369">
            <v>39686</v>
          </cell>
          <cell r="B369">
            <v>39686</v>
          </cell>
          <cell r="C369" t="str">
            <v>Past</v>
          </cell>
          <cell r="D369">
            <v>47.02</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47.02</v>
          </cell>
          <cell r="Q369">
            <v>3.3715219999999997</v>
          </cell>
          <cell r="R369" t="e">
            <v>#N/A</v>
          </cell>
        </row>
        <row r="370">
          <cell r="A370">
            <v>39687</v>
          </cell>
          <cell r="B370">
            <v>39687</v>
          </cell>
          <cell r="C370" t="str">
            <v>Past</v>
          </cell>
          <cell r="D370">
            <v>46.87</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46.87</v>
          </cell>
          <cell r="Q370">
            <v>5.5200829999999996</v>
          </cell>
          <cell r="R370" t="e">
            <v>#N/A</v>
          </cell>
        </row>
        <row r="371">
          <cell r="A371">
            <v>39688</v>
          </cell>
          <cell r="B371">
            <v>39688</v>
          </cell>
          <cell r="C371" t="str">
            <v>Past</v>
          </cell>
          <cell r="D371">
            <v>46.91</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46.91</v>
          </cell>
          <cell r="Q371">
            <v>4.285463</v>
          </cell>
          <cell r="R371" t="e">
            <v>#N/A</v>
          </cell>
        </row>
        <row r="372">
          <cell r="A372">
            <v>39689</v>
          </cell>
          <cell r="B372">
            <v>39689</v>
          </cell>
          <cell r="C372" t="str">
            <v>Past</v>
          </cell>
          <cell r="D372">
            <v>46.65</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46.65</v>
          </cell>
          <cell r="Q372">
            <v>4.7651479999999999</v>
          </cell>
          <cell r="R372" t="e">
            <v>#N/A</v>
          </cell>
        </row>
        <row r="373">
          <cell r="A373">
            <v>39693</v>
          </cell>
          <cell r="B373">
            <v>39693</v>
          </cell>
          <cell r="C373" t="str">
            <v>Past</v>
          </cell>
          <cell r="D373">
            <v>46.66</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46.66</v>
          </cell>
          <cell r="Q373">
            <v>5.2418079999999998</v>
          </cell>
          <cell r="R373" t="e">
            <v>#N/A</v>
          </cell>
        </row>
        <row r="374">
          <cell r="A374">
            <v>39694</v>
          </cell>
          <cell r="B374">
            <v>39694</v>
          </cell>
          <cell r="C374" t="str">
            <v>Past</v>
          </cell>
          <cell r="D374">
            <v>46.91</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46.91</v>
          </cell>
          <cell r="Q374">
            <v>4.4258259999999998</v>
          </cell>
          <cell r="R374" t="e">
            <v>#N/A</v>
          </cell>
        </row>
        <row r="375">
          <cell r="A375">
            <v>39695</v>
          </cell>
          <cell r="B375">
            <v>39695</v>
          </cell>
          <cell r="C375" t="str">
            <v>Past</v>
          </cell>
          <cell r="D375">
            <v>46.09</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46.09</v>
          </cell>
          <cell r="Q375">
            <v>4.7143489999999995</v>
          </cell>
          <cell r="R375" t="e">
            <v>#N/A</v>
          </cell>
        </row>
        <row r="376">
          <cell r="A376">
            <v>39696</v>
          </cell>
          <cell r="B376">
            <v>39696</v>
          </cell>
          <cell r="C376" t="str">
            <v>Past</v>
          </cell>
          <cell r="D376">
            <v>45.44</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45.44</v>
          </cell>
          <cell r="Q376">
            <v>5.1277609999999996</v>
          </cell>
          <cell r="R376" t="e">
            <v>#N/A</v>
          </cell>
        </row>
        <row r="377">
          <cell r="A377">
            <v>39699</v>
          </cell>
          <cell r="B377">
            <v>39699</v>
          </cell>
          <cell r="C377" t="str">
            <v>Past</v>
          </cell>
          <cell r="D377">
            <v>46.67</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46.67</v>
          </cell>
          <cell r="Q377">
            <v>5.791283</v>
          </cell>
          <cell r="R377" t="e">
            <v>#N/A</v>
          </cell>
        </row>
        <row r="378">
          <cell r="A378">
            <v>39700</v>
          </cell>
          <cell r="B378">
            <v>39700</v>
          </cell>
          <cell r="C378" t="str">
            <v>Past</v>
          </cell>
          <cell r="D378">
            <v>46.46</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46.46</v>
          </cell>
          <cell r="Q378">
            <v>7.8215509999999995</v>
          </cell>
          <cell r="R378" t="e">
            <v>#N/A</v>
          </cell>
        </row>
        <row r="379">
          <cell r="A379">
            <v>39701</v>
          </cell>
          <cell r="B379">
            <v>39701</v>
          </cell>
          <cell r="C379" t="str">
            <v>Past</v>
          </cell>
          <cell r="D379">
            <v>46.73</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46.73</v>
          </cell>
          <cell r="Q379">
            <v>6.1061689999999995</v>
          </cell>
          <cell r="R379" t="e">
            <v>#N/A</v>
          </cell>
        </row>
        <row r="380">
          <cell r="A380">
            <v>39702</v>
          </cell>
          <cell r="B380">
            <v>39702</v>
          </cell>
          <cell r="C380" t="str">
            <v>Past</v>
          </cell>
          <cell r="D380">
            <v>46.72</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46.72</v>
          </cell>
          <cell r="Q380">
            <v>4.7126969999999995</v>
          </cell>
          <cell r="R380" t="e">
            <v>#N/A</v>
          </cell>
        </row>
        <row r="381">
          <cell r="A381">
            <v>39703</v>
          </cell>
          <cell r="B381">
            <v>39703</v>
          </cell>
          <cell r="C381" t="str">
            <v>Past</v>
          </cell>
          <cell r="D381">
            <v>46.6</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46.6</v>
          </cell>
          <cell r="Q381">
            <v>4.2716479999999999</v>
          </cell>
          <cell r="R381" t="e">
            <v>#N/A</v>
          </cell>
        </row>
        <row r="382">
          <cell r="A382">
            <v>39706</v>
          </cell>
          <cell r="B382">
            <v>39706</v>
          </cell>
          <cell r="C382" t="str">
            <v>Past</v>
          </cell>
          <cell r="D382">
            <v>46.04</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46.04</v>
          </cell>
          <cell r="Q382">
            <v>5.3281909999999995</v>
          </cell>
          <cell r="R382" t="e">
            <v>#N/A</v>
          </cell>
        </row>
        <row r="383">
          <cell r="A383">
            <v>39707</v>
          </cell>
          <cell r="B383">
            <v>39707</v>
          </cell>
          <cell r="C383" t="str">
            <v>Past</v>
          </cell>
          <cell r="D383">
            <v>45.26</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45.26</v>
          </cell>
          <cell r="Q383">
            <v>10.0488</v>
          </cell>
          <cell r="R383" t="e">
            <v>#N/A</v>
          </cell>
        </row>
        <row r="384">
          <cell r="A384">
            <v>39708</v>
          </cell>
          <cell r="B384">
            <v>39708</v>
          </cell>
          <cell r="C384" t="str">
            <v>Past</v>
          </cell>
          <cell r="D384">
            <v>43.92</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43.92</v>
          </cell>
          <cell r="Q384">
            <v>7.1758479999999993</v>
          </cell>
          <cell r="R384" t="e">
            <v>#N/A</v>
          </cell>
        </row>
        <row r="385">
          <cell r="A385">
            <v>39709</v>
          </cell>
          <cell r="B385">
            <v>39709</v>
          </cell>
          <cell r="C385" t="str">
            <v>Past</v>
          </cell>
          <cell r="D385">
            <v>45.42</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45.42</v>
          </cell>
          <cell r="Q385">
            <v>9.9173390000000001</v>
          </cell>
          <cell r="R385" t="e">
            <v>#N/A</v>
          </cell>
        </row>
        <row r="386">
          <cell r="A386">
            <v>39710</v>
          </cell>
          <cell r="B386">
            <v>39710</v>
          </cell>
          <cell r="C386" t="str">
            <v>Past</v>
          </cell>
          <cell r="D386">
            <v>46.69</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46.69</v>
          </cell>
          <cell r="Q386">
            <v>12.047700000000001</v>
          </cell>
          <cell r="R386" t="e">
            <v>#N/A</v>
          </cell>
        </row>
        <row r="387">
          <cell r="A387">
            <v>39713</v>
          </cell>
          <cell r="B387">
            <v>39713</v>
          </cell>
          <cell r="C387" t="str">
            <v>Past</v>
          </cell>
          <cell r="D387">
            <v>45.9</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45.9</v>
          </cell>
          <cell r="Q387">
            <v>5.7838919999999998</v>
          </cell>
          <cell r="R387" t="e">
            <v>#N/A</v>
          </cell>
        </row>
        <row r="388">
          <cell r="A388">
            <v>39714</v>
          </cell>
          <cell r="B388">
            <v>39714</v>
          </cell>
          <cell r="C388" t="str">
            <v>Past</v>
          </cell>
          <cell r="D388">
            <v>45.73</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45.73</v>
          </cell>
          <cell r="Q388">
            <v>7.8780429999999999</v>
          </cell>
          <cell r="R388" t="e">
            <v>#N/A</v>
          </cell>
        </row>
        <row r="389">
          <cell r="A389">
            <v>39715</v>
          </cell>
          <cell r="B389">
            <v>39715</v>
          </cell>
          <cell r="C389" t="str">
            <v>Past</v>
          </cell>
          <cell r="D389">
            <v>46.34</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46.34</v>
          </cell>
          <cell r="Q389">
            <v>7.2406400000000009</v>
          </cell>
          <cell r="R389" t="e">
            <v>#N/A</v>
          </cell>
        </row>
        <row r="390">
          <cell r="A390">
            <v>39716</v>
          </cell>
          <cell r="B390">
            <v>39716</v>
          </cell>
          <cell r="C390" t="str">
            <v>Past</v>
          </cell>
          <cell r="D390">
            <v>46.6</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46.6</v>
          </cell>
          <cell r="Q390">
            <v>9.338139</v>
          </cell>
          <cell r="R390" t="e">
            <v>#N/A</v>
          </cell>
        </row>
        <row r="391">
          <cell r="A391">
            <v>39717</v>
          </cell>
          <cell r="B391">
            <v>39717</v>
          </cell>
          <cell r="C391" t="str">
            <v>Past</v>
          </cell>
          <cell r="D391">
            <v>46.82</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46.82</v>
          </cell>
          <cell r="Q391">
            <v>5.7698029999999996</v>
          </cell>
          <cell r="R391" t="e">
            <v>#N/A</v>
          </cell>
        </row>
        <row r="392">
          <cell r="A392">
            <v>39720</v>
          </cell>
          <cell r="B392">
            <v>39720</v>
          </cell>
          <cell r="C392" t="str">
            <v>Past</v>
          </cell>
          <cell r="D392">
            <v>43.92</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43.92</v>
          </cell>
          <cell r="Q392">
            <v>9.7914779999999997</v>
          </cell>
          <cell r="R392" t="e">
            <v>#N/A</v>
          </cell>
        </row>
        <row r="393">
          <cell r="A393">
            <v>39721</v>
          </cell>
          <cell r="B393">
            <v>39721</v>
          </cell>
          <cell r="C393" t="str">
            <v>Past</v>
          </cell>
          <cell r="D393">
            <v>44.03</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44.03</v>
          </cell>
          <cell r="Q393">
            <v>8.43872</v>
          </cell>
          <cell r="R393" t="e">
            <v>#N/A</v>
          </cell>
        </row>
        <row r="394">
          <cell r="A394">
            <v>39722</v>
          </cell>
          <cell r="B394">
            <v>39722</v>
          </cell>
          <cell r="C394" t="str">
            <v>Past</v>
          </cell>
          <cell r="D394">
            <v>43.69</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43.69</v>
          </cell>
          <cell r="Q394">
            <v>6.3403209999999994</v>
          </cell>
          <cell r="R394" t="e">
            <v>#N/A</v>
          </cell>
        </row>
        <row r="395">
          <cell r="A395">
            <v>39723</v>
          </cell>
          <cell r="B395">
            <v>39723</v>
          </cell>
          <cell r="C395" t="str">
            <v>Past</v>
          </cell>
          <cell r="D395">
            <v>42.55</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42.55</v>
          </cell>
          <cell r="Q395">
            <v>6.5659789999999996</v>
          </cell>
          <cell r="R395" t="e">
            <v>#N/A</v>
          </cell>
        </row>
        <row r="396">
          <cell r="A396">
            <v>39724</v>
          </cell>
          <cell r="B396">
            <v>39724</v>
          </cell>
          <cell r="C396" t="str">
            <v>Past</v>
          </cell>
          <cell r="D396">
            <v>41.31</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41.31</v>
          </cell>
          <cell r="Q396">
            <v>9.4462289999999989</v>
          </cell>
          <cell r="R396" t="e">
            <v>#N/A</v>
          </cell>
        </row>
        <row r="397">
          <cell r="A397">
            <v>39727</v>
          </cell>
          <cell r="B397">
            <v>39727</v>
          </cell>
          <cell r="C397" t="str">
            <v>Past</v>
          </cell>
          <cell r="D397">
            <v>38.42</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38.42</v>
          </cell>
          <cell r="Q397">
            <v>18.989150000000002</v>
          </cell>
          <cell r="R397" t="e">
            <v>#N/A</v>
          </cell>
        </row>
        <row r="398">
          <cell r="A398">
            <v>39728</v>
          </cell>
          <cell r="B398">
            <v>39728</v>
          </cell>
          <cell r="C398" t="str">
            <v>Past</v>
          </cell>
          <cell r="D398">
            <v>38.61</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38.61</v>
          </cell>
          <cell r="Q398">
            <v>12.466280000000001</v>
          </cell>
          <cell r="R398" t="e">
            <v>#N/A</v>
          </cell>
        </row>
        <row r="399">
          <cell r="A399">
            <v>39729</v>
          </cell>
          <cell r="B399">
            <v>39729</v>
          </cell>
          <cell r="C399" t="str">
            <v>Past</v>
          </cell>
          <cell r="D399">
            <v>37.9</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37.9</v>
          </cell>
          <cell r="Q399">
            <v>8.946200000000001</v>
          </cell>
          <cell r="R399" t="e">
            <v>#N/A</v>
          </cell>
        </row>
        <row r="400">
          <cell r="A400">
            <v>39730</v>
          </cell>
          <cell r="B400">
            <v>39730</v>
          </cell>
          <cell r="C400" t="str">
            <v>Past</v>
          </cell>
          <cell r="D400">
            <v>33.22</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33.22</v>
          </cell>
          <cell r="Q400">
            <v>13.833860000000001</v>
          </cell>
          <cell r="R400" t="e">
            <v>#N/A</v>
          </cell>
        </row>
        <row r="401">
          <cell r="A401">
            <v>39731</v>
          </cell>
          <cell r="B401">
            <v>39731</v>
          </cell>
          <cell r="C401" t="str">
            <v>Past</v>
          </cell>
          <cell r="D401">
            <v>31.36</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31.36</v>
          </cell>
          <cell r="Q401">
            <v>15.866700000000002</v>
          </cell>
          <cell r="R401" t="e">
            <v>#N/A</v>
          </cell>
        </row>
        <row r="402">
          <cell r="A402">
            <v>39734</v>
          </cell>
          <cell r="B402">
            <v>39734</v>
          </cell>
          <cell r="C402" t="str">
            <v>Past</v>
          </cell>
          <cell r="D402">
            <v>35.86</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35.86</v>
          </cell>
          <cell r="Q402">
            <v>8.2861390000000004</v>
          </cell>
          <cell r="R402" t="e">
            <v>#N/A</v>
          </cell>
        </row>
        <row r="403">
          <cell r="A403">
            <v>39735</v>
          </cell>
          <cell r="B403">
            <v>39735</v>
          </cell>
          <cell r="C403" t="str">
            <v>Past</v>
          </cell>
          <cell r="D403">
            <v>34.94</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34.94</v>
          </cell>
          <cell r="Q403">
            <v>10.643370000000001</v>
          </cell>
          <cell r="R403" t="e">
            <v>#N/A</v>
          </cell>
        </row>
        <row r="404">
          <cell r="A404">
            <v>39736</v>
          </cell>
          <cell r="B404">
            <v>39736</v>
          </cell>
          <cell r="C404" t="str">
            <v>Past</v>
          </cell>
          <cell r="D404">
            <v>32.54</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32.54</v>
          </cell>
          <cell r="Q404">
            <v>10.602690000000001</v>
          </cell>
          <cell r="R404" t="e">
            <v>#N/A</v>
          </cell>
        </row>
        <row r="405">
          <cell r="A405">
            <v>39737</v>
          </cell>
          <cell r="B405">
            <v>39737</v>
          </cell>
          <cell r="C405" t="str">
            <v>Past</v>
          </cell>
          <cell r="D405">
            <v>34.380000000000003</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34.380000000000003</v>
          </cell>
          <cell r="Q405">
            <v>10.297870000000001</v>
          </cell>
          <cell r="R405" t="e">
            <v>#N/A</v>
          </cell>
        </row>
        <row r="406">
          <cell r="A406">
            <v>39738</v>
          </cell>
          <cell r="B406">
            <v>39738</v>
          </cell>
          <cell r="C406" t="str">
            <v>Past</v>
          </cell>
          <cell r="D406">
            <v>32.200000000000003</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32.200000000000003</v>
          </cell>
          <cell r="Q406">
            <v>9.1611349999999998</v>
          </cell>
          <cell r="R406" t="e">
            <v>#N/A</v>
          </cell>
        </row>
        <row r="407">
          <cell r="A407">
            <v>39741</v>
          </cell>
          <cell r="B407">
            <v>39741</v>
          </cell>
          <cell r="C407" t="str">
            <v>Past</v>
          </cell>
          <cell r="D407">
            <v>34.1</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34.1</v>
          </cell>
          <cell r="Q407">
            <v>9.0492119999999989</v>
          </cell>
          <cell r="R407" t="e">
            <v>#N/A</v>
          </cell>
        </row>
        <row r="408">
          <cell r="A408">
            <v>39742</v>
          </cell>
          <cell r="B408">
            <v>39742</v>
          </cell>
          <cell r="C408" t="str">
            <v>Past</v>
          </cell>
          <cell r="D408">
            <v>33.68</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33.68</v>
          </cell>
          <cell r="Q408">
            <v>7.7329600000000003</v>
          </cell>
          <cell r="R408" t="e">
            <v>#N/A</v>
          </cell>
        </row>
        <row r="409">
          <cell r="A409">
            <v>39743</v>
          </cell>
          <cell r="B409">
            <v>39743</v>
          </cell>
          <cell r="C409" t="str">
            <v>Past</v>
          </cell>
          <cell r="D409">
            <v>32.11</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32.11</v>
          </cell>
          <cell r="Q409">
            <v>6.6719949999999999</v>
          </cell>
          <cell r="R409" t="e">
            <v>#N/A</v>
          </cell>
        </row>
        <row r="410">
          <cell r="A410">
            <v>39744</v>
          </cell>
          <cell r="B410">
            <v>39744</v>
          </cell>
          <cell r="C410" t="str">
            <v>Past</v>
          </cell>
          <cell r="D410">
            <v>33.479999999999997</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33.479999999999997</v>
          </cell>
          <cell r="Q410">
            <v>8.7292550000000002</v>
          </cell>
          <cell r="R410" t="e">
            <v>#N/A</v>
          </cell>
        </row>
        <row r="411">
          <cell r="A411">
            <v>39745</v>
          </cell>
          <cell r="B411">
            <v>39745</v>
          </cell>
          <cell r="C411" t="str">
            <v>Past</v>
          </cell>
          <cell r="D411">
            <v>31.73</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31.73</v>
          </cell>
          <cell r="Q411">
            <v>7.2242579999999998</v>
          </cell>
          <cell r="R411" t="e">
            <v>#N/A</v>
          </cell>
        </row>
        <row r="412">
          <cell r="A412">
            <v>39748</v>
          </cell>
          <cell r="B412">
            <v>39748</v>
          </cell>
          <cell r="C412" t="str">
            <v>Past</v>
          </cell>
          <cell r="D412">
            <v>30.4</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30.4</v>
          </cell>
          <cell r="Q412">
            <v>7.5269170000000001</v>
          </cell>
          <cell r="R412" t="e">
            <v>#N/A</v>
          </cell>
        </row>
        <row r="413">
          <cell r="A413">
            <v>39749</v>
          </cell>
          <cell r="B413">
            <v>39749</v>
          </cell>
          <cell r="C413" t="str">
            <v>Past</v>
          </cell>
          <cell r="D413">
            <v>33.380000000000003</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33.380000000000003</v>
          </cell>
          <cell r="Q413">
            <v>8.3281400000000012</v>
          </cell>
          <cell r="R413" t="e">
            <v>#N/A</v>
          </cell>
        </row>
        <row r="414">
          <cell r="A414">
            <v>39750</v>
          </cell>
          <cell r="B414">
            <v>39750</v>
          </cell>
          <cell r="C414" t="str">
            <v>Past</v>
          </cell>
          <cell r="D414">
            <v>32.03</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32.03</v>
          </cell>
          <cell r="Q414">
            <v>9.1801659999999998</v>
          </cell>
          <cell r="R414" t="e">
            <v>#N/A</v>
          </cell>
        </row>
        <row r="415">
          <cell r="A415">
            <v>39751</v>
          </cell>
          <cell r="B415">
            <v>39751</v>
          </cell>
          <cell r="C415" t="str">
            <v>Past</v>
          </cell>
          <cell r="D415">
            <v>32.83</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32.83</v>
          </cell>
          <cell r="Q415">
            <v>7.3632809999999997</v>
          </cell>
          <cell r="R415" t="e">
            <v>#N/A</v>
          </cell>
        </row>
        <row r="416">
          <cell r="A416">
            <v>39752</v>
          </cell>
          <cell r="B416">
            <v>39752</v>
          </cell>
          <cell r="C416" t="str">
            <v>Past</v>
          </cell>
          <cell r="D416">
            <v>33.82</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33.82</v>
          </cell>
          <cell r="Q416">
            <v>6.8747219999999993</v>
          </cell>
          <cell r="R416" t="e">
            <v>#N/A</v>
          </cell>
        </row>
        <row r="417">
          <cell r="A417">
            <v>39755</v>
          </cell>
          <cell r="B417">
            <v>39755</v>
          </cell>
          <cell r="C417" t="str">
            <v>Past</v>
          </cell>
          <cell r="D417">
            <v>34.01</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34.01</v>
          </cell>
          <cell r="Q417">
            <v>4.8018919999999996</v>
          </cell>
          <cell r="R417" t="e">
            <v>#N/A</v>
          </cell>
        </row>
        <row r="418">
          <cell r="A418">
            <v>39756</v>
          </cell>
          <cell r="B418">
            <v>39756</v>
          </cell>
          <cell r="C418" t="str">
            <v>Past</v>
          </cell>
          <cell r="D418">
            <v>35.15</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35.15</v>
          </cell>
          <cell r="Q418">
            <v>7.7893819999999998</v>
          </cell>
          <cell r="R418" t="e">
            <v>#N/A</v>
          </cell>
        </row>
        <row r="419">
          <cell r="A419">
            <v>39757</v>
          </cell>
          <cell r="B419">
            <v>39757</v>
          </cell>
          <cell r="C419" t="str">
            <v>Past</v>
          </cell>
          <cell r="D419">
            <v>33.76</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33.76</v>
          </cell>
          <cell r="Q419">
            <v>5.8583129999999999</v>
          </cell>
          <cell r="R419" t="e">
            <v>#N/A</v>
          </cell>
        </row>
        <row r="420">
          <cell r="A420">
            <v>39758</v>
          </cell>
          <cell r="B420">
            <v>39758</v>
          </cell>
          <cell r="C420" t="str">
            <v>Past</v>
          </cell>
          <cell r="D420">
            <v>32.869999999999997</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32.869999999999997</v>
          </cell>
          <cell r="Q420">
            <v>6.4474269999999994</v>
          </cell>
          <cell r="R420" t="e">
            <v>#N/A</v>
          </cell>
        </row>
        <row r="421">
          <cell r="A421">
            <v>39759</v>
          </cell>
          <cell r="B421">
            <v>39759</v>
          </cell>
          <cell r="C421" t="str">
            <v>Past</v>
          </cell>
          <cell r="D421">
            <v>34.200000000000003</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34.200000000000003</v>
          </cell>
          <cell r="Q421">
            <v>4.023854</v>
          </cell>
          <cell r="R421" t="e">
            <v>#N/A</v>
          </cell>
        </row>
        <row r="422">
          <cell r="A422">
            <v>39762</v>
          </cell>
          <cell r="B422">
            <v>39762</v>
          </cell>
          <cell r="C422" t="str">
            <v>Past</v>
          </cell>
          <cell r="D422">
            <v>34.869999999999997</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34.869999999999997</v>
          </cell>
          <cell r="Q422">
            <v>5.9272800000000005</v>
          </cell>
          <cell r="R422" t="e">
            <v>#N/A</v>
          </cell>
        </row>
        <row r="423">
          <cell r="A423">
            <v>39763</v>
          </cell>
          <cell r="B423">
            <v>39763</v>
          </cell>
          <cell r="C423" t="str">
            <v>Past</v>
          </cell>
          <cell r="D423">
            <v>33.97</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33.97</v>
          </cell>
          <cell r="Q423">
            <v>4.9625000000000004</v>
          </cell>
          <cell r="R423" t="e">
            <v>#N/A</v>
          </cell>
        </row>
        <row r="424">
          <cell r="A424">
            <v>39764</v>
          </cell>
          <cell r="B424">
            <v>39764</v>
          </cell>
          <cell r="C424" t="str">
            <v>Past</v>
          </cell>
          <cell r="D424">
            <v>31.99</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31.99</v>
          </cell>
          <cell r="Q424">
            <v>6.1608130000000001</v>
          </cell>
          <cell r="R424" t="e">
            <v>#N/A</v>
          </cell>
        </row>
        <row r="425">
          <cell r="A425">
            <v>39765</v>
          </cell>
          <cell r="B425">
            <v>39765</v>
          </cell>
          <cell r="C425" t="str">
            <v>Past</v>
          </cell>
          <cell r="D425">
            <v>34.119999999999997</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34.119999999999997</v>
          </cell>
          <cell r="Q425">
            <v>13.039400000000001</v>
          </cell>
          <cell r="R425" t="e">
            <v>#N/A</v>
          </cell>
        </row>
        <row r="426">
          <cell r="A426">
            <v>39766</v>
          </cell>
          <cell r="B426">
            <v>39766</v>
          </cell>
          <cell r="C426" t="str">
            <v>Past</v>
          </cell>
          <cell r="D426">
            <v>32.06</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32.06</v>
          </cell>
          <cell r="Q426">
            <v>8.1136920000000003</v>
          </cell>
          <cell r="R426" t="e">
            <v>#N/A</v>
          </cell>
        </row>
        <row r="427">
          <cell r="A427">
            <v>39769</v>
          </cell>
          <cell r="B427">
            <v>39769</v>
          </cell>
          <cell r="C427" t="str">
            <v>Past</v>
          </cell>
          <cell r="D427">
            <v>32.130000000000003</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32.130000000000003</v>
          </cell>
          <cell r="Q427">
            <v>6.4393359999999999</v>
          </cell>
          <cell r="R427" t="e">
            <v>#N/A</v>
          </cell>
        </row>
        <row r="428">
          <cell r="A428">
            <v>39770</v>
          </cell>
          <cell r="B428">
            <v>39770</v>
          </cell>
          <cell r="C428" t="str">
            <v>Past</v>
          </cell>
          <cell r="D428">
            <v>33.340000000000003</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33.340000000000003</v>
          </cell>
          <cell r="Q428">
            <v>6.5812459999999993</v>
          </cell>
          <cell r="R428" t="e">
            <v>#N/A</v>
          </cell>
        </row>
        <row r="429">
          <cell r="A429">
            <v>39771</v>
          </cell>
          <cell r="B429">
            <v>39771</v>
          </cell>
          <cell r="C429" t="str">
            <v>Past</v>
          </cell>
          <cell r="D429">
            <v>31.41</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31.41</v>
          </cell>
          <cell r="Q429">
            <v>7.1641959999999996</v>
          </cell>
          <cell r="R429" t="e">
            <v>#N/A</v>
          </cell>
        </row>
        <row r="430">
          <cell r="A430">
            <v>39772</v>
          </cell>
          <cell r="B430">
            <v>39772</v>
          </cell>
          <cell r="C430" t="str">
            <v>Past</v>
          </cell>
          <cell r="D430">
            <v>29.91</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29.91</v>
          </cell>
          <cell r="Q430">
            <v>7.9666109999999994</v>
          </cell>
          <cell r="R430" t="e">
            <v>#N/A</v>
          </cell>
        </row>
        <row r="431">
          <cell r="A431">
            <v>39773</v>
          </cell>
          <cell r="B431">
            <v>39773</v>
          </cell>
          <cell r="C431" t="str">
            <v>Past</v>
          </cell>
          <cell r="D431">
            <v>30.43</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30.43</v>
          </cell>
          <cell r="Q431">
            <v>9.9475600000000011</v>
          </cell>
          <cell r="R431" t="e">
            <v>#N/A</v>
          </cell>
        </row>
        <row r="432">
          <cell r="A432">
            <v>39776</v>
          </cell>
          <cell r="B432">
            <v>39776</v>
          </cell>
          <cell r="C432" t="str">
            <v>Past</v>
          </cell>
          <cell r="D432">
            <v>32.08</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32.08</v>
          </cell>
          <cell r="Q432">
            <v>7.845186</v>
          </cell>
          <cell r="R432" t="e">
            <v>#N/A</v>
          </cell>
        </row>
        <row r="433">
          <cell r="A433">
            <v>39777</v>
          </cell>
          <cell r="B433">
            <v>39777</v>
          </cell>
          <cell r="C433" t="str">
            <v>Past</v>
          </cell>
          <cell r="D433">
            <v>32.799999999999997</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32.799999999999997</v>
          </cell>
          <cell r="Q433">
            <v>6.4954510000000001</v>
          </cell>
          <cell r="R433" t="e">
            <v>#N/A</v>
          </cell>
        </row>
        <row r="434">
          <cell r="A434">
            <v>39778</v>
          </cell>
          <cell r="B434">
            <v>39778</v>
          </cell>
          <cell r="C434" t="str">
            <v>Past</v>
          </cell>
          <cell r="D434">
            <v>32.869999999999997</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32.869999999999997</v>
          </cell>
          <cell r="Q434">
            <v>5.8867069999999995</v>
          </cell>
          <cell r="R434" t="e">
            <v>#N/A</v>
          </cell>
        </row>
        <row r="435">
          <cell r="A435">
            <v>39780</v>
          </cell>
          <cell r="B435">
            <v>39780</v>
          </cell>
          <cell r="C435" t="str">
            <v>Past</v>
          </cell>
          <cell r="D435">
            <v>34.15</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34.15</v>
          </cell>
          <cell r="Q435">
            <v>2.7362479999999998</v>
          </cell>
          <cell r="R435" t="e">
            <v>#N/A</v>
          </cell>
        </row>
        <row r="436">
          <cell r="A436">
            <v>39783</v>
          </cell>
          <cell r="B436">
            <v>39783</v>
          </cell>
          <cell r="C436" t="str">
            <v>Past</v>
          </cell>
          <cell r="D436">
            <v>31.12</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31.12</v>
          </cell>
          <cell r="Q436">
            <v>6.3300539999999996</v>
          </cell>
          <cell r="R436" t="e">
            <v>#N/A</v>
          </cell>
        </row>
        <row r="437">
          <cell r="A437">
            <v>39784</v>
          </cell>
          <cell r="B437">
            <v>39784</v>
          </cell>
          <cell r="C437" t="str">
            <v>Past</v>
          </cell>
          <cell r="D437">
            <v>33.19</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33.19</v>
          </cell>
          <cell r="Q437">
            <v>6.817895</v>
          </cell>
          <cell r="R437" t="e">
            <v>#N/A</v>
          </cell>
        </row>
        <row r="438">
          <cell r="A438">
            <v>39785</v>
          </cell>
          <cell r="B438">
            <v>39785</v>
          </cell>
          <cell r="C438" t="str">
            <v>Past</v>
          </cell>
          <cell r="D438">
            <v>34.97</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34.97</v>
          </cell>
          <cell r="Q438">
            <v>7.7707500000000005</v>
          </cell>
          <cell r="R438" t="e">
            <v>#N/A</v>
          </cell>
        </row>
        <row r="439">
          <cell r="A439">
            <v>39786</v>
          </cell>
          <cell r="B439">
            <v>39786</v>
          </cell>
          <cell r="C439" t="str">
            <v>Past</v>
          </cell>
          <cell r="D439">
            <v>33.89</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33.89</v>
          </cell>
          <cell r="Q439">
            <v>6.8564449999999999</v>
          </cell>
          <cell r="R439" t="e">
            <v>#N/A</v>
          </cell>
        </row>
        <row r="440">
          <cell r="A440">
            <v>39787</v>
          </cell>
          <cell r="B440">
            <v>39787</v>
          </cell>
          <cell r="C440" t="str">
            <v>Past</v>
          </cell>
          <cell r="D440">
            <v>34.94</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34.94</v>
          </cell>
          <cell r="Q440">
            <v>7.5709859999999995</v>
          </cell>
          <cell r="R440" t="e">
            <v>#N/A</v>
          </cell>
        </row>
        <row r="441">
          <cell r="A441">
            <v>39790</v>
          </cell>
          <cell r="B441">
            <v>39790</v>
          </cell>
          <cell r="C441" t="str">
            <v>Past</v>
          </cell>
          <cell r="D441">
            <v>34.86</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34.86</v>
          </cell>
          <cell r="Q441">
            <v>6.8849669999999996</v>
          </cell>
          <cell r="R441" t="e">
            <v>#N/A</v>
          </cell>
        </row>
        <row r="442">
          <cell r="A442">
            <v>39791</v>
          </cell>
          <cell r="B442">
            <v>39791</v>
          </cell>
          <cell r="C442" t="str">
            <v>Past</v>
          </cell>
          <cell r="D442">
            <v>34.57</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34.57</v>
          </cell>
          <cell r="Q442">
            <v>4.4716059999999995</v>
          </cell>
          <cell r="R442" t="e">
            <v>#N/A</v>
          </cell>
        </row>
        <row r="443">
          <cell r="A443">
            <v>39792</v>
          </cell>
          <cell r="B443">
            <v>39792</v>
          </cell>
          <cell r="C443" t="str">
            <v>Past</v>
          </cell>
          <cell r="D443">
            <v>35.01</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35.01</v>
          </cell>
          <cell r="Q443">
            <v>4.8541800000000004</v>
          </cell>
          <cell r="R443" t="e">
            <v>#N/A</v>
          </cell>
        </row>
        <row r="444">
          <cell r="A444">
            <v>39793</v>
          </cell>
          <cell r="B444">
            <v>39793</v>
          </cell>
          <cell r="C444" t="str">
            <v>Past</v>
          </cell>
          <cell r="D444">
            <v>35.619999999999997</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35.619999999999997</v>
          </cell>
          <cell r="Q444">
            <v>8.0255299999999998</v>
          </cell>
          <cell r="R444" t="e">
            <v>#N/A</v>
          </cell>
        </row>
        <row r="445">
          <cell r="A445">
            <v>39794</v>
          </cell>
          <cell r="B445">
            <v>39794</v>
          </cell>
          <cell r="C445" t="str">
            <v>Past</v>
          </cell>
          <cell r="D445">
            <v>36.409999999999997</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36.409999999999997</v>
          </cell>
          <cell r="Q445">
            <v>6.6373489999999995</v>
          </cell>
          <cell r="R445" t="e">
            <v>#N/A</v>
          </cell>
        </row>
        <row r="446">
          <cell r="A446">
            <v>39797</v>
          </cell>
          <cell r="B446">
            <v>39797</v>
          </cell>
          <cell r="C446" t="str">
            <v>Past</v>
          </cell>
          <cell r="D446">
            <v>35.32</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35.32</v>
          </cell>
          <cell r="Q446">
            <v>5.7284609999999994</v>
          </cell>
          <cell r="R446" t="e">
            <v>#N/A</v>
          </cell>
        </row>
        <row r="447">
          <cell r="A447">
            <v>39798</v>
          </cell>
          <cell r="B447">
            <v>39798</v>
          </cell>
          <cell r="C447" t="str">
            <v>Past</v>
          </cell>
          <cell r="D447">
            <v>37.21</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37.21</v>
          </cell>
          <cell r="Q447">
            <v>6.1563619999999997</v>
          </cell>
          <cell r="R447" t="e">
            <v>#N/A</v>
          </cell>
        </row>
        <row r="448">
          <cell r="A448">
            <v>39799</v>
          </cell>
          <cell r="B448">
            <v>39799</v>
          </cell>
          <cell r="C448" t="str">
            <v>Past</v>
          </cell>
          <cell r="D448">
            <v>36.94</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36.94</v>
          </cell>
          <cell r="Q448">
            <v>5.2769369999999993</v>
          </cell>
          <cell r="R448" t="e">
            <v>#N/A</v>
          </cell>
        </row>
        <row r="449">
          <cell r="A449">
            <v>39800</v>
          </cell>
          <cell r="B449">
            <v>39800</v>
          </cell>
          <cell r="C449" t="str">
            <v>Past</v>
          </cell>
          <cell r="D449">
            <v>36.869999999999997</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36.869999999999997</v>
          </cell>
          <cell r="Q449">
            <v>6.6499489999999994</v>
          </cell>
          <cell r="R449" t="e">
            <v>#N/A</v>
          </cell>
        </row>
        <row r="450">
          <cell r="A450">
            <v>39801</v>
          </cell>
          <cell r="B450">
            <v>39801</v>
          </cell>
          <cell r="C450" t="str">
            <v>Past</v>
          </cell>
          <cell r="D450">
            <v>38.26</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38.26</v>
          </cell>
          <cell r="Q450">
            <v>10.252540000000002</v>
          </cell>
          <cell r="R450" t="e">
            <v>#N/A</v>
          </cell>
        </row>
        <row r="451">
          <cell r="A451">
            <v>39804</v>
          </cell>
          <cell r="B451">
            <v>39804</v>
          </cell>
          <cell r="C451" t="str">
            <v>Past</v>
          </cell>
          <cell r="D451">
            <v>37.340000000000003</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37.340000000000003</v>
          </cell>
          <cell r="Q451">
            <v>5.0688139999999997</v>
          </cell>
          <cell r="R451" t="e">
            <v>#N/A</v>
          </cell>
        </row>
        <row r="452">
          <cell r="A452">
            <v>39805</v>
          </cell>
          <cell r="B452">
            <v>39805</v>
          </cell>
          <cell r="C452" t="str">
            <v>Past</v>
          </cell>
          <cell r="D452">
            <v>37.49</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37.49</v>
          </cell>
          <cell r="Q452">
            <v>4.2378779999999994</v>
          </cell>
          <cell r="R452" t="e">
            <v>#N/A</v>
          </cell>
        </row>
        <row r="453">
          <cell r="A453">
            <v>39806</v>
          </cell>
          <cell r="B453">
            <v>39806</v>
          </cell>
          <cell r="C453" t="str">
            <v>Past</v>
          </cell>
          <cell r="D453">
            <v>37.799999999999997</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37.799999999999997</v>
          </cell>
          <cell r="Q453">
            <v>1.2376589999999998</v>
          </cell>
          <cell r="R453" t="e">
            <v>#N/A</v>
          </cell>
        </row>
        <row r="454">
          <cell r="A454">
            <v>39808</v>
          </cell>
          <cell r="B454">
            <v>39808</v>
          </cell>
          <cell r="C454" t="str">
            <v>Past</v>
          </cell>
          <cell r="D454">
            <v>37.979999999999997</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37.979999999999997</v>
          </cell>
          <cell r="Q454">
            <v>1.6140219999999998</v>
          </cell>
          <cell r="R454" t="e">
            <v>#N/A</v>
          </cell>
        </row>
        <row r="455">
          <cell r="A455">
            <v>39811</v>
          </cell>
          <cell r="B455">
            <v>39811</v>
          </cell>
          <cell r="C455" t="str">
            <v>Past</v>
          </cell>
          <cell r="D455">
            <v>38.479999999999997</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38.479999999999997</v>
          </cell>
          <cell r="Q455">
            <v>4.0112319999999997</v>
          </cell>
          <cell r="R455" t="e">
            <v>#N/A</v>
          </cell>
        </row>
        <row r="456">
          <cell r="A456">
            <v>39812</v>
          </cell>
          <cell r="B456">
            <v>39812</v>
          </cell>
          <cell r="C456" t="str">
            <v>Past</v>
          </cell>
          <cell r="D456">
            <v>39.67</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39.67</v>
          </cell>
          <cell r="Q456">
            <v>4.7436539999999994</v>
          </cell>
          <cell r="R456" t="e">
            <v>#N/A</v>
          </cell>
        </row>
        <row r="457">
          <cell r="A457">
            <v>39813</v>
          </cell>
          <cell r="B457">
            <v>39813</v>
          </cell>
          <cell r="C457" t="str">
            <v>Past</v>
          </cell>
          <cell r="D457">
            <v>40.270000000000003</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40.270000000000003</v>
          </cell>
          <cell r="Q457">
            <v>4.7353500000000004</v>
          </cell>
          <cell r="R457" t="e">
            <v>#N/A</v>
          </cell>
        </row>
        <row r="458">
          <cell r="A458">
            <v>39815</v>
          </cell>
          <cell r="B458">
            <v>39815</v>
          </cell>
          <cell r="C458" t="str">
            <v>Past</v>
          </cell>
          <cell r="D458">
            <v>40.57</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40.57</v>
          </cell>
          <cell r="Q458">
            <v>6.0319430000000001</v>
          </cell>
          <cell r="R458" t="e">
            <v>#N/A</v>
          </cell>
        </row>
        <row r="459">
          <cell r="A459">
            <v>39818</v>
          </cell>
          <cell r="B459">
            <v>39818</v>
          </cell>
          <cell r="C459" t="str">
            <v>Past</v>
          </cell>
          <cell r="D459">
            <v>39.46</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39.46</v>
          </cell>
          <cell r="Q459">
            <v>6.8690400000000009</v>
          </cell>
          <cell r="R459" t="e">
            <v>#N/A</v>
          </cell>
        </row>
        <row r="460">
          <cell r="A460">
            <v>39819</v>
          </cell>
          <cell r="B460">
            <v>39819</v>
          </cell>
          <cell r="C460" t="str">
            <v>Past</v>
          </cell>
          <cell r="D460">
            <v>39.57</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39.57</v>
          </cell>
          <cell r="Q460">
            <v>9.0501200000000015</v>
          </cell>
          <cell r="R460" t="e">
            <v>#N/A</v>
          </cell>
        </row>
        <row r="461">
          <cell r="A461">
            <v>39820</v>
          </cell>
          <cell r="B461">
            <v>39820</v>
          </cell>
          <cell r="C461" t="str">
            <v>Past</v>
          </cell>
          <cell r="D461">
            <v>38.619999999999997</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38.619999999999997</v>
          </cell>
          <cell r="Q461">
            <v>6.3655789999999994</v>
          </cell>
          <cell r="R461" t="e">
            <v>#N/A</v>
          </cell>
        </row>
        <row r="462">
          <cell r="A462">
            <v>39821</v>
          </cell>
          <cell r="B462">
            <v>39821</v>
          </cell>
          <cell r="C462" t="str">
            <v>Past</v>
          </cell>
          <cell r="D462">
            <v>38.81</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38.81</v>
          </cell>
          <cell r="Q462">
            <v>5.6269049999999998</v>
          </cell>
          <cell r="R462" t="e">
            <v>#N/A</v>
          </cell>
        </row>
        <row r="463">
          <cell r="A463">
            <v>39822</v>
          </cell>
          <cell r="B463">
            <v>39822</v>
          </cell>
          <cell r="C463" t="str">
            <v>Past</v>
          </cell>
          <cell r="D463">
            <v>38.479999999999997</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38.479999999999997</v>
          </cell>
          <cell r="Q463">
            <v>5.9375529999999994</v>
          </cell>
          <cell r="R463" t="e">
            <v>#N/A</v>
          </cell>
        </row>
        <row r="464">
          <cell r="A464">
            <v>39825</v>
          </cell>
          <cell r="B464">
            <v>39825</v>
          </cell>
          <cell r="C464" t="str">
            <v>Past</v>
          </cell>
          <cell r="D464">
            <v>38.130000000000003</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38.130000000000003</v>
          </cell>
          <cell r="Q464">
            <v>5.1992759999999993</v>
          </cell>
          <cell r="R464" t="e">
            <v>#N/A</v>
          </cell>
        </row>
        <row r="465">
          <cell r="A465">
            <v>39826</v>
          </cell>
          <cell r="B465">
            <v>39826</v>
          </cell>
          <cell r="C465" t="str">
            <v>Past</v>
          </cell>
          <cell r="D465">
            <v>38.520000000000003</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38.520000000000003</v>
          </cell>
          <cell r="Q465">
            <v>5.3014000000000001</v>
          </cell>
          <cell r="R465" t="e">
            <v>#N/A</v>
          </cell>
        </row>
        <row r="466">
          <cell r="A466">
            <v>39827</v>
          </cell>
          <cell r="B466">
            <v>39827</v>
          </cell>
          <cell r="C466" t="str">
            <v>Past</v>
          </cell>
          <cell r="D466">
            <v>37.47</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37.47</v>
          </cell>
          <cell r="Q466">
            <v>6.5570919999999999</v>
          </cell>
          <cell r="R466" t="e">
            <v>#N/A</v>
          </cell>
        </row>
        <row r="467">
          <cell r="A467">
            <v>39828</v>
          </cell>
          <cell r="B467">
            <v>39828</v>
          </cell>
          <cell r="C467" t="str">
            <v>Past</v>
          </cell>
          <cell r="D467">
            <v>37.549999999999997</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37.549999999999997</v>
          </cell>
          <cell r="Q467">
            <v>4.9573479999999996</v>
          </cell>
          <cell r="R467" t="e">
            <v>#N/A</v>
          </cell>
        </row>
        <row r="468">
          <cell r="A468">
            <v>39829</v>
          </cell>
          <cell r="B468">
            <v>39829</v>
          </cell>
          <cell r="C468" t="str">
            <v>Past</v>
          </cell>
          <cell r="D468">
            <v>38.130000000000003</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38.130000000000003</v>
          </cell>
          <cell r="Q468">
            <v>5.4438930000000001</v>
          </cell>
          <cell r="R468" t="e">
            <v>#N/A</v>
          </cell>
        </row>
        <row r="469">
          <cell r="A469">
            <v>39833</v>
          </cell>
          <cell r="B469">
            <v>39833</v>
          </cell>
          <cell r="C469" t="str">
            <v>Past</v>
          </cell>
          <cell r="D469">
            <v>37.39</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37.39</v>
          </cell>
          <cell r="Q469">
            <v>9.4422870000000003</v>
          </cell>
          <cell r="R469" t="e">
            <v>#N/A</v>
          </cell>
        </row>
        <row r="470">
          <cell r="A470">
            <v>39834</v>
          </cell>
          <cell r="B470">
            <v>39834</v>
          </cell>
          <cell r="C470" t="str">
            <v>Past</v>
          </cell>
          <cell r="D470">
            <v>38.24</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38.24</v>
          </cell>
          <cell r="Q470">
            <v>6.8359109999999994</v>
          </cell>
          <cell r="R470" t="e">
            <v>#N/A</v>
          </cell>
        </row>
        <row r="471">
          <cell r="A471">
            <v>39835</v>
          </cell>
          <cell r="B471">
            <v>39835</v>
          </cell>
          <cell r="C471" t="str">
            <v>Past</v>
          </cell>
          <cell r="D471">
            <v>37.799999999999997</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37.799999999999997</v>
          </cell>
          <cell r="Q471">
            <v>5.5477039999999995</v>
          </cell>
          <cell r="R471" t="e">
            <v>#N/A</v>
          </cell>
        </row>
        <row r="472">
          <cell r="A472">
            <v>39836</v>
          </cell>
          <cell r="B472">
            <v>39836</v>
          </cell>
          <cell r="C472" t="str">
            <v>Past</v>
          </cell>
          <cell r="D472">
            <v>37.42</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37.42</v>
          </cell>
          <cell r="Q472">
            <v>6.2286000000000001</v>
          </cell>
          <cell r="R472" t="e">
            <v>#N/A</v>
          </cell>
        </row>
        <row r="473">
          <cell r="A473">
            <v>39839</v>
          </cell>
          <cell r="B473">
            <v>39839</v>
          </cell>
          <cell r="C473" t="str">
            <v>Past</v>
          </cell>
          <cell r="D473">
            <v>37.57</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37.57</v>
          </cell>
          <cell r="Q473">
            <v>6.7665639999999998</v>
          </cell>
          <cell r="R473" t="e">
            <v>#N/A</v>
          </cell>
        </row>
        <row r="474">
          <cell r="A474">
            <v>39840</v>
          </cell>
          <cell r="B474">
            <v>39840</v>
          </cell>
          <cell r="C474" t="str">
            <v>Past</v>
          </cell>
          <cell r="D474">
            <v>38.61</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38.61</v>
          </cell>
          <cell r="Q474">
            <v>5.4036520000000001</v>
          </cell>
          <cell r="R474" t="e">
            <v>#N/A</v>
          </cell>
        </row>
        <row r="475">
          <cell r="A475">
            <v>39841</v>
          </cell>
          <cell r="B475">
            <v>39841</v>
          </cell>
          <cell r="C475" t="str">
            <v>Past</v>
          </cell>
          <cell r="D475">
            <v>39.090000000000003</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39.090000000000003</v>
          </cell>
          <cell r="Q475">
            <v>5.3712</v>
          </cell>
          <cell r="R475" t="e">
            <v>#N/A</v>
          </cell>
        </row>
        <row r="476">
          <cell r="A476">
            <v>39842</v>
          </cell>
          <cell r="B476">
            <v>39842</v>
          </cell>
          <cell r="C476" t="str">
            <v>Past</v>
          </cell>
          <cell r="D476">
            <v>37.97</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37.97</v>
          </cell>
          <cell r="Q476">
            <v>6.4738359999999995</v>
          </cell>
          <cell r="R476" t="e">
            <v>#N/A</v>
          </cell>
        </row>
        <row r="477">
          <cell r="A477">
            <v>39843</v>
          </cell>
          <cell r="B477">
            <v>39843</v>
          </cell>
          <cell r="C477" t="str">
            <v>Past</v>
          </cell>
          <cell r="D477">
            <v>36.82</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36.82</v>
          </cell>
          <cell r="Q477">
            <v>9.5991330000000001</v>
          </cell>
          <cell r="R477" t="e">
            <v>#N/A</v>
          </cell>
        </row>
        <row r="478">
          <cell r="A478">
            <v>39846</v>
          </cell>
          <cell r="B478">
            <v>39846</v>
          </cell>
          <cell r="C478" t="str">
            <v>Past</v>
          </cell>
          <cell r="D478">
            <v>37.270000000000003</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37.270000000000003</v>
          </cell>
          <cell r="Q478">
            <v>5.5051160000000001</v>
          </cell>
          <cell r="R478" t="e">
            <v>#N/A</v>
          </cell>
        </row>
        <row r="479">
          <cell r="A479">
            <v>39847</v>
          </cell>
          <cell r="B479">
            <v>39847</v>
          </cell>
          <cell r="C479" t="str">
            <v>Past</v>
          </cell>
          <cell r="D479">
            <v>38.69</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38.69</v>
          </cell>
          <cell r="Q479">
            <v>10.013140000000002</v>
          </cell>
          <cell r="R479" t="e">
            <v>#N/A</v>
          </cell>
        </row>
        <row r="480">
          <cell r="A480">
            <v>39848</v>
          </cell>
          <cell r="B480">
            <v>39848</v>
          </cell>
          <cell r="C480" t="str">
            <v>Past</v>
          </cell>
          <cell r="D480">
            <v>38.01</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38.01</v>
          </cell>
          <cell r="Q480">
            <v>7.4171279999999999</v>
          </cell>
          <cell r="R480" t="e">
            <v>#N/A</v>
          </cell>
        </row>
        <row r="481">
          <cell r="A481">
            <v>39849</v>
          </cell>
          <cell r="B481">
            <v>39849</v>
          </cell>
          <cell r="C481" t="str">
            <v>Past</v>
          </cell>
          <cell r="D481">
            <v>38.159999999999997</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38.159999999999997</v>
          </cell>
          <cell r="Q481">
            <v>5.0512559999999995</v>
          </cell>
          <cell r="R481" t="e">
            <v>#N/A</v>
          </cell>
        </row>
        <row r="482">
          <cell r="A482">
            <v>39850</v>
          </cell>
          <cell r="B482">
            <v>39850</v>
          </cell>
          <cell r="C482" t="str">
            <v>Past</v>
          </cell>
          <cell r="D482">
            <v>38.18</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38.18</v>
          </cell>
          <cell r="Q482">
            <v>4.9782630000000001</v>
          </cell>
          <cell r="R482" t="e">
            <v>#N/A</v>
          </cell>
        </row>
        <row r="483">
          <cell r="A483">
            <v>39853</v>
          </cell>
          <cell r="B483">
            <v>39853</v>
          </cell>
          <cell r="C483" t="str">
            <v>Past</v>
          </cell>
          <cell r="D483">
            <v>38.119999999999997</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38.119999999999997</v>
          </cell>
          <cell r="Q483">
            <v>4.1329539999999998</v>
          </cell>
          <cell r="R483" t="e">
            <v>#N/A</v>
          </cell>
        </row>
        <row r="484">
          <cell r="A484">
            <v>39854</v>
          </cell>
          <cell r="B484">
            <v>39854</v>
          </cell>
          <cell r="C484" t="str">
            <v>Past</v>
          </cell>
          <cell r="D484">
            <v>36.94</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36.94</v>
          </cell>
          <cell r="Q484">
            <v>5.7219000000000007</v>
          </cell>
          <cell r="R484" t="e">
            <v>#N/A</v>
          </cell>
        </row>
        <row r="485">
          <cell r="A485">
            <v>39855</v>
          </cell>
          <cell r="B485">
            <v>39855</v>
          </cell>
          <cell r="C485" t="str">
            <v>Past</v>
          </cell>
          <cell r="D485">
            <v>36.72</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36.72</v>
          </cell>
          <cell r="Q485">
            <v>4.2443919999999995</v>
          </cell>
          <cell r="R485" t="e">
            <v>#N/A</v>
          </cell>
        </row>
        <row r="486">
          <cell r="A486">
            <v>39856</v>
          </cell>
          <cell r="B486">
            <v>39856</v>
          </cell>
          <cell r="C486" t="str">
            <v>Past</v>
          </cell>
          <cell r="D486">
            <v>36.340000000000003</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36.340000000000003</v>
          </cell>
          <cell r="Q486">
            <v>6.0982659999999997</v>
          </cell>
          <cell r="R486" t="e">
            <v>#N/A</v>
          </cell>
        </row>
        <row r="487">
          <cell r="A487">
            <v>39857</v>
          </cell>
          <cell r="B487">
            <v>39857</v>
          </cell>
          <cell r="C487" t="str">
            <v>Past</v>
          </cell>
          <cell r="D487">
            <v>35.43</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35.43</v>
          </cell>
          <cell r="Q487">
            <v>6.0230549999999994</v>
          </cell>
          <cell r="R487" t="e">
            <v>#N/A</v>
          </cell>
        </row>
        <row r="488">
          <cell r="A488">
            <v>39861</v>
          </cell>
          <cell r="B488">
            <v>39861</v>
          </cell>
          <cell r="C488" t="str">
            <v>Past</v>
          </cell>
          <cell r="D488">
            <v>34.58</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34.58</v>
          </cell>
          <cell r="Q488">
            <v>7.4004500000000002</v>
          </cell>
          <cell r="R488" t="e">
            <v>#N/A</v>
          </cell>
        </row>
        <row r="489">
          <cell r="A489">
            <v>39862</v>
          </cell>
          <cell r="B489">
            <v>39862</v>
          </cell>
          <cell r="C489" t="str">
            <v>Past</v>
          </cell>
          <cell r="D489">
            <v>34.4</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34.4</v>
          </cell>
          <cell r="Q489">
            <v>5.9168149999999997</v>
          </cell>
          <cell r="R489" t="e">
            <v>#N/A</v>
          </cell>
        </row>
        <row r="490">
          <cell r="A490">
            <v>39863</v>
          </cell>
          <cell r="B490">
            <v>39863</v>
          </cell>
          <cell r="C490" t="str">
            <v>Past</v>
          </cell>
          <cell r="D490">
            <v>34.479999999999997</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34.479999999999997</v>
          </cell>
          <cell r="Q490">
            <v>4.241352</v>
          </cell>
          <cell r="R490" t="e">
            <v>#N/A</v>
          </cell>
        </row>
        <row r="491">
          <cell r="A491">
            <v>39864</v>
          </cell>
          <cell r="B491">
            <v>39864</v>
          </cell>
          <cell r="C491" t="str">
            <v>Past</v>
          </cell>
          <cell r="D491">
            <v>33.24</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33.24</v>
          </cell>
          <cell r="Q491">
            <v>8.3610439999999997</v>
          </cell>
          <cell r="R491" t="e">
            <v>#N/A</v>
          </cell>
        </row>
        <row r="492">
          <cell r="A492">
            <v>39867</v>
          </cell>
          <cell r="B492">
            <v>39867</v>
          </cell>
          <cell r="C492" t="str">
            <v>Past</v>
          </cell>
          <cell r="D492">
            <v>32.31</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32.31</v>
          </cell>
          <cell r="Q492">
            <v>5.5451389999999998</v>
          </cell>
          <cell r="R492" t="e">
            <v>#N/A</v>
          </cell>
        </row>
        <row r="493">
          <cell r="A493">
            <v>39868</v>
          </cell>
          <cell r="B493">
            <v>39868</v>
          </cell>
          <cell r="C493" t="str">
            <v>Past</v>
          </cell>
          <cell r="D493">
            <v>32.909999999999997</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32.909999999999997</v>
          </cell>
          <cell r="Q493">
            <v>7.3455969999999997</v>
          </cell>
          <cell r="R493" t="e">
            <v>#N/A</v>
          </cell>
        </row>
        <row r="494">
          <cell r="A494">
            <v>39869</v>
          </cell>
          <cell r="B494">
            <v>39869</v>
          </cell>
          <cell r="C494" t="str">
            <v>Past</v>
          </cell>
          <cell r="D494">
            <v>32.56</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32.56</v>
          </cell>
          <cell r="Q494">
            <v>6.9441649999999999</v>
          </cell>
          <cell r="R494" t="e">
            <v>#N/A</v>
          </cell>
        </row>
        <row r="495">
          <cell r="A495">
            <v>39870</v>
          </cell>
          <cell r="B495">
            <v>39870</v>
          </cell>
          <cell r="C495" t="str">
            <v>Past</v>
          </cell>
          <cell r="D495">
            <v>31.04</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31.04</v>
          </cell>
          <cell r="Q495">
            <v>12.1358</v>
          </cell>
          <cell r="R495" t="e">
            <v>#N/A</v>
          </cell>
        </row>
        <row r="496">
          <cell r="A496">
            <v>39871</v>
          </cell>
          <cell r="B496">
            <v>39871</v>
          </cell>
          <cell r="C496" t="str">
            <v>Past</v>
          </cell>
          <cell r="D496">
            <v>29.38</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29.38</v>
          </cell>
          <cell r="Q496">
            <v>9.5235319999999994</v>
          </cell>
          <cell r="R496" t="e">
            <v>#N/A</v>
          </cell>
        </row>
        <row r="497">
          <cell r="A497">
            <v>39874</v>
          </cell>
          <cell r="B497">
            <v>39874</v>
          </cell>
          <cell r="C497" t="str">
            <v>Past</v>
          </cell>
          <cell r="D497">
            <v>27.75</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27.75</v>
          </cell>
          <cell r="Q497">
            <v>13.436470000000002</v>
          </cell>
          <cell r="R497" t="e">
            <v>#N/A</v>
          </cell>
        </row>
        <row r="498">
          <cell r="A498">
            <v>39875</v>
          </cell>
          <cell r="B498">
            <v>39875</v>
          </cell>
          <cell r="C498" t="str">
            <v>Past</v>
          </cell>
          <cell r="D498">
            <v>27.49</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27.49</v>
          </cell>
          <cell r="Q498">
            <v>9.490162999999999</v>
          </cell>
          <cell r="R498" t="e">
            <v>#N/A</v>
          </cell>
        </row>
        <row r="499">
          <cell r="A499">
            <v>39876</v>
          </cell>
          <cell r="B499">
            <v>39876</v>
          </cell>
          <cell r="C499" t="str">
            <v>Past</v>
          </cell>
          <cell r="D499">
            <v>28.5</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28.5</v>
          </cell>
          <cell r="Q499">
            <v>8.8650219999999997</v>
          </cell>
          <cell r="R499" t="e">
            <v>#N/A</v>
          </cell>
        </row>
        <row r="500">
          <cell r="A500">
            <v>39877</v>
          </cell>
          <cell r="B500">
            <v>39877</v>
          </cell>
          <cell r="C500" t="str">
            <v>Past</v>
          </cell>
          <cell r="D500">
            <v>27.47</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27.47</v>
          </cell>
          <cell r="Q500">
            <v>9.0288579999999996</v>
          </cell>
          <cell r="R500" t="e">
            <v>#N/A</v>
          </cell>
        </row>
        <row r="501">
          <cell r="A501">
            <v>39878</v>
          </cell>
          <cell r="B501">
            <v>39878</v>
          </cell>
          <cell r="C501" t="str">
            <v>Past</v>
          </cell>
          <cell r="D501">
            <v>27.98</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27.98</v>
          </cell>
          <cell r="Q501">
            <v>8.7001270000000002</v>
          </cell>
          <cell r="R501" t="e">
            <v>#N/A</v>
          </cell>
        </row>
        <row r="502">
          <cell r="A502">
            <v>39881</v>
          </cell>
          <cell r="B502">
            <v>39881</v>
          </cell>
          <cell r="C502" t="str">
            <v>Past</v>
          </cell>
          <cell r="D502">
            <v>27.97</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27.97</v>
          </cell>
          <cell r="Q502">
            <v>8.6357489999999988</v>
          </cell>
          <cell r="R502" t="e">
            <v>#N/A</v>
          </cell>
        </row>
        <row r="503">
          <cell r="A503">
            <v>39882</v>
          </cell>
          <cell r="B503">
            <v>39882</v>
          </cell>
          <cell r="C503" t="str">
            <v>Past</v>
          </cell>
          <cell r="D503">
            <v>29.72</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29.72</v>
          </cell>
          <cell r="Q503">
            <v>10.124770000000002</v>
          </cell>
          <cell r="R503" t="e">
            <v>#N/A</v>
          </cell>
        </row>
        <row r="504">
          <cell r="A504">
            <v>39883</v>
          </cell>
          <cell r="B504">
            <v>39883</v>
          </cell>
          <cell r="C504" t="str">
            <v>Past</v>
          </cell>
          <cell r="D504">
            <v>28.85</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28.85</v>
          </cell>
          <cell r="Q504">
            <v>9.624606</v>
          </cell>
          <cell r="R504" t="e">
            <v>#N/A</v>
          </cell>
        </row>
        <row r="505">
          <cell r="A505">
            <v>39884</v>
          </cell>
          <cell r="B505">
            <v>39884</v>
          </cell>
          <cell r="C505" t="str">
            <v>Past</v>
          </cell>
          <cell r="D505">
            <v>30.03</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30.03</v>
          </cell>
          <cell r="Q505">
            <v>6.3600959999999995</v>
          </cell>
          <cell r="R505" t="e">
            <v>#N/A</v>
          </cell>
        </row>
        <row r="506">
          <cell r="A506">
            <v>39885</v>
          </cell>
          <cell r="B506">
            <v>39885</v>
          </cell>
          <cell r="C506" t="str">
            <v>Past</v>
          </cell>
          <cell r="D506">
            <v>30.64</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30.64</v>
          </cell>
          <cell r="Q506">
            <v>6.790419</v>
          </cell>
          <cell r="R506" t="e">
            <v>#N/A</v>
          </cell>
        </row>
        <row r="507">
          <cell r="A507">
            <v>39888</v>
          </cell>
          <cell r="B507">
            <v>39888</v>
          </cell>
          <cell r="C507" t="str">
            <v>Past</v>
          </cell>
          <cell r="D507">
            <v>30.81</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30.81</v>
          </cell>
          <cell r="Q507">
            <v>6.6244000000000005</v>
          </cell>
          <cell r="R507" t="e">
            <v>#N/A</v>
          </cell>
        </row>
        <row r="508">
          <cell r="A508">
            <v>39889</v>
          </cell>
          <cell r="B508">
            <v>39889</v>
          </cell>
          <cell r="C508" t="str">
            <v>Past</v>
          </cell>
          <cell r="D508">
            <v>31.76</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31.76</v>
          </cell>
          <cell r="Q508">
            <v>5.0318000000000005</v>
          </cell>
          <cell r="R508" t="e">
            <v>#N/A</v>
          </cell>
        </row>
        <row r="509">
          <cell r="A509">
            <v>39890</v>
          </cell>
          <cell r="B509">
            <v>39890</v>
          </cell>
          <cell r="C509" t="str">
            <v>Past</v>
          </cell>
          <cell r="D509">
            <v>32.5</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32.5</v>
          </cell>
          <cell r="Q509">
            <v>6.5189179999999993</v>
          </cell>
          <cell r="R509" t="e">
            <v>#N/A</v>
          </cell>
        </row>
        <row r="510">
          <cell r="A510">
            <v>39891</v>
          </cell>
          <cell r="B510">
            <v>39891</v>
          </cell>
          <cell r="C510" t="str">
            <v>Past</v>
          </cell>
          <cell r="D510">
            <v>31.83</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31.83</v>
          </cell>
          <cell r="Q510">
            <v>5.1708379999999998</v>
          </cell>
          <cell r="R510" t="e">
            <v>#N/A</v>
          </cell>
        </row>
        <row r="511">
          <cell r="A511">
            <v>39892</v>
          </cell>
          <cell r="B511">
            <v>39892</v>
          </cell>
          <cell r="C511" t="str">
            <v>Past</v>
          </cell>
          <cell r="D511">
            <v>32.549999999999997</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32.549999999999997</v>
          </cell>
          <cell r="Q511">
            <v>10.262180000000001</v>
          </cell>
          <cell r="R511" t="e">
            <v>#N/A</v>
          </cell>
        </row>
        <row r="512">
          <cell r="A512">
            <v>39895</v>
          </cell>
          <cell r="B512">
            <v>39895</v>
          </cell>
          <cell r="C512" t="str">
            <v>Past</v>
          </cell>
          <cell r="D512">
            <v>34.090000000000003</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34.090000000000003</v>
          </cell>
          <cell r="Q512">
            <v>6.6119249999999994</v>
          </cell>
          <cell r="R512" t="e">
            <v>#N/A</v>
          </cell>
        </row>
        <row r="513">
          <cell r="A513">
            <v>39896</v>
          </cell>
          <cell r="B513">
            <v>39896</v>
          </cell>
          <cell r="C513" t="str">
            <v>Past</v>
          </cell>
          <cell r="D513">
            <v>33.17</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33.17</v>
          </cell>
          <cell r="Q513">
            <v>8.4878</v>
          </cell>
          <cell r="R513" t="e">
            <v>#N/A</v>
          </cell>
        </row>
        <row r="514">
          <cell r="A514">
            <v>39897</v>
          </cell>
          <cell r="B514">
            <v>39897</v>
          </cell>
          <cell r="C514" t="str">
            <v>Past</v>
          </cell>
          <cell r="D514">
            <v>33.53</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33.53</v>
          </cell>
          <cell r="Q514">
            <v>7.747814</v>
          </cell>
          <cell r="R514" t="e">
            <v>#N/A</v>
          </cell>
        </row>
        <row r="515">
          <cell r="A515">
            <v>39898</v>
          </cell>
          <cell r="B515">
            <v>39898</v>
          </cell>
          <cell r="C515" t="str">
            <v>Past</v>
          </cell>
          <cell r="D515">
            <v>34.22</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34.22</v>
          </cell>
          <cell r="Q515">
            <v>7.406955</v>
          </cell>
          <cell r="R515" t="e">
            <v>#N/A</v>
          </cell>
        </row>
        <row r="516">
          <cell r="A516">
            <v>39899</v>
          </cell>
          <cell r="B516">
            <v>39899</v>
          </cell>
          <cell r="C516" t="str">
            <v>Past</v>
          </cell>
          <cell r="D516">
            <v>33.75</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33.75</v>
          </cell>
          <cell r="Q516">
            <v>5.4617819999999995</v>
          </cell>
          <cell r="R516" t="e">
            <v>#N/A</v>
          </cell>
        </row>
        <row r="517">
          <cell r="A517">
            <v>39902</v>
          </cell>
          <cell r="B517">
            <v>39902</v>
          </cell>
          <cell r="C517" t="str">
            <v>Past</v>
          </cell>
          <cell r="D517">
            <v>32.840000000000003</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32.840000000000003</v>
          </cell>
          <cell r="Q517">
            <v>7.1063069999999993</v>
          </cell>
          <cell r="R517" t="e">
            <v>#N/A</v>
          </cell>
        </row>
        <row r="518">
          <cell r="A518">
            <v>39903</v>
          </cell>
          <cell r="B518">
            <v>39903</v>
          </cell>
          <cell r="C518" t="str">
            <v>Past</v>
          </cell>
          <cell r="D518">
            <v>33.409999999999997</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33.409999999999997</v>
          </cell>
          <cell r="Q518">
            <v>6.7019339999999996</v>
          </cell>
          <cell r="R518" t="e">
            <v>#N/A</v>
          </cell>
        </row>
        <row r="519">
          <cell r="A519">
            <v>39904</v>
          </cell>
          <cell r="B519">
            <v>39904</v>
          </cell>
          <cell r="C519" t="str">
            <v>Past</v>
          </cell>
          <cell r="D519">
            <v>33.78</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33.78</v>
          </cell>
          <cell r="Q519">
            <v>5.4834000000000005</v>
          </cell>
          <cell r="R519" t="e">
            <v>#N/A</v>
          </cell>
        </row>
        <row r="520">
          <cell r="A520">
            <v>39905</v>
          </cell>
          <cell r="B520">
            <v>39905</v>
          </cell>
          <cell r="C520" t="str">
            <v>Past</v>
          </cell>
          <cell r="D520">
            <v>33.9</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33.9</v>
          </cell>
          <cell r="Q520">
            <v>6.6657339999999996</v>
          </cell>
          <cell r="R520" t="e">
            <v>#N/A</v>
          </cell>
        </row>
        <row r="521">
          <cell r="A521">
            <v>39906</v>
          </cell>
          <cell r="B521">
            <v>39906</v>
          </cell>
          <cell r="C521" t="str">
            <v>Past</v>
          </cell>
          <cell r="D521">
            <v>33.01</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33.01</v>
          </cell>
          <cell r="Q521">
            <v>7.124409</v>
          </cell>
          <cell r="R521" t="e">
            <v>#N/A</v>
          </cell>
        </row>
        <row r="522">
          <cell r="A522">
            <v>39909</v>
          </cell>
          <cell r="B522">
            <v>39909</v>
          </cell>
          <cell r="C522" t="str">
            <v>Past</v>
          </cell>
          <cell r="D522">
            <v>32.840000000000003</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32.840000000000003</v>
          </cell>
          <cell r="Q522">
            <v>6.6188349999999998</v>
          </cell>
          <cell r="R522" t="e">
            <v>#N/A</v>
          </cell>
        </row>
        <row r="523">
          <cell r="A523">
            <v>39910</v>
          </cell>
          <cell r="B523">
            <v>39910</v>
          </cell>
          <cell r="C523" t="str">
            <v>Past</v>
          </cell>
          <cell r="D523">
            <v>31.88</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31.88</v>
          </cell>
          <cell r="Q523">
            <v>6.0334700000000003</v>
          </cell>
          <cell r="R523" t="e">
            <v>#N/A</v>
          </cell>
        </row>
        <row r="524">
          <cell r="A524">
            <v>39911</v>
          </cell>
          <cell r="B524">
            <v>39911</v>
          </cell>
          <cell r="C524" t="str">
            <v>Past</v>
          </cell>
          <cell r="D524">
            <v>32.340000000000003</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32.340000000000003</v>
          </cell>
          <cell r="Q524">
            <v>5.2268109999999997</v>
          </cell>
          <cell r="R524" t="e">
            <v>#N/A</v>
          </cell>
        </row>
        <row r="525">
          <cell r="A525">
            <v>39912</v>
          </cell>
          <cell r="B525">
            <v>39912</v>
          </cell>
          <cell r="C525" t="str">
            <v>Past</v>
          </cell>
          <cell r="D525">
            <v>32.64</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32.64</v>
          </cell>
          <cell r="Q525">
            <v>4.9841300000000004</v>
          </cell>
          <cell r="R525" t="e">
            <v>#N/A</v>
          </cell>
        </row>
        <row r="526">
          <cell r="A526">
            <v>39916</v>
          </cell>
          <cell r="B526">
            <v>39916</v>
          </cell>
          <cell r="C526" t="str">
            <v>Past</v>
          </cell>
          <cell r="D526">
            <v>32.57</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32.57</v>
          </cell>
          <cell r="Q526">
            <v>3.405227</v>
          </cell>
          <cell r="R526" t="e">
            <v>#N/A</v>
          </cell>
        </row>
        <row r="527">
          <cell r="A527">
            <v>39917</v>
          </cell>
          <cell r="B527">
            <v>39917</v>
          </cell>
          <cell r="C527" t="str">
            <v>Past</v>
          </cell>
          <cell r="D527">
            <v>32.15</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32.15</v>
          </cell>
          <cell r="Q527">
            <v>5.2493910000000001</v>
          </cell>
          <cell r="R527" t="e">
            <v>#N/A</v>
          </cell>
        </row>
        <row r="528">
          <cell r="A528">
            <v>39918</v>
          </cell>
          <cell r="B528">
            <v>39918</v>
          </cell>
          <cell r="C528" t="str">
            <v>Past</v>
          </cell>
          <cell r="D528">
            <v>32.81</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32.81</v>
          </cell>
          <cell r="Q528">
            <v>6.1552609999999994</v>
          </cell>
          <cell r="R528" t="e">
            <v>#N/A</v>
          </cell>
        </row>
        <row r="529">
          <cell r="A529">
            <v>39919</v>
          </cell>
          <cell r="B529">
            <v>39919</v>
          </cell>
          <cell r="C529" t="str">
            <v>Past</v>
          </cell>
          <cell r="D529">
            <v>33.270000000000003</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33.270000000000003</v>
          </cell>
          <cell r="Q529">
            <v>4.9672969999999994</v>
          </cell>
          <cell r="R529" t="e">
            <v>#N/A</v>
          </cell>
        </row>
        <row r="530">
          <cell r="A530">
            <v>39920</v>
          </cell>
          <cell r="B530">
            <v>39920</v>
          </cell>
          <cell r="C530" t="str">
            <v>Past</v>
          </cell>
          <cell r="D530">
            <v>33.75</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33.75</v>
          </cell>
          <cell r="Q530">
            <v>6.6703789999999996</v>
          </cell>
          <cell r="R530" t="e">
            <v>#N/A</v>
          </cell>
        </row>
        <row r="531">
          <cell r="A531">
            <v>39923</v>
          </cell>
          <cell r="B531">
            <v>39923</v>
          </cell>
          <cell r="C531" t="str">
            <v>Past</v>
          </cell>
          <cell r="D531">
            <v>32.99</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32.99</v>
          </cell>
          <cell r="Q531">
            <v>9.7992270000000001</v>
          </cell>
          <cell r="R531" t="e">
            <v>#N/A</v>
          </cell>
        </row>
        <row r="532">
          <cell r="A532">
            <v>39924</v>
          </cell>
          <cell r="B532">
            <v>39924</v>
          </cell>
          <cell r="C532" t="str">
            <v>Past</v>
          </cell>
          <cell r="D532">
            <v>33.340000000000003</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33.340000000000003</v>
          </cell>
          <cell r="Q532">
            <v>6.4096329999999995</v>
          </cell>
          <cell r="R532" t="e">
            <v>#N/A</v>
          </cell>
        </row>
        <row r="533">
          <cell r="A533">
            <v>39925</v>
          </cell>
          <cell r="B533">
            <v>39925</v>
          </cell>
          <cell r="C533" t="str">
            <v>Past</v>
          </cell>
          <cell r="D533">
            <v>32.74</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32.74</v>
          </cell>
          <cell r="Q533">
            <v>11.130370000000001</v>
          </cell>
          <cell r="R533" t="e">
            <v>#N/A</v>
          </cell>
        </row>
        <row r="534">
          <cell r="A534">
            <v>39926</v>
          </cell>
          <cell r="B534">
            <v>39926</v>
          </cell>
          <cell r="C534" t="str">
            <v>Past</v>
          </cell>
          <cell r="D534">
            <v>32.880000000000003</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32.880000000000003</v>
          </cell>
          <cell r="Q534">
            <v>8.591372999999999</v>
          </cell>
          <cell r="R534" t="e">
            <v>#N/A</v>
          </cell>
        </row>
        <row r="535">
          <cell r="A535">
            <v>39927</v>
          </cell>
          <cell r="B535">
            <v>39927</v>
          </cell>
          <cell r="C535" t="str">
            <v>Past</v>
          </cell>
          <cell r="D535">
            <v>33.01</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33.01</v>
          </cell>
          <cell r="Q535">
            <v>8.328225999999999</v>
          </cell>
          <cell r="R535" t="e">
            <v>#N/A</v>
          </cell>
        </row>
        <row r="536">
          <cell r="A536">
            <v>39930</v>
          </cell>
          <cell r="B536">
            <v>39930</v>
          </cell>
          <cell r="C536" t="str">
            <v>Past</v>
          </cell>
          <cell r="D536">
            <v>33.130000000000003</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33.130000000000003</v>
          </cell>
          <cell r="Q536">
            <v>4.16866</v>
          </cell>
          <cell r="R536" t="e">
            <v>#N/A</v>
          </cell>
        </row>
        <row r="537">
          <cell r="A537">
            <v>39931</v>
          </cell>
          <cell r="B537">
            <v>39931</v>
          </cell>
          <cell r="C537" t="str">
            <v>Past</v>
          </cell>
          <cell r="D537">
            <v>33.200000000000003</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33.200000000000003</v>
          </cell>
          <cell r="Q537">
            <v>7.6634069999999994</v>
          </cell>
          <cell r="R537" t="e">
            <v>#N/A</v>
          </cell>
        </row>
        <row r="538">
          <cell r="A538">
            <v>39932</v>
          </cell>
          <cell r="B538">
            <v>39932</v>
          </cell>
          <cell r="C538" t="str">
            <v>Past</v>
          </cell>
          <cell r="D538">
            <v>33.36</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33.36</v>
          </cell>
          <cell r="Q538">
            <v>6.7499750000000001</v>
          </cell>
          <cell r="R538" t="e">
            <v>#N/A</v>
          </cell>
        </row>
        <row r="539">
          <cell r="A539">
            <v>39933</v>
          </cell>
          <cell r="B539">
            <v>39933</v>
          </cell>
          <cell r="C539" t="str">
            <v>Past</v>
          </cell>
          <cell r="D539">
            <v>32.92</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32.92</v>
          </cell>
          <cell r="Q539">
            <v>8.2910430000000002</v>
          </cell>
          <cell r="R539" t="e">
            <v>#N/A</v>
          </cell>
        </row>
        <row r="540">
          <cell r="A540">
            <v>39934</v>
          </cell>
          <cell r="B540">
            <v>39934</v>
          </cell>
          <cell r="C540" t="str">
            <v>Past</v>
          </cell>
          <cell r="D540">
            <v>33.49</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33.49</v>
          </cell>
          <cell r="Q540">
            <v>5.4118600000000008</v>
          </cell>
          <cell r="R540" t="e">
            <v>#N/A</v>
          </cell>
        </row>
        <row r="541">
          <cell r="A541">
            <v>39937</v>
          </cell>
          <cell r="B541">
            <v>39937</v>
          </cell>
          <cell r="C541" t="str">
            <v>Past</v>
          </cell>
          <cell r="D541">
            <v>33.81</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33.81</v>
          </cell>
          <cell r="Q541">
            <v>5.3630269999999998</v>
          </cell>
          <cell r="R541" t="e">
            <v>#N/A</v>
          </cell>
        </row>
        <row r="542">
          <cell r="A542">
            <v>39938</v>
          </cell>
          <cell r="B542">
            <v>39938</v>
          </cell>
          <cell r="C542" t="str">
            <v>Past</v>
          </cell>
          <cell r="D542">
            <v>34.54</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34.54</v>
          </cell>
          <cell r="Q542">
            <v>8.3934090000000001</v>
          </cell>
          <cell r="R542" t="e">
            <v>#N/A</v>
          </cell>
        </row>
        <row r="543">
          <cell r="A543">
            <v>39939</v>
          </cell>
          <cell r="B543">
            <v>39939</v>
          </cell>
          <cell r="C543" t="str">
            <v>Past</v>
          </cell>
          <cell r="D543">
            <v>34.43</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34.43</v>
          </cell>
          <cell r="Q543">
            <v>5.6968429999999994</v>
          </cell>
          <cell r="R543" t="e">
            <v>#N/A</v>
          </cell>
        </row>
        <row r="544">
          <cell r="A544">
            <v>39940</v>
          </cell>
          <cell r="B544">
            <v>39940</v>
          </cell>
          <cell r="C544" t="str">
            <v>Past</v>
          </cell>
          <cell r="D544">
            <v>35.85</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35.85</v>
          </cell>
          <cell r="Q544">
            <v>11.239310000000001</v>
          </cell>
          <cell r="R544" t="e">
            <v>#N/A</v>
          </cell>
        </row>
        <row r="545">
          <cell r="A545">
            <v>39941</v>
          </cell>
          <cell r="B545">
            <v>39941</v>
          </cell>
          <cell r="C545" t="str">
            <v>Past</v>
          </cell>
          <cell r="D545">
            <v>35.950000000000003</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35.950000000000003</v>
          </cell>
          <cell r="Q545">
            <v>7.1747929999999993</v>
          </cell>
          <cell r="R545" t="e">
            <v>#N/A</v>
          </cell>
        </row>
        <row r="546">
          <cell r="A546">
            <v>39944</v>
          </cell>
          <cell r="B546">
            <v>39944</v>
          </cell>
          <cell r="C546" t="str">
            <v>Past</v>
          </cell>
          <cell r="D546">
            <v>35.35</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35.35</v>
          </cell>
          <cell r="Q546">
            <v>6.3392400000000002</v>
          </cell>
          <cell r="R546" t="e">
            <v>#N/A</v>
          </cell>
        </row>
        <row r="547">
          <cell r="A547">
            <v>39945</v>
          </cell>
          <cell r="B547">
            <v>39945</v>
          </cell>
          <cell r="C547" t="str">
            <v>Past</v>
          </cell>
          <cell r="D547">
            <v>35.9</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35.9</v>
          </cell>
          <cell r="Q547">
            <v>6.4275129999999994</v>
          </cell>
          <cell r="R547" t="e">
            <v>#N/A</v>
          </cell>
        </row>
        <row r="548">
          <cell r="A548">
            <v>39946</v>
          </cell>
          <cell r="B548">
            <v>39946</v>
          </cell>
          <cell r="C548" t="str">
            <v>Past</v>
          </cell>
          <cell r="D548">
            <v>35.15</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35.15</v>
          </cell>
          <cell r="Q548">
            <v>6.0419159999999996</v>
          </cell>
          <cell r="R548" t="e">
            <v>#N/A</v>
          </cell>
        </row>
        <row r="549">
          <cell r="A549">
            <v>39947</v>
          </cell>
          <cell r="B549">
            <v>39947</v>
          </cell>
          <cell r="C549" t="str">
            <v>Past</v>
          </cell>
          <cell r="D549">
            <v>35.119999999999997</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35.119999999999997</v>
          </cell>
          <cell r="Q549">
            <v>4.6474060000000001</v>
          </cell>
          <cell r="R549" t="e">
            <v>#N/A</v>
          </cell>
        </row>
        <row r="550">
          <cell r="A550">
            <v>39948</v>
          </cell>
          <cell r="B550">
            <v>39948</v>
          </cell>
          <cell r="C550" t="str">
            <v>Past</v>
          </cell>
          <cell r="D550">
            <v>34.17</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34.17</v>
          </cell>
          <cell r="Q550">
            <v>6.1764999999999999</v>
          </cell>
          <cell r="R550" t="e">
            <v>#N/A</v>
          </cell>
        </row>
        <row r="551">
          <cell r="A551">
            <v>39951</v>
          </cell>
          <cell r="B551">
            <v>39951</v>
          </cell>
          <cell r="C551" t="str">
            <v>Past</v>
          </cell>
          <cell r="D551">
            <v>34.67</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34.67</v>
          </cell>
          <cell r="Q551">
            <v>5.5593709999999996</v>
          </cell>
          <cell r="R551" t="e">
            <v>#N/A</v>
          </cell>
        </row>
        <row r="552">
          <cell r="A552">
            <v>39952</v>
          </cell>
          <cell r="B552">
            <v>39952</v>
          </cell>
          <cell r="C552" t="str">
            <v>Past</v>
          </cell>
          <cell r="D552">
            <v>34.53</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34.53</v>
          </cell>
          <cell r="Q552">
            <v>4.3698869999999994</v>
          </cell>
          <cell r="R552" t="e">
            <v>#N/A</v>
          </cell>
        </row>
        <row r="553">
          <cell r="A553">
            <v>39953</v>
          </cell>
          <cell r="B553">
            <v>39953</v>
          </cell>
          <cell r="C553" t="str">
            <v>Past</v>
          </cell>
          <cell r="D553">
            <v>34.729999999999997</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34.729999999999997</v>
          </cell>
          <cell r="Q553">
            <v>4.7807459999999997</v>
          </cell>
          <cell r="R553" t="e">
            <v>#N/A</v>
          </cell>
        </row>
        <row r="554">
          <cell r="A554">
            <v>39954</v>
          </cell>
          <cell r="B554">
            <v>39954</v>
          </cell>
          <cell r="C554" t="str">
            <v>Past</v>
          </cell>
          <cell r="D554">
            <v>34.619999999999997</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34.619999999999997</v>
          </cell>
          <cell r="Q554">
            <v>5.2200850000000001</v>
          </cell>
          <cell r="R554" t="e">
            <v>#N/A</v>
          </cell>
        </row>
        <row r="555">
          <cell r="A555">
            <v>39955</v>
          </cell>
          <cell r="B555">
            <v>39955</v>
          </cell>
          <cell r="C555" t="str">
            <v>Past</v>
          </cell>
          <cell r="D555">
            <v>34.340000000000003</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34.340000000000003</v>
          </cell>
          <cell r="Q555">
            <v>3.3391259999999998</v>
          </cell>
          <cell r="R555" t="e">
            <v>#N/A</v>
          </cell>
        </row>
        <row r="556">
          <cell r="A556">
            <v>39959</v>
          </cell>
          <cell r="B556">
            <v>39959</v>
          </cell>
          <cell r="C556" t="str">
            <v>Past</v>
          </cell>
          <cell r="D556">
            <v>34.85</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34.85</v>
          </cell>
          <cell r="Q556">
            <v>3.953217</v>
          </cell>
          <cell r="R556" t="e">
            <v>#N/A</v>
          </cell>
        </row>
        <row r="557">
          <cell r="A557">
            <v>39960</v>
          </cell>
          <cell r="B557">
            <v>39960</v>
          </cell>
          <cell r="C557" t="str">
            <v>Past</v>
          </cell>
          <cell r="D557">
            <v>33.67</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33.67</v>
          </cell>
          <cell r="Q557">
            <v>5.1936239999999998</v>
          </cell>
          <cell r="R557" t="e">
            <v>#N/A</v>
          </cell>
        </row>
        <row r="558">
          <cell r="A558">
            <v>39961</v>
          </cell>
          <cell r="B558">
            <v>39961</v>
          </cell>
          <cell r="C558" t="str">
            <v>Past</v>
          </cell>
          <cell r="D558">
            <v>33.78</v>
          </cell>
          <cell r="E558" t="e">
            <v>#N/A</v>
          </cell>
          <cell r="F558" t="e">
            <v>#N/A</v>
          </cell>
          <cell r="G558" t="e">
            <v>#N/A</v>
          </cell>
          <cell r="H558" t="e">
            <v>#N/A</v>
          </cell>
          <cell r="I558" t="e">
            <v>#N/A</v>
          </cell>
          <cell r="J558" t="e">
            <v>#N/A</v>
          </cell>
          <cell r="K558" t="e">
            <v>#N/A</v>
          </cell>
          <cell r="L558" t="e">
            <v>#N/A</v>
          </cell>
          <cell r="M558" t="e">
            <v>#N/A</v>
          </cell>
          <cell r="N558" t="e">
            <v>#N/A</v>
          </cell>
          <cell r="O558">
            <v>0</v>
          </cell>
          <cell r="P558">
            <v>33.78</v>
          </cell>
          <cell r="Q558">
            <v>4.4986489999999995</v>
          </cell>
          <cell r="R558" t="e">
            <v>#N/A</v>
          </cell>
        </row>
        <row r="559">
          <cell r="A559">
            <v>39962</v>
          </cell>
          <cell r="B559">
            <v>39962</v>
          </cell>
          <cell r="C559" t="str">
            <v>Current</v>
          </cell>
          <cell r="D559">
            <v>34.57</v>
          </cell>
          <cell r="E559">
            <v>34.57</v>
          </cell>
          <cell r="F559">
            <v>34.57</v>
          </cell>
          <cell r="G559">
            <v>34.57</v>
          </cell>
          <cell r="H559">
            <v>34.57</v>
          </cell>
          <cell r="I559">
            <v>34.57</v>
          </cell>
          <cell r="J559" t="e">
            <v>#N/A</v>
          </cell>
          <cell r="K559" t="e">
            <v>#N/A</v>
          </cell>
          <cell r="L559" t="e">
            <v>#N/A</v>
          </cell>
          <cell r="M559" t="e">
            <v>#N/A</v>
          </cell>
          <cell r="N559" t="e">
            <v>#N/A</v>
          </cell>
          <cell r="O559">
            <v>114.16500000000001</v>
          </cell>
          <cell r="P559">
            <v>34.57</v>
          </cell>
          <cell r="Q559">
            <v>4.873189</v>
          </cell>
          <cell r="R559" t="e">
            <v>#N/A</v>
          </cell>
        </row>
        <row r="560">
          <cell r="A560">
            <v>39965</v>
          </cell>
          <cell r="B560">
            <v>39965</v>
          </cell>
          <cell r="C560" t="str">
            <v>Future</v>
          </cell>
          <cell r="D560" t="e">
            <v>#N/A</v>
          </cell>
          <cell r="E560">
            <v>34.433359683794464</v>
          </cell>
          <cell r="F560">
            <v>34.599367588932807</v>
          </cell>
          <cell r="G560">
            <v>34.559841897233198</v>
          </cell>
          <cell r="H560">
            <v>34.559841897233198</v>
          </cell>
          <cell r="I560" t="e">
            <v>#N/A</v>
          </cell>
          <cell r="J560" t="e">
            <v>#N/A</v>
          </cell>
          <cell r="K560" t="e">
            <v>#N/A</v>
          </cell>
          <cell r="L560" t="e">
            <v>#N/A</v>
          </cell>
          <cell r="M560" t="e">
            <v>#N/A</v>
          </cell>
          <cell r="N560" t="e">
            <v>#N/A</v>
          </cell>
          <cell r="O560" t="e">
            <v>#N/A</v>
          </cell>
          <cell r="P560">
            <v>34.65</v>
          </cell>
          <cell r="Q560">
            <v>5.3196200000000005</v>
          </cell>
          <cell r="R560" t="e">
            <v>#N/A</v>
          </cell>
        </row>
        <row r="561">
          <cell r="A561">
            <v>39966</v>
          </cell>
          <cell r="B561">
            <v>39966</v>
          </cell>
          <cell r="C561" t="str">
            <v>Future</v>
          </cell>
          <cell r="D561" t="e">
            <v>#N/A</v>
          </cell>
          <cell r="E561">
            <v>34.296719367588928</v>
          </cell>
          <cell r="F561">
            <v>34.628735177865615</v>
          </cell>
          <cell r="G561">
            <v>34.549683794466397</v>
          </cell>
          <cell r="H561">
            <v>34.549683794466397</v>
          </cell>
          <cell r="I561" t="e">
            <v>#N/A</v>
          </cell>
          <cell r="J561" t="e">
            <v>#N/A</v>
          </cell>
          <cell r="K561" t="e">
            <v>#N/A</v>
          </cell>
          <cell r="L561" t="e">
            <v>#N/A</v>
          </cell>
          <cell r="M561" t="e">
            <v>#N/A</v>
          </cell>
          <cell r="N561" t="e">
            <v>#N/A</v>
          </cell>
          <cell r="O561" t="e">
            <v>#N/A</v>
          </cell>
          <cell r="P561">
            <v>34.65</v>
          </cell>
          <cell r="Q561" t="str">
            <v/>
          </cell>
          <cell r="R561" t="e">
            <v>#N/A</v>
          </cell>
        </row>
        <row r="562">
          <cell r="A562">
            <v>39967</v>
          </cell>
          <cell r="B562">
            <v>39967</v>
          </cell>
          <cell r="C562" t="str">
            <v>Future</v>
          </cell>
          <cell r="D562" t="e">
            <v>#N/A</v>
          </cell>
          <cell r="E562">
            <v>34.160079051383391</v>
          </cell>
          <cell r="F562">
            <v>34.658102766798422</v>
          </cell>
          <cell r="G562">
            <v>34.539525691699595</v>
          </cell>
          <cell r="H562">
            <v>34.539525691699595</v>
          </cell>
          <cell r="I562" t="e">
            <v>#N/A</v>
          </cell>
          <cell r="J562" t="e">
            <v>#N/A</v>
          </cell>
          <cell r="K562" t="e">
            <v>#N/A</v>
          </cell>
          <cell r="L562" t="e">
            <v>#N/A</v>
          </cell>
          <cell r="M562" t="e">
            <v>#N/A</v>
          </cell>
          <cell r="N562" t="e">
            <v>#N/A</v>
          </cell>
          <cell r="O562" t="e">
            <v>#N/A</v>
          </cell>
          <cell r="P562">
            <v>34.65</v>
          </cell>
          <cell r="Q562" t="str">
            <v/>
          </cell>
          <cell r="R562" t="e">
            <v>#N/A</v>
          </cell>
        </row>
        <row r="563">
          <cell r="A563">
            <v>39968</v>
          </cell>
          <cell r="B563">
            <v>39968</v>
          </cell>
          <cell r="C563" t="str">
            <v>Future</v>
          </cell>
          <cell r="D563" t="e">
            <v>#N/A</v>
          </cell>
          <cell r="E563">
            <v>34.023438735177855</v>
          </cell>
          <cell r="F563">
            <v>34.687470355731229</v>
          </cell>
          <cell r="G563">
            <v>34.529367588932793</v>
          </cell>
          <cell r="H563">
            <v>34.529367588932793</v>
          </cell>
          <cell r="I563" t="e">
            <v>#N/A</v>
          </cell>
          <cell r="J563" t="e">
            <v>#N/A</v>
          </cell>
          <cell r="K563" t="e">
            <v>#N/A</v>
          </cell>
          <cell r="L563" t="e">
            <v>#N/A</v>
          </cell>
          <cell r="M563" t="e">
            <v>#N/A</v>
          </cell>
          <cell r="N563" t="e">
            <v>#N/A</v>
          </cell>
          <cell r="O563" t="e">
            <v>#N/A</v>
          </cell>
          <cell r="P563">
            <v>34.65</v>
          </cell>
          <cell r="Q563" t="str">
            <v/>
          </cell>
          <cell r="R563" t="e">
            <v>#N/A</v>
          </cell>
        </row>
        <row r="564">
          <cell r="A564">
            <v>39969</v>
          </cell>
          <cell r="B564">
            <v>39969</v>
          </cell>
          <cell r="C564" t="str">
            <v>Future</v>
          </cell>
          <cell r="D564" t="e">
            <v>#N/A</v>
          </cell>
          <cell r="E564">
            <v>33.886798418972319</v>
          </cell>
          <cell r="F564">
            <v>34.716837944664036</v>
          </cell>
          <cell r="G564">
            <v>34.519209486165991</v>
          </cell>
          <cell r="H564">
            <v>34.519209486165991</v>
          </cell>
          <cell r="I564" t="e">
            <v>#N/A</v>
          </cell>
          <cell r="J564" t="e">
            <v>#N/A</v>
          </cell>
          <cell r="K564" t="e">
            <v>#N/A</v>
          </cell>
          <cell r="L564" t="e">
            <v>#N/A</v>
          </cell>
          <cell r="M564" t="e">
            <v>#N/A</v>
          </cell>
          <cell r="N564" t="e">
            <v>#N/A</v>
          </cell>
          <cell r="O564" t="e">
            <v>#N/A</v>
          </cell>
          <cell r="P564">
            <v>34.65</v>
          </cell>
          <cell r="Q564" t="str">
            <v/>
          </cell>
          <cell r="R564" t="e">
            <v>#N/A</v>
          </cell>
        </row>
        <row r="565">
          <cell r="A565">
            <v>39972</v>
          </cell>
          <cell r="B565">
            <v>39972</v>
          </cell>
          <cell r="C565" t="str">
            <v>Future</v>
          </cell>
          <cell r="D565" t="e">
            <v>#N/A</v>
          </cell>
          <cell r="E565">
            <v>33.750158102766783</v>
          </cell>
          <cell r="F565">
            <v>34.746205533596843</v>
          </cell>
          <cell r="G565">
            <v>34.509051383399189</v>
          </cell>
          <cell r="H565">
            <v>34.509051383399189</v>
          </cell>
          <cell r="I565" t="e">
            <v>#N/A</v>
          </cell>
          <cell r="J565" t="e">
            <v>#N/A</v>
          </cell>
          <cell r="K565" t="e">
            <v>#N/A</v>
          </cell>
          <cell r="L565" t="e">
            <v>#N/A</v>
          </cell>
          <cell r="M565" t="e">
            <v>#N/A</v>
          </cell>
          <cell r="N565" t="e">
            <v>#N/A</v>
          </cell>
          <cell r="O565" t="e">
            <v>#N/A</v>
          </cell>
          <cell r="P565">
            <v>34.65</v>
          </cell>
          <cell r="Q565" t="str">
            <v/>
          </cell>
          <cell r="R565" t="e">
            <v>#N/A</v>
          </cell>
        </row>
        <row r="566">
          <cell r="A566">
            <v>39973</v>
          </cell>
          <cell r="B566">
            <v>39973</v>
          </cell>
          <cell r="C566" t="str">
            <v>Future</v>
          </cell>
          <cell r="D566" t="e">
            <v>#N/A</v>
          </cell>
          <cell r="E566">
            <v>33.613517786561246</v>
          </cell>
          <cell r="F566">
            <v>34.77557312252965</v>
          </cell>
          <cell r="G566">
            <v>34.498893280632387</v>
          </cell>
          <cell r="H566">
            <v>34.498893280632387</v>
          </cell>
          <cell r="I566" t="e">
            <v>#N/A</v>
          </cell>
          <cell r="J566" t="e">
            <v>#N/A</v>
          </cell>
          <cell r="K566" t="e">
            <v>#N/A</v>
          </cell>
          <cell r="L566" t="e">
            <v>#N/A</v>
          </cell>
          <cell r="M566" t="e">
            <v>#N/A</v>
          </cell>
          <cell r="N566" t="e">
            <v>#N/A</v>
          </cell>
          <cell r="O566" t="e">
            <v>#N/A</v>
          </cell>
          <cell r="P566">
            <v>34.65</v>
          </cell>
          <cell r="Q566" t="str">
            <v/>
          </cell>
          <cell r="R566" t="e">
            <v>#N/A</v>
          </cell>
        </row>
        <row r="567">
          <cell r="A567">
            <v>39974</v>
          </cell>
          <cell r="B567">
            <v>39974</v>
          </cell>
          <cell r="C567" t="str">
            <v>Future</v>
          </cell>
          <cell r="D567" t="e">
            <v>#N/A</v>
          </cell>
          <cell r="E567">
            <v>33.47687747035571</v>
          </cell>
          <cell r="F567">
            <v>34.804940711462457</v>
          </cell>
          <cell r="G567">
            <v>34.488735177865586</v>
          </cell>
          <cell r="H567">
            <v>34.488735177865586</v>
          </cell>
          <cell r="I567" t="e">
            <v>#N/A</v>
          </cell>
          <cell r="J567" t="e">
            <v>#N/A</v>
          </cell>
          <cell r="K567" t="e">
            <v>#N/A</v>
          </cell>
          <cell r="L567" t="e">
            <v>#N/A</v>
          </cell>
          <cell r="M567" t="e">
            <v>#N/A</v>
          </cell>
          <cell r="N567" t="e">
            <v>#N/A</v>
          </cell>
          <cell r="O567" t="e">
            <v>#N/A</v>
          </cell>
          <cell r="P567">
            <v>34.65</v>
          </cell>
          <cell r="Q567" t="str">
            <v/>
          </cell>
          <cell r="R567" t="e">
            <v>#N/A</v>
          </cell>
        </row>
        <row r="568">
          <cell r="A568">
            <v>39975</v>
          </cell>
          <cell r="B568">
            <v>39975</v>
          </cell>
          <cell r="C568" t="str">
            <v>Future</v>
          </cell>
          <cell r="D568" t="e">
            <v>#N/A</v>
          </cell>
          <cell r="E568">
            <v>33.340237154150174</v>
          </cell>
          <cell r="F568">
            <v>34.834308300395264</v>
          </cell>
          <cell r="G568">
            <v>34.478577075098784</v>
          </cell>
          <cell r="H568">
            <v>34.478577075098784</v>
          </cell>
          <cell r="I568" t="e">
            <v>#N/A</v>
          </cell>
          <cell r="J568" t="e">
            <v>#N/A</v>
          </cell>
          <cell r="K568" t="e">
            <v>#N/A</v>
          </cell>
          <cell r="L568" t="e">
            <v>#N/A</v>
          </cell>
          <cell r="M568" t="e">
            <v>#N/A</v>
          </cell>
          <cell r="N568" t="e">
            <v>#N/A</v>
          </cell>
          <cell r="O568" t="e">
            <v>#N/A</v>
          </cell>
          <cell r="P568">
            <v>34.65</v>
          </cell>
          <cell r="Q568" t="str">
            <v/>
          </cell>
          <cell r="R568" t="e">
            <v>#N/A</v>
          </cell>
        </row>
        <row r="569">
          <cell r="A569">
            <v>39976</v>
          </cell>
          <cell r="B569">
            <v>39976</v>
          </cell>
          <cell r="C569" t="str">
            <v>Future</v>
          </cell>
          <cell r="D569" t="e">
            <v>#N/A</v>
          </cell>
          <cell r="E569">
            <v>33.203596837944637</v>
          </cell>
          <cell r="F569">
            <v>34.863675889328071</v>
          </cell>
          <cell r="G569">
            <v>34.468418972331982</v>
          </cell>
          <cell r="H569">
            <v>34.468418972331982</v>
          </cell>
          <cell r="I569" t="e">
            <v>#N/A</v>
          </cell>
          <cell r="J569" t="e">
            <v>#N/A</v>
          </cell>
          <cell r="K569" t="e">
            <v>#N/A</v>
          </cell>
          <cell r="L569" t="e">
            <v>#N/A</v>
          </cell>
          <cell r="M569" t="e">
            <v>#N/A</v>
          </cell>
          <cell r="N569" t="e">
            <v>#N/A</v>
          </cell>
          <cell r="O569" t="e">
            <v>#N/A</v>
          </cell>
          <cell r="P569">
            <v>34.65</v>
          </cell>
          <cell r="Q569" t="str">
            <v/>
          </cell>
          <cell r="R569" t="e">
            <v>#N/A</v>
          </cell>
        </row>
        <row r="570">
          <cell r="A570">
            <v>39979</v>
          </cell>
          <cell r="B570">
            <v>39979</v>
          </cell>
          <cell r="C570" t="str">
            <v>Future</v>
          </cell>
          <cell r="D570" t="e">
            <v>#N/A</v>
          </cell>
          <cell r="E570">
            <v>33.066956521739101</v>
          </cell>
          <cell r="F570">
            <v>34.893043478260878</v>
          </cell>
          <cell r="G570">
            <v>34.45826086956518</v>
          </cell>
          <cell r="H570">
            <v>34.45826086956518</v>
          </cell>
          <cell r="I570" t="e">
            <v>#N/A</v>
          </cell>
          <cell r="J570" t="e">
            <v>#N/A</v>
          </cell>
          <cell r="K570" t="e">
            <v>#N/A</v>
          </cell>
          <cell r="L570" t="e">
            <v>#N/A</v>
          </cell>
          <cell r="M570" t="e">
            <v>#N/A</v>
          </cell>
          <cell r="N570" t="e">
            <v>#N/A</v>
          </cell>
          <cell r="O570" t="e">
            <v>#N/A</v>
          </cell>
          <cell r="P570">
            <v>34.65</v>
          </cell>
          <cell r="Q570" t="str">
            <v/>
          </cell>
          <cell r="R570" t="e">
            <v>#N/A</v>
          </cell>
        </row>
        <row r="571">
          <cell r="A571">
            <v>39980</v>
          </cell>
          <cell r="B571">
            <v>39980</v>
          </cell>
          <cell r="C571" t="str">
            <v>Future</v>
          </cell>
          <cell r="D571" t="e">
            <v>#N/A</v>
          </cell>
          <cell r="E571">
            <v>32.930316205533565</v>
          </cell>
          <cell r="F571">
            <v>34.922411067193686</v>
          </cell>
          <cell r="G571">
            <v>34.448102766798378</v>
          </cell>
          <cell r="H571">
            <v>34.448102766798378</v>
          </cell>
          <cell r="I571" t="e">
            <v>#N/A</v>
          </cell>
          <cell r="J571" t="e">
            <v>#N/A</v>
          </cell>
          <cell r="K571" t="e">
            <v>#N/A</v>
          </cell>
          <cell r="L571" t="e">
            <v>#N/A</v>
          </cell>
          <cell r="M571" t="e">
            <v>#N/A</v>
          </cell>
          <cell r="N571" t="e">
            <v>#N/A</v>
          </cell>
          <cell r="O571" t="e">
            <v>#N/A</v>
          </cell>
          <cell r="P571">
            <v>34.65</v>
          </cell>
          <cell r="Q571" t="str">
            <v/>
          </cell>
          <cell r="R571" t="e">
            <v>#N/A</v>
          </cell>
        </row>
        <row r="572">
          <cell r="A572">
            <v>39981</v>
          </cell>
          <cell r="B572">
            <v>39981</v>
          </cell>
          <cell r="C572" t="str">
            <v>Future</v>
          </cell>
          <cell r="D572" t="e">
            <v>#N/A</v>
          </cell>
          <cell r="E572">
            <v>32.793675889328028</v>
          </cell>
          <cell r="F572">
            <v>34.951778656126493</v>
          </cell>
          <cell r="G572">
            <v>34.437944664031576</v>
          </cell>
          <cell r="H572">
            <v>34.437944664031576</v>
          </cell>
          <cell r="I572" t="e">
            <v>#N/A</v>
          </cell>
          <cell r="J572" t="e">
            <v>#N/A</v>
          </cell>
          <cell r="K572" t="e">
            <v>#N/A</v>
          </cell>
          <cell r="L572" t="e">
            <v>#N/A</v>
          </cell>
          <cell r="M572" t="e">
            <v>#N/A</v>
          </cell>
          <cell r="N572" t="e">
            <v>#N/A</v>
          </cell>
          <cell r="O572" t="e">
            <v>#N/A</v>
          </cell>
          <cell r="P572">
            <v>34.65</v>
          </cell>
          <cell r="Q572" t="str">
            <v/>
          </cell>
          <cell r="R572" t="e">
            <v>#N/A</v>
          </cell>
        </row>
        <row r="573">
          <cell r="A573">
            <v>39982</v>
          </cell>
          <cell r="B573">
            <v>39982</v>
          </cell>
          <cell r="C573" t="str">
            <v>Future</v>
          </cell>
          <cell r="D573" t="e">
            <v>#N/A</v>
          </cell>
          <cell r="E573">
            <v>32.657035573122492</v>
          </cell>
          <cell r="F573">
            <v>34.9811462450593</v>
          </cell>
          <cell r="G573">
            <v>34.427786561264774</v>
          </cell>
          <cell r="H573">
            <v>34.427786561264774</v>
          </cell>
          <cell r="I573" t="e">
            <v>#N/A</v>
          </cell>
          <cell r="J573" t="e">
            <v>#N/A</v>
          </cell>
          <cell r="K573" t="e">
            <v>#N/A</v>
          </cell>
          <cell r="L573" t="e">
            <v>#N/A</v>
          </cell>
          <cell r="M573" t="e">
            <v>#N/A</v>
          </cell>
          <cell r="N573" t="e">
            <v>#N/A</v>
          </cell>
          <cell r="O573" t="e">
            <v>#N/A</v>
          </cell>
          <cell r="P573">
            <v>34.65</v>
          </cell>
          <cell r="Q573" t="str">
            <v/>
          </cell>
          <cell r="R573" t="e">
            <v>#N/A</v>
          </cell>
        </row>
        <row r="574">
          <cell r="A574">
            <v>39983</v>
          </cell>
          <cell r="B574">
            <v>39983</v>
          </cell>
          <cell r="C574" t="str">
            <v>Future</v>
          </cell>
          <cell r="D574" t="e">
            <v>#N/A</v>
          </cell>
          <cell r="E574">
            <v>32.520395256916956</v>
          </cell>
          <cell r="F574">
            <v>35.010513833992107</v>
          </cell>
          <cell r="G574">
            <v>34.417628458497973</v>
          </cell>
          <cell r="H574">
            <v>34.417628458497973</v>
          </cell>
          <cell r="I574" t="e">
            <v>#N/A</v>
          </cell>
          <cell r="J574" t="e">
            <v>#N/A</v>
          </cell>
          <cell r="K574" t="e">
            <v>#N/A</v>
          </cell>
          <cell r="L574" t="e">
            <v>#N/A</v>
          </cell>
          <cell r="M574" t="e">
            <v>#N/A</v>
          </cell>
          <cell r="N574" t="e">
            <v>#N/A</v>
          </cell>
          <cell r="O574" t="e">
            <v>#N/A</v>
          </cell>
          <cell r="P574">
            <v>34.65</v>
          </cell>
          <cell r="Q574" t="str">
            <v/>
          </cell>
          <cell r="R574" t="e">
            <v>#N/A</v>
          </cell>
        </row>
        <row r="575">
          <cell r="A575">
            <v>39986</v>
          </cell>
          <cell r="B575">
            <v>39986</v>
          </cell>
          <cell r="C575" t="str">
            <v>Future</v>
          </cell>
          <cell r="D575" t="e">
            <v>#N/A</v>
          </cell>
          <cell r="E575">
            <v>32.38375494071142</v>
          </cell>
          <cell r="F575">
            <v>35.039881422924914</v>
          </cell>
          <cell r="G575">
            <v>34.407470355731171</v>
          </cell>
          <cell r="H575">
            <v>34.407470355731171</v>
          </cell>
          <cell r="I575" t="e">
            <v>#N/A</v>
          </cell>
          <cell r="J575" t="e">
            <v>#N/A</v>
          </cell>
          <cell r="K575" t="e">
            <v>#N/A</v>
          </cell>
          <cell r="L575" t="e">
            <v>#N/A</v>
          </cell>
          <cell r="M575" t="e">
            <v>#N/A</v>
          </cell>
          <cell r="N575" t="e">
            <v>#N/A</v>
          </cell>
          <cell r="O575" t="e">
            <v>#N/A</v>
          </cell>
          <cell r="P575">
            <v>34.65</v>
          </cell>
          <cell r="Q575" t="str">
            <v/>
          </cell>
          <cell r="R575" t="e">
            <v>#N/A</v>
          </cell>
        </row>
        <row r="576">
          <cell r="A576">
            <v>39987</v>
          </cell>
          <cell r="B576">
            <v>39987</v>
          </cell>
          <cell r="C576" t="str">
            <v>Future</v>
          </cell>
          <cell r="D576" t="e">
            <v>#N/A</v>
          </cell>
          <cell r="E576">
            <v>32.247114624505883</v>
          </cell>
          <cell r="F576">
            <v>35.069249011857721</v>
          </cell>
          <cell r="G576">
            <v>34.397312252964369</v>
          </cell>
          <cell r="H576">
            <v>34.397312252964369</v>
          </cell>
          <cell r="I576" t="e">
            <v>#N/A</v>
          </cell>
          <cell r="J576" t="e">
            <v>#N/A</v>
          </cell>
          <cell r="K576" t="e">
            <v>#N/A</v>
          </cell>
          <cell r="L576" t="e">
            <v>#N/A</v>
          </cell>
          <cell r="M576" t="e">
            <v>#N/A</v>
          </cell>
          <cell r="N576" t="e">
            <v>#N/A</v>
          </cell>
          <cell r="O576" t="e">
            <v>#N/A</v>
          </cell>
          <cell r="P576">
            <v>34.65</v>
          </cell>
          <cell r="Q576" t="str">
            <v/>
          </cell>
          <cell r="R576" t="e">
            <v>#N/A</v>
          </cell>
        </row>
        <row r="577">
          <cell r="A577">
            <v>39988</v>
          </cell>
          <cell r="B577">
            <v>39988</v>
          </cell>
          <cell r="C577" t="str">
            <v>Future</v>
          </cell>
          <cell r="D577" t="e">
            <v>#N/A</v>
          </cell>
          <cell r="E577">
            <v>32.110474308300347</v>
          </cell>
          <cell r="F577">
            <v>35.098616600790528</v>
          </cell>
          <cell r="G577">
            <v>34.387154150197567</v>
          </cell>
          <cell r="H577">
            <v>34.387154150197567</v>
          </cell>
          <cell r="I577" t="e">
            <v>#N/A</v>
          </cell>
          <cell r="J577" t="e">
            <v>#N/A</v>
          </cell>
          <cell r="K577" t="e">
            <v>#N/A</v>
          </cell>
          <cell r="L577" t="e">
            <v>#N/A</v>
          </cell>
          <cell r="M577" t="e">
            <v>#N/A</v>
          </cell>
          <cell r="N577" t="e">
            <v>#N/A</v>
          </cell>
          <cell r="O577" t="e">
            <v>#N/A</v>
          </cell>
          <cell r="P577">
            <v>34.65</v>
          </cell>
          <cell r="Q577" t="str">
            <v/>
          </cell>
          <cell r="R577" t="e">
            <v>#N/A</v>
          </cell>
        </row>
        <row r="578">
          <cell r="A578">
            <v>39989</v>
          </cell>
          <cell r="B578">
            <v>39989</v>
          </cell>
          <cell r="C578" t="str">
            <v>Future</v>
          </cell>
          <cell r="D578" t="e">
            <v>#N/A</v>
          </cell>
          <cell r="E578">
            <v>31.973833992094814</v>
          </cell>
          <cell r="F578">
            <v>35.127984189723335</v>
          </cell>
          <cell r="G578">
            <v>34.376996047430765</v>
          </cell>
          <cell r="H578">
            <v>34.376996047430765</v>
          </cell>
          <cell r="I578" t="e">
            <v>#N/A</v>
          </cell>
          <cell r="J578" t="e">
            <v>#N/A</v>
          </cell>
          <cell r="K578" t="e">
            <v>#N/A</v>
          </cell>
          <cell r="L578" t="e">
            <v>#N/A</v>
          </cell>
          <cell r="M578" t="e">
            <v>#N/A</v>
          </cell>
          <cell r="N578" t="e">
            <v>#N/A</v>
          </cell>
          <cell r="O578" t="e">
            <v>#N/A</v>
          </cell>
          <cell r="P578">
            <v>34.65</v>
          </cell>
          <cell r="Q578" t="str">
            <v/>
          </cell>
          <cell r="R578" t="e">
            <v>#N/A</v>
          </cell>
        </row>
        <row r="579">
          <cell r="A579">
            <v>39990</v>
          </cell>
          <cell r="B579">
            <v>39990</v>
          </cell>
          <cell r="C579" t="str">
            <v>Future</v>
          </cell>
          <cell r="D579" t="e">
            <v>#N/A</v>
          </cell>
          <cell r="E579">
            <v>31.837193675889282</v>
          </cell>
          <cell r="F579">
            <v>35.157351778656142</v>
          </cell>
          <cell r="G579">
            <v>34.366837944663963</v>
          </cell>
          <cell r="H579">
            <v>34.366837944663963</v>
          </cell>
          <cell r="I579" t="e">
            <v>#N/A</v>
          </cell>
          <cell r="J579" t="e">
            <v>#N/A</v>
          </cell>
          <cell r="K579" t="e">
            <v>#N/A</v>
          </cell>
          <cell r="L579" t="e">
            <v>#N/A</v>
          </cell>
          <cell r="M579" t="e">
            <v>#N/A</v>
          </cell>
          <cell r="N579" t="e">
            <v>#N/A</v>
          </cell>
          <cell r="O579" t="e">
            <v>#N/A</v>
          </cell>
          <cell r="P579">
            <v>34.65</v>
          </cell>
          <cell r="Q579" t="str">
            <v/>
          </cell>
          <cell r="R579" t="e">
            <v>#N/A</v>
          </cell>
        </row>
        <row r="580">
          <cell r="A580">
            <v>39993</v>
          </cell>
          <cell r="B580">
            <v>39993</v>
          </cell>
          <cell r="C580" t="str">
            <v>Future</v>
          </cell>
          <cell r="D580" t="e">
            <v>#N/A</v>
          </cell>
          <cell r="E580">
            <v>31.700553359683749</v>
          </cell>
          <cell r="F580">
            <v>35.18671936758895</v>
          </cell>
          <cell r="G580">
            <v>34.356679841897162</v>
          </cell>
          <cell r="H580">
            <v>34.356679841897162</v>
          </cell>
          <cell r="I580" t="e">
            <v>#N/A</v>
          </cell>
          <cell r="J580" t="e">
            <v>#N/A</v>
          </cell>
          <cell r="K580" t="e">
            <v>#N/A</v>
          </cell>
          <cell r="L580" t="e">
            <v>#N/A</v>
          </cell>
          <cell r="M580" t="e">
            <v>#N/A</v>
          </cell>
          <cell r="N580" t="e">
            <v>#N/A</v>
          </cell>
          <cell r="O580" t="e">
            <v>#N/A</v>
          </cell>
          <cell r="P580">
            <v>34.65</v>
          </cell>
          <cell r="Q580" t="str">
            <v/>
          </cell>
          <cell r="R580" t="e">
            <v>#N/A</v>
          </cell>
        </row>
        <row r="581">
          <cell r="A581">
            <v>39994</v>
          </cell>
          <cell r="B581">
            <v>39994</v>
          </cell>
          <cell r="C581" t="str">
            <v>Future</v>
          </cell>
          <cell r="D581" t="e">
            <v>#N/A</v>
          </cell>
          <cell r="E581">
            <v>31.563913043478216</v>
          </cell>
          <cell r="F581">
            <v>35.216086956521757</v>
          </cell>
          <cell r="G581">
            <v>34.34652173913036</v>
          </cell>
          <cell r="H581">
            <v>34.34652173913036</v>
          </cell>
          <cell r="I581" t="e">
            <v>#N/A</v>
          </cell>
          <cell r="J581" t="e">
            <v>#N/A</v>
          </cell>
          <cell r="K581" t="e">
            <v>#N/A</v>
          </cell>
          <cell r="L581" t="e">
            <v>#N/A</v>
          </cell>
          <cell r="M581" t="e">
            <v>#N/A</v>
          </cell>
          <cell r="N581" t="e">
            <v>#N/A</v>
          </cell>
          <cell r="O581" t="e">
            <v>#N/A</v>
          </cell>
          <cell r="P581">
            <v>34.65</v>
          </cell>
          <cell r="Q581" t="str">
            <v/>
          </cell>
          <cell r="R581" t="e">
            <v>#N/A</v>
          </cell>
        </row>
        <row r="582">
          <cell r="A582">
            <v>39995</v>
          </cell>
          <cell r="B582">
            <v>39995</v>
          </cell>
          <cell r="C582" t="str">
            <v>Future</v>
          </cell>
          <cell r="D582" t="e">
            <v>#N/A</v>
          </cell>
          <cell r="E582">
            <v>31.427272727272683</v>
          </cell>
          <cell r="F582">
            <v>35.245454545454564</v>
          </cell>
          <cell r="G582">
            <v>34.336363636363558</v>
          </cell>
          <cell r="H582">
            <v>34.336363636363558</v>
          </cell>
          <cell r="I582" t="e">
            <v>#N/A</v>
          </cell>
          <cell r="J582" t="e">
            <v>#N/A</v>
          </cell>
          <cell r="K582" t="e">
            <v>#N/A</v>
          </cell>
          <cell r="L582" t="e">
            <v>#N/A</v>
          </cell>
          <cell r="M582" t="e">
            <v>#N/A</v>
          </cell>
          <cell r="N582" t="e">
            <v>#N/A</v>
          </cell>
          <cell r="O582" t="e">
            <v>#N/A</v>
          </cell>
          <cell r="P582">
            <v>34.65</v>
          </cell>
          <cell r="Q582" t="str">
            <v/>
          </cell>
          <cell r="R582" t="e">
            <v>#N/A</v>
          </cell>
        </row>
        <row r="583">
          <cell r="A583">
            <v>39996</v>
          </cell>
          <cell r="B583">
            <v>39996</v>
          </cell>
          <cell r="C583" t="str">
            <v>Future</v>
          </cell>
          <cell r="D583" t="e">
            <v>#N/A</v>
          </cell>
          <cell r="E583">
            <v>31.290632411067151</v>
          </cell>
          <cell r="F583">
            <v>35.274822134387371</v>
          </cell>
          <cell r="G583">
            <v>34.326205533596756</v>
          </cell>
          <cell r="H583">
            <v>34.326205533596756</v>
          </cell>
          <cell r="I583" t="e">
            <v>#N/A</v>
          </cell>
          <cell r="J583" t="e">
            <v>#N/A</v>
          </cell>
          <cell r="K583" t="e">
            <v>#N/A</v>
          </cell>
          <cell r="L583" t="e">
            <v>#N/A</v>
          </cell>
          <cell r="M583" t="e">
            <v>#N/A</v>
          </cell>
          <cell r="N583" t="e">
            <v>#N/A</v>
          </cell>
          <cell r="O583" t="e">
            <v>#N/A</v>
          </cell>
          <cell r="P583">
            <v>34.65</v>
          </cell>
          <cell r="Q583" t="str">
            <v/>
          </cell>
          <cell r="R583" t="e">
            <v>#N/A</v>
          </cell>
        </row>
        <row r="584">
          <cell r="A584">
            <v>40000</v>
          </cell>
          <cell r="B584">
            <v>40000</v>
          </cell>
          <cell r="C584" t="str">
            <v>Future</v>
          </cell>
          <cell r="D584" t="e">
            <v>#N/A</v>
          </cell>
          <cell r="E584">
            <v>31.153992094861618</v>
          </cell>
          <cell r="F584">
            <v>35.304189723320178</v>
          </cell>
          <cell r="G584">
            <v>34.316047430829954</v>
          </cell>
          <cell r="H584">
            <v>34.316047430829954</v>
          </cell>
          <cell r="I584" t="e">
            <v>#N/A</v>
          </cell>
          <cell r="J584" t="e">
            <v>#N/A</v>
          </cell>
          <cell r="K584" t="e">
            <v>#N/A</v>
          </cell>
          <cell r="L584" t="e">
            <v>#N/A</v>
          </cell>
          <cell r="M584" t="e">
            <v>#N/A</v>
          </cell>
          <cell r="N584" t="e">
            <v>#N/A</v>
          </cell>
          <cell r="O584" t="e">
            <v>#N/A</v>
          </cell>
          <cell r="P584">
            <v>34.65</v>
          </cell>
          <cell r="Q584" t="str">
            <v/>
          </cell>
          <cell r="R584" t="e">
            <v>#N/A</v>
          </cell>
        </row>
        <row r="585">
          <cell r="A585">
            <v>40001</v>
          </cell>
          <cell r="B585">
            <v>40001</v>
          </cell>
          <cell r="C585" t="str">
            <v>Future</v>
          </cell>
          <cell r="D585" t="e">
            <v>#N/A</v>
          </cell>
          <cell r="E585">
            <v>31.017351778656085</v>
          </cell>
          <cell r="F585">
            <v>35.333557312252985</v>
          </cell>
          <cell r="G585">
            <v>34.305889328063152</v>
          </cell>
          <cell r="H585">
            <v>34.305889328063152</v>
          </cell>
          <cell r="I585" t="e">
            <v>#N/A</v>
          </cell>
          <cell r="J585" t="e">
            <v>#N/A</v>
          </cell>
          <cell r="K585" t="e">
            <v>#N/A</v>
          </cell>
          <cell r="L585" t="e">
            <v>#N/A</v>
          </cell>
          <cell r="M585" t="e">
            <v>#N/A</v>
          </cell>
          <cell r="N585" t="e">
            <v>#N/A</v>
          </cell>
          <cell r="O585" t="e">
            <v>#N/A</v>
          </cell>
          <cell r="P585">
            <v>34.65</v>
          </cell>
          <cell r="Q585" t="str">
            <v/>
          </cell>
          <cell r="R585" t="e">
            <v>#N/A</v>
          </cell>
        </row>
        <row r="586">
          <cell r="A586">
            <v>40002</v>
          </cell>
          <cell r="B586">
            <v>40002</v>
          </cell>
          <cell r="C586" t="str">
            <v>Future</v>
          </cell>
          <cell r="D586" t="e">
            <v>#N/A</v>
          </cell>
          <cell r="E586">
            <v>30.880711462450552</v>
          </cell>
          <cell r="F586">
            <v>35.362924901185792</v>
          </cell>
          <cell r="G586">
            <v>34.29573122529635</v>
          </cell>
          <cell r="H586">
            <v>34.29573122529635</v>
          </cell>
          <cell r="I586" t="e">
            <v>#N/A</v>
          </cell>
          <cell r="J586" t="e">
            <v>#N/A</v>
          </cell>
          <cell r="K586" t="e">
            <v>#N/A</v>
          </cell>
          <cell r="L586" t="e">
            <v>#N/A</v>
          </cell>
          <cell r="M586" t="e">
            <v>#N/A</v>
          </cell>
          <cell r="N586" t="e">
            <v>#N/A</v>
          </cell>
          <cell r="O586" t="e">
            <v>#N/A</v>
          </cell>
          <cell r="P586">
            <v>34.65</v>
          </cell>
          <cell r="Q586" t="str">
            <v/>
          </cell>
          <cell r="R586" t="e">
            <v>#N/A</v>
          </cell>
        </row>
        <row r="587">
          <cell r="A587">
            <v>40003</v>
          </cell>
          <cell r="B587">
            <v>40003</v>
          </cell>
          <cell r="C587" t="str">
            <v>Future</v>
          </cell>
          <cell r="D587" t="e">
            <v>#N/A</v>
          </cell>
          <cell r="E587">
            <v>30.74407114624502</v>
          </cell>
          <cell r="F587">
            <v>35.392292490118599</v>
          </cell>
          <cell r="G587">
            <v>34.285573122529549</v>
          </cell>
          <cell r="H587">
            <v>34.285573122529549</v>
          </cell>
          <cell r="I587" t="e">
            <v>#N/A</v>
          </cell>
          <cell r="J587" t="e">
            <v>#N/A</v>
          </cell>
          <cell r="K587" t="e">
            <v>#N/A</v>
          </cell>
          <cell r="L587" t="e">
            <v>#N/A</v>
          </cell>
          <cell r="M587" t="e">
            <v>#N/A</v>
          </cell>
          <cell r="N587" t="e">
            <v>#N/A</v>
          </cell>
          <cell r="O587" t="e">
            <v>#N/A</v>
          </cell>
          <cell r="P587">
            <v>34.65</v>
          </cell>
          <cell r="Q587" t="str">
            <v/>
          </cell>
          <cell r="R587" t="e">
            <v>#N/A</v>
          </cell>
        </row>
        <row r="588">
          <cell r="A588">
            <v>40004</v>
          </cell>
          <cell r="B588">
            <v>40004</v>
          </cell>
          <cell r="C588" t="str">
            <v>Future</v>
          </cell>
          <cell r="D588" t="e">
            <v>#N/A</v>
          </cell>
          <cell r="E588">
            <v>30.607430830039487</v>
          </cell>
          <cell r="F588">
            <v>35.421660079051406</v>
          </cell>
          <cell r="G588">
            <v>34.275415019762747</v>
          </cell>
          <cell r="H588">
            <v>34.275415019762747</v>
          </cell>
          <cell r="I588" t="e">
            <v>#N/A</v>
          </cell>
          <cell r="J588" t="e">
            <v>#N/A</v>
          </cell>
          <cell r="K588" t="e">
            <v>#N/A</v>
          </cell>
          <cell r="L588" t="e">
            <v>#N/A</v>
          </cell>
          <cell r="M588" t="e">
            <v>#N/A</v>
          </cell>
          <cell r="N588" t="e">
            <v>#N/A</v>
          </cell>
          <cell r="O588" t="e">
            <v>#N/A</v>
          </cell>
          <cell r="P588">
            <v>34.65</v>
          </cell>
          <cell r="Q588" t="str">
            <v/>
          </cell>
          <cell r="R588" t="e">
            <v>#N/A</v>
          </cell>
        </row>
        <row r="589">
          <cell r="A589">
            <v>40007</v>
          </cell>
          <cell r="B589">
            <v>40007</v>
          </cell>
          <cell r="C589" t="str">
            <v>Future</v>
          </cell>
          <cell r="D589" t="e">
            <v>#N/A</v>
          </cell>
          <cell r="E589">
            <v>30.470790513833954</v>
          </cell>
          <cell r="F589">
            <v>35.451027667984214</v>
          </cell>
          <cell r="G589">
            <v>34.265256916995945</v>
          </cell>
          <cell r="H589">
            <v>34.265256916995945</v>
          </cell>
          <cell r="I589" t="e">
            <v>#N/A</v>
          </cell>
          <cell r="J589" t="e">
            <v>#N/A</v>
          </cell>
          <cell r="K589" t="e">
            <v>#N/A</v>
          </cell>
          <cell r="L589" t="e">
            <v>#N/A</v>
          </cell>
          <cell r="M589" t="e">
            <v>#N/A</v>
          </cell>
          <cell r="N589" t="e">
            <v>#N/A</v>
          </cell>
          <cell r="O589" t="e">
            <v>#N/A</v>
          </cell>
          <cell r="P589">
            <v>34.65</v>
          </cell>
          <cell r="Q589" t="str">
            <v/>
          </cell>
          <cell r="R589" t="e">
            <v>#N/A</v>
          </cell>
        </row>
        <row r="590">
          <cell r="A590">
            <v>40008</v>
          </cell>
          <cell r="B590">
            <v>40008</v>
          </cell>
          <cell r="C590" t="str">
            <v>Future</v>
          </cell>
          <cell r="D590" t="e">
            <v>#N/A</v>
          </cell>
          <cell r="E590">
            <v>30.334150197628421</v>
          </cell>
          <cell r="F590">
            <v>35.480395256917021</v>
          </cell>
          <cell r="G590">
            <v>34.255098814229143</v>
          </cell>
          <cell r="H590">
            <v>34.255098814229143</v>
          </cell>
          <cell r="I590" t="e">
            <v>#N/A</v>
          </cell>
          <cell r="J590" t="e">
            <v>#N/A</v>
          </cell>
          <cell r="K590" t="e">
            <v>#N/A</v>
          </cell>
          <cell r="L590" t="e">
            <v>#N/A</v>
          </cell>
          <cell r="M590" t="e">
            <v>#N/A</v>
          </cell>
          <cell r="N590" t="e">
            <v>#N/A</v>
          </cell>
          <cell r="O590" t="e">
            <v>#N/A</v>
          </cell>
          <cell r="P590">
            <v>34.65</v>
          </cell>
          <cell r="Q590" t="str">
            <v/>
          </cell>
          <cell r="R590" t="e">
            <v>#N/A</v>
          </cell>
        </row>
        <row r="591">
          <cell r="A591">
            <v>40009</v>
          </cell>
          <cell r="B591">
            <v>40009</v>
          </cell>
          <cell r="C591" t="str">
            <v>Future</v>
          </cell>
          <cell r="D591" t="e">
            <v>#N/A</v>
          </cell>
          <cell r="E591">
            <v>30.197509881422889</v>
          </cell>
          <cell r="F591">
            <v>35.509762845849828</v>
          </cell>
          <cell r="G591">
            <v>34.244940711462341</v>
          </cell>
          <cell r="H591">
            <v>34.244940711462341</v>
          </cell>
          <cell r="I591" t="e">
            <v>#N/A</v>
          </cell>
          <cell r="J591" t="e">
            <v>#N/A</v>
          </cell>
          <cell r="K591" t="e">
            <v>#N/A</v>
          </cell>
          <cell r="L591" t="e">
            <v>#N/A</v>
          </cell>
          <cell r="M591" t="e">
            <v>#N/A</v>
          </cell>
          <cell r="N591" t="e">
            <v>#N/A</v>
          </cell>
          <cell r="O591" t="e">
            <v>#N/A</v>
          </cell>
          <cell r="P591">
            <v>34.65</v>
          </cell>
          <cell r="Q591" t="str">
            <v/>
          </cell>
          <cell r="R591" t="e">
            <v>#N/A</v>
          </cell>
        </row>
        <row r="592">
          <cell r="A592">
            <v>40010</v>
          </cell>
          <cell r="B592">
            <v>40010</v>
          </cell>
          <cell r="C592" t="str">
            <v>Future</v>
          </cell>
          <cell r="D592" t="e">
            <v>#N/A</v>
          </cell>
          <cell r="E592">
            <v>30.060869565217356</v>
          </cell>
          <cell r="F592">
            <v>35.539130434782635</v>
          </cell>
          <cell r="G592">
            <v>34.234782608695539</v>
          </cell>
          <cell r="H592">
            <v>34.234782608695539</v>
          </cell>
          <cell r="I592" t="e">
            <v>#N/A</v>
          </cell>
          <cell r="J592" t="e">
            <v>#N/A</v>
          </cell>
          <cell r="K592" t="e">
            <v>#N/A</v>
          </cell>
          <cell r="L592" t="e">
            <v>#N/A</v>
          </cell>
          <cell r="M592" t="e">
            <v>#N/A</v>
          </cell>
          <cell r="N592" t="e">
            <v>#N/A</v>
          </cell>
          <cell r="O592" t="e">
            <v>#N/A</v>
          </cell>
          <cell r="P592">
            <v>34.65</v>
          </cell>
          <cell r="Q592" t="str">
            <v/>
          </cell>
          <cell r="R592" t="e">
            <v>#N/A</v>
          </cell>
        </row>
        <row r="593">
          <cell r="A593">
            <v>40011</v>
          </cell>
          <cell r="B593">
            <v>40011</v>
          </cell>
          <cell r="C593" t="str">
            <v>Future</v>
          </cell>
          <cell r="D593" t="e">
            <v>#N/A</v>
          </cell>
          <cell r="E593">
            <v>29.924229249011823</v>
          </cell>
          <cell r="F593">
            <v>35.568498023715442</v>
          </cell>
          <cell r="G593">
            <v>34.224624505928738</v>
          </cell>
          <cell r="H593">
            <v>34.224624505928738</v>
          </cell>
          <cell r="I593" t="e">
            <v>#N/A</v>
          </cell>
          <cell r="J593" t="e">
            <v>#N/A</v>
          </cell>
          <cell r="K593" t="e">
            <v>#N/A</v>
          </cell>
          <cell r="L593" t="e">
            <v>#N/A</v>
          </cell>
          <cell r="M593" t="e">
            <v>#N/A</v>
          </cell>
          <cell r="N593" t="e">
            <v>#N/A</v>
          </cell>
          <cell r="O593" t="e">
            <v>#N/A</v>
          </cell>
          <cell r="P593">
            <v>34.65</v>
          </cell>
          <cell r="Q593" t="str">
            <v/>
          </cell>
          <cell r="R593" t="e">
            <v>#N/A</v>
          </cell>
        </row>
        <row r="594">
          <cell r="A594">
            <v>40014</v>
          </cell>
          <cell r="B594">
            <v>40014</v>
          </cell>
          <cell r="C594" t="str">
            <v>Future</v>
          </cell>
          <cell r="D594" t="e">
            <v>#N/A</v>
          </cell>
          <cell r="E594">
            <v>29.78758893280629</v>
          </cell>
          <cell r="F594">
            <v>35.597865612648249</v>
          </cell>
          <cell r="G594">
            <v>34.214466403161936</v>
          </cell>
          <cell r="H594">
            <v>34.214466403161936</v>
          </cell>
          <cell r="I594" t="e">
            <v>#N/A</v>
          </cell>
          <cell r="J594" t="e">
            <v>#N/A</v>
          </cell>
          <cell r="K594" t="e">
            <v>#N/A</v>
          </cell>
          <cell r="L594" t="e">
            <v>#N/A</v>
          </cell>
          <cell r="M594" t="e">
            <v>#N/A</v>
          </cell>
          <cell r="N594" t="e">
            <v>#N/A</v>
          </cell>
          <cell r="O594" t="e">
            <v>#N/A</v>
          </cell>
          <cell r="P594">
            <v>34.65</v>
          </cell>
          <cell r="Q594" t="str">
            <v/>
          </cell>
          <cell r="R594" t="e">
            <v>#N/A</v>
          </cell>
        </row>
        <row r="595">
          <cell r="A595">
            <v>40015</v>
          </cell>
          <cell r="B595">
            <v>40015</v>
          </cell>
          <cell r="C595" t="str">
            <v>Future</v>
          </cell>
          <cell r="D595" t="e">
            <v>#N/A</v>
          </cell>
          <cell r="E595">
            <v>29.650948616600758</v>
          </cell>
          <cell r="F595">
            <v>35.627233201581056</v>
          </cell>
          <cell r="G595">
            <v>34.204308300395134</v>
          </cell>
          <cell r="H595">
            <v>34.204308300395134</v>
          </cell>
          <cell r="I595" t="e">
            <v>#N/A</v>
          </cell>
          <cell r="J595" t="e">
            <v>#N/A</v>
          </cell>
          <cell r="K595" t="e">
            <v>#N/A</v>
          </cell>
          <cell r="L595" t="e">
            <v>#N/A</v>
          </cell>
          <cell r="M595" t="e">
            <v>#N/A</v>
          </cell>
          <cell r="N595" t="e">
            <v>#N/A</v>
          </cell>
          <cell r="O595" t="e">
            <v>#N/A</v>
          </cell>
          <cell r="P595">
            <v>34.65</v>
          </cell>
          <cell r="Q595" t="str">
            <v/>
          </cell>
          <cell r="R595" t="e">
            <v>#N/A</v>
          </cell>
        </row>
        <row r="596">
          <cell r="A596">
            <v>40016</v>
          </cell>
          <cell r="B596">
            <v>40016</v>
          </cell>
          <cell r="C596" t="str">
            <v>Future</v>
          </cell>
          <cell r="D596" t="e">
            <v>#N/A</v>
          </cell>
          <cell r="E596">
            <v>29.514308300395225</v>
          </cell>
          <cell r="F596">
            <v>35.656600790513863</v>
          </cell>
          <cell r="G596">
            <v>34.194150197628332</v>
          </cell>
          <cell r="H596">
            <v>34.194150197628332</v>
          </cell>
          <cell r="I596" t="e">
            <v>#N/A</v>
          </cell>
          <cell r="J596" t="e">
            <v>#N/A</v>
          </cell>
          <cell r="K596" t="e">
            <v>#N/A</v>
          </cell>
          <cell r="L596" t="e">
            <v>#N/A</v>
          </cell>
          <cell r="M596" t="e">
            <v>#N/A</v>
          </cell>
          <cell r="N596" t="e">
            <v>#N/A</v>
          </cell>
          <cell r="O596" t="e">
            <v>#N/A</v>
          </cell>
          <cell r="P596">
            <v>34.65</v>
          </cell>
          <cell r="Q596" t="str">
            <v/>
          </cell>
          <cell r="R596" t="e">
            <v>#N/A</v>
          </cell>
        </row>
        <row r="597">
          <cell r="A597">
            <v>40017</v>
          </cell>
          <cell r="B597">
            <v>40017</v>
          </cell>
          <cell r="C597" t="str">
            <v>Future</v>
          </cell>
          <cell r="D597" t="e">
            <v>#N/A</v>
          </cell>
          <cell r="E597">
            <v>29.377667984189692</v>
          </cell>
          <cell r="F597">
            <v>35.68596837944667</v>
          </cell>
          <cell r="G597">
            <v>34.18399209486153</v>
          </cell>
          <cell r="H597">
            <v>34.18399209486153</v>
          </cell>
          <cell r="I597" t="e">
            <v>#N/A</v>
          </cell>
          <cell r="J597" t="e">
            <v>#N/A</v>
          </cell>
          <cell r="K597" t="e">
            <v>#N/A</v>
          </cell>
          <cell r="L597" t="e">
            <v>#N/A</v>
          </cell>
          <cell r="M597" t="e">
            <v>#N/A</v>
          </cell>
          <cell r="N597" t="e">
            <v>#N/A</v>
          </cell>
          <cell r="O597" t="e">
            <v>#N/A</v>
          </cell>
          <cell r="P597">
            <v>34.65</v>
          </cell>
          <cell r="Q597" t="str">
            <v/>
          </cell>
          <cell r="R597" t="e">
            <v>#N/A</v>
          </cell>
        </row>
        <row r="598">
          <cell r="A598">
            <v>40018</v>
          </cell>
          <cell r="B598">
            <v>40018</v>
          </cell>
          <cell r="C598" t="str">
            <v>Future</v>
          </cell>
          <cell r="D598" t="e">
            <v>#N/A</v>
          </cell>
          <cell r="E598">
            <v>29.241027667984159</v>
          </cell>
          <cell r="F598">
            <v>35.715335968379478</v>
          </cell>
          <cell r="G598">
            <v>34.173833992094728</v>
          </cell>
          <cell r="H598">
            <v>34.173833992094728</v>
          </cell>
          <cell r="I598" t="e">
            <v>#N/A</v>
          </cell>
          <cell r="J598" t="e">
            <v>#N/A</v>
          </cell>
          <cell r="K598" t="e">
            <v>#N/A</v>
          </cell>
          <cell r="L598" t="e">
            <v>#N/A</v>
          </cell>
          <cell r="M598" t="e">
            <v>#N/A</v>
          </cell>
          <cell r="N598" t="e">
            <v>#N/A</v>
          </cell>
          <cell r="O598" t="e">
            <v>#N/A</v>
          </cell>
          <cell r="P598">
            <v>34.65</v>
          </cell>
          <cell r="Q598" t="str">
            <v/>
          </cell>
          <cell r="R598" t="e">
            <v>#N/A</v>
          </cell>
        </row>
        <row r="599">
          <cell r="A599">
            <v>40021</v>
          </cell>
          <cell r="B599">
            <v>40021</v>
          </cell>
          <cell r="C599" t="str">
            <v>Future</v>
          </cell>
          <cell r="D599" t="e">
            <v>#N/A</v>
          </cell>
          <cell r="E599">
            <v>29.104387351778627</v>
          </cell>
          <cell r="F599">
            <v>35.744703557312285</v>
          </cell>
          <cell r="G599">
            <v>34.163675889327926</v>
          </cell>
          <cell r="H599">
            <v>34.163675889327926</v>
          </cell>
          <cell r="I599" t="e">
            <v>#N/A</v>
          </cell>
          <cell r="J599" t="e">
            <v>#N/A</v>
          </cell>
          <cell r="K599" t="e">
            <v>#N/A</v>
          </cell>
          <cell r="L599" t="e">
            <v>#N/A</v>
          </cell>
          <cell r="M599" t="e">
            <v>#N/A</v>
          </cell>
          <cell r="N599" t="e">
            <v>#N/A</v>
          </cell>
          <cell r="O599" t="e">
            <v>#N/A</v>
          </cell>
          <cell r="P599">
            <v>34.65</v>
          </cell>
          <cell r="Q599" t="str">
            <v/>
          </cell>
          <cell r="R599" t="e">
            <v>#N/A</v>
          </cell>
        </row>
        <row r="600">
          <cell r="A600">
            <v>40022</v>
          </cell>
          <cell r="B600">
            <v>40022</v>
          </cell>
          <cell r="C600" t="str">
            <v>Future</v>
          </cell>
          <cell r="D600" t="e">
            <v>#N/A</v>
          </cell>
          <cell r="E600">
            <v>28.967747035573094</v>
          </cell>
          <cell r="F600">
            <v>35.774071146245092</v>
          </cell>
          <cell r="G600">
            <v>34.153517786561125</v>
          </cell>
          <cell r="H600">
            <v>34.153517786561125</v>
          </cell>
          <cell r="I600" t="e">
            <v>#N/A</v>
          </cell>
          <cell r="J600" t="e">
            <v>#N/A</v>
          </cell>
          <cell r="K600" t="e">
            <v>#N/A</v>
          </cell>
          <cell r="L600" t="e">
            <v>#N/A</v>
          </cell>
          <cell r="M600" t="e">
            <v>#N/A</v>
          </cell>
          <cell r="N600" t="e">
            <v>#N/A</v>
          </cell>
          <cell r="O600" t="e">
            <v>#N/A</v>
          </cell>
          <cell r="P600">
            <v>34.65</v>
          </cell>
          <cell r="Q600" t="str">
            <v/>
          </cell>
          <cell r="R600" t="e">
            <v>#N/A</v>
          </cell>
        </row>
        <row r="601">
          <cell r="A601">
            <v>40023</v>
          </cell>
          <cell r="B601">
            <v>40023</v>
          </cell>
          <cell r="C601" t="str">
            <v>Future</v>
          </cell>
          <cell r="D601" t="e">
            <v>#N/A</v>
          </cell>
          <cell r="E601">
            <v>28.831106719367561</v>
          </cell>
          <cell r="F601">
            <v>35.803438735177899</v>
          </cell>
          <cell r="G601">
            <v>34.143359683794323</v>
          </cell>
          <cell r="H601">
            <v>34.143359683794323</v>
          </cell>
          <cell r="I601" t="e">
            <v>#N/A</v>
          </cell>
          <cell r="J601" t="e">
            <v>#N/A</v>
          </cell>
          <cell r="K601" t="e">
            <v>#N/A</v>
          </cell>
          <cell r="L601" t="e">
            <v>#N/A</v>
          </cell>
          <cell r="M601" t="e">
            <v>#N/A</v>
          </cell>
          <cell r="N601" t="e">
            <v>#N/A</v>
          </cell>
          <cell r="O601" t="e">
            <v>#N/A</v>
          </cell>
          <cell r="P601">
            <v>34.65</v>
          </cell>
          <cell r="Q601" t="str">
            <v/>
          </cell>
          <cell r="R601" t="e">
            <v>#N/A</v>
          </cell>
        </row>
        <row r="602">
          <cell r="A602">
            <v>40024</v>
          </cell>
          <cell r="B602">
            <v>40024</v>
          </cell>
          <cell r="C602" t="str">
            <v>Future</v>
          </cell>
          <cell r="D602" t="e">
            <v>#N/A</v>
          </cell>
          <cell r="E602">
            <v>28.694466403162028</v>
          </cell>
          <cell r="F602">
            <v>35.832806324110706</v>
          </cell>
          <cell r="G602">
            <v>34.133201581027521</v>
          </cell>
          <cell r="H602">
            <v>34.133201581027521</v>
          </cell>
          <cell r="I602" t="e">
            <v>#N/A</v>
          </cell>
          <cell r="J602" t="e">
            <v>#N/A</v>
          </cell>
          <cell r="K602" t="e">
            <v>#N/A</v>
          </cell>
          <cell r="L602" t="e">
            <v>#N/A</v>
          </cell>
          <cell r="M602" t="e">
            <v>#N/A</v>
          </cell>
          <cell r="N602" t="e">
            <v>#N/A</v>
          </cell>
          <cell r="O602" t="e">
            <v>#N/A</v>
          </cell>
          <cell r="P602">
            <v>34.65</v>
          </cell>
          <cell r="Q602" t="str">
            <v/>
          </cell>
          <cell r="R602" t="e">
            <v>#N/A</v>
          </cell>
        </row>
        <row r="603">
          <cell r="A603">
            <v>40025</v>
          </cell>
          <cell r="B603">
            <v>40025</v>
          </cell>
          <cell r="C603" t="str">
            <v>Future</v>
          </cell>
          <cell r="D603" t="e">
            <v>#N/A</v>
          </cell>
          <cell r="E603">
            <v>28.557826086956496</v>
          </cell>
          <cell r="F603">
            <v>35.862173913043513</v>
          </cell>
          <cell r="G603">
            <v>34.123043478260719</v>
          </cell>
          <cell r="H603">
            <v>34.123043478260719</v>
          </cell>
          <cell r="I603" t="e">
            <v>#N/A</v>
          </cell>
          <cell r="J603" t="e">
            <v>#N/A</v>
          </cell>
          <cell r="K603" t="e">
            <v>#N/A</v>
          </cell>
          <cell r="L603" t="e">
            <v>#N/A</v>
          </cell>
          <cell r="M603" t="e">
            <v>#N/A</v>
          </cell>
          <cell r="N603" t="e">
            <v>#N/A</v>
          </cell>
          <cell r="O603" t="e">
            <v>#N/A</v>
          </cell>
          <cell r="P603">
            <v>34.65</v>
          </cell>
          <cell r="Q603" t="str">
            <v/>
          </cell>
          <cell r="R603" t="e">
            <v>#N/A</v>
          </cell>
        </row>
        <row r="604">
          <cell r="A604">
            <v>40028</v>
          </cell>
          <cell r="B604">
            <v>40028</v>
          </cell>
          <cell r="C604" t="str">
            <v>Future</v>
          </cell>
          <cell r="D604" t="e">
            <v>#N/A</v>
          </cell>
          <cell r="E604">
            <v>28.421185770750963</v>
          </cell>
          <cell r="F604">
            <v>35.89154150197632</v>
          </cell>
          <cell r="G604">
            <v>34.112885375493917</v>
          </cell>
          <cell r="H604">
            <v>34.112885375493917</v>
          </cell>
          <cell r="I604" t="e">
            <v>#N/A</v>
          </cell>
          <cell r="J604" t="e">
            <v>#N/A</v>
          </cell>
          <cell r="K604" t="e">
            <v>#N/A</v>
          </cell>
          <cell r="L604" t="e">
            <v>#N/A</v>
          </cell>
          <cell r="M604" t="e">
            <v>#N/A</v>
          </cell>
          <cell r="N604" t="e">
            <v>#N/A</v>
          </cell>
          <cell r="O604" t="e">
            <v>#N/A</v>
          </cell>
          <cell r="P604">
            <v>34.65</v>
          </cell>
          <cell r="Q604" t="str">
            <v/>
          </cell>
          <cell r="R604" t="e">
            <v>#N/A</v>
          </cell>
        </row>
        <row r="605">
          <cell r="A605">
            <v>40029</v>
          </cell>
          <cell r="B605">
            <v>40029</v>
          </cell>
          <cell r="C605" t="str">
            <v>Future</v>
          </cell>
          <cell r="D605" t="e">
            <v>#N/A</v>
          </cell>
          <cell r="E605">
            <v>28.28454545454543</v>
          </cell>
          <cell r="F605">
            <v>35.920909090909127</v>
          </cell>
          <cell r="G605">
            <v>34.102727272727115</v>
          </cell>
          <cell r="H605">
            <v>34.102727272727115</v>
          </cell>
          <cell r="I605" t="e">
            <v>#N/A</v>
          </cell>
          <cell r="J605" t="e">
            <v>#N/A</v>
          </cell>
          <cell r="K605" t="e">
            <v>#N/A</v>
          </cell>
          <cell r="L605" t="e">
            <v>#N/A</v>
          </cell>
          <cell r="M605" t="e">
            <v>#N/A</v>
          </cell>
          <cell r="N605" t="e">
            <v>#N/A</v>
          </cell>
          <cell r="O605" t="e">
            <v>#N/A</v>
          </cell>
          <cell r="P605">
            <v>34.65</v>
          </cell>
          <cell r="Q605" t="str">
            <v/>
          </cell>
          <cell r="R605" t="e">
            <v>#N/A</v>
          </cell>
        </row>
        <row r="606">
          <cell r="A606">
            <v>40030</v>
          </cell>
          <cell r="B606">
            <v>40030</v>
          </cell>
          <cell r="C606" t="str">
            <v>Future</v>
          </cell>
          <cell r="D606" t="e">
            <v>#N/A</v>
          </cell>
          <cell r="E606">
            <v>28.147905138339897</v>
          </cell>
          <cell r="F606">
            <v>35.950276679841934</v>
          </cell>
          <cell r="G606">
            <v>34.092569169960314</v>
          </cell>
          <cell r="H606">
            <v>34.092569169960314</v>
          </cell>
          <cell r="I606" t="e">
            <v>#N/A</v>
          </cell>
          <cell r="J606" t="e">
            <v>#N/A</v>
          </cell>
          <cell r="K606" t="e">
            <v>#N/A</v>
          </cell>
          <cell r="L606" t="e">
            <v>#N/A</v>
          </cell>
          <cell r="M606" t="e">
            <v>#N/A</v>
          </cell>
          <cell r="N606" t="e">
            <v>#N/A</v>
          </cell>
          <cell r="O606" t="e">
            <v>#N/A</v>
          </cell>
          <cell r="P606">
            <v>34.65</v>
          </cell>
          <cell r="Q606" t="str">
            <v/>
          </cell>
          <cell r="R606" t="e">
            <v>#N/A</v>
          </cell>
        </row>
        <row r="607">
          <cell r="A607">
            <v>40031</v>
          </cell>
          <cell r="B607">
            <v>40031</v>
          </cell>
          <cell r="C607" t="str">
            <v>Future</v>
          </cell>
          <cell r="D607" t="e">
            <v>#N/A</v>
          </cell>
          <cell r="E607">
            <v>28.011264822134365</v>
          </cell>
          <cell r="F607">
            <v>35.979644268774742</v>
          </cell>
          <cell r="G607">
            <v>34.082411067193512</v>
          </cell>
          <cell r="H607">
            <v>34.082411067193512</v>
          </cell>
          <cell r="I607" t="e">
            <v>#N/A</v>
          </cell>
          <cell r="J607" t="e">
            <v>#N/A</v>
          </cell>
          <cell r="K607" t="e">
            <v>#N/A</v>
          </cell>
          <cell r="L607" t="e">
            <v>#N/A</v>
          </cell>
          <cell r="M607" t="e">
            <v>#N/A</v>
          </cell>
          <cell r="N607" t="e">
            <v>#N/A</v>
          </cell>
          <cell r="O607" t="e">
            <v>#N/A</v>
          </cell>
          <cell r="P607">
            <v>34.65</v>
          </cell>
          <cell r="Q607" t="str">
            <v/>
          </cell>
          <cell r="R607" t="e">
            <v>#N/A</v>
          </cell>
        </row>
        <row r="608">
          <cell r="A608">
            <v>40032</v>
          </cell>
          <cell r="B608">
            <v>40032</v>
          </cell>
          <cell r="C608" t="str">
            <v>Future</v>
          </cell>
          <cell r="D608" t="e">
            <v>#N/A</v>
          </cell>
          <cell r="E608">
            <v>27.874624505928832</v>
          </cell>
          <cell r="F608">
            <v>36.009011857707549</v>
          </cell>
          <cell r="G608">
            <v>34.07225296442671</v>
          </cell>
          <cell r="H608">
            <v>34.07225296442671</v>
          </cell>
          <cell r="I608" t="e">
            <v>#N/A</v>
          </cell>
          <cell r="J608" t="e">
            <v>#N/A</v>
          </cell>
          <cell r="K608" t="e">
            <v>#N/A</v>
          </cell>
          <cell r="L608" t="e">
            <v>#N/A</v>
          </cell>
          <cell r="M608" t="e">
            <v>#N/A</v>
          </cell>
          <cell r="N608" t="e">
            <v>#N/A</v>
          </cell>
          <cell r="O608" t="e">
            <v>#N/A</v>
          </cell>
          <cell r="P608">
            <v>34.65</v>
          </cell>
          <cell r="Q608" t="str">
            <v/>
          </cell>
          <cell r="R608" t="e">
            <v>#N/A</v>
          </cell>
        </row>
        <row r="609">
          <cell r="A609">
            <v>40035</v>
          </cell>
          <cell r="B609">
            <v>40035</v>
          </cell>
          <cell r="C609" t="str">
            <v>Future</v>
          </cell>
          <cell r="D609" t="e">
            <v>#N/A</v>
          </cell>
          <cell r="E609">
            <v>27.737984189723299</v>
          </cell>
          <cell r="F609">
            <v>36.038379446640356</v>
          </cell>
          <cell r="G609">
            <v>34.062094861659908</v>
          </cell>
          <cell r="H609">
            <v>34.062094861659908</v>
          </cell>
          <cell r="I609" t="e">
            <v>#N/A</v>
          </cell>
          <cell r="J609" t="e">
            <v>#N/A</v>
          </cell>
          <cell r="K609" t="e">
            <v>#N/A</v>
          </cell>
          <cell r="L609" t="e">
            <v>#N/A</v>
          </cell>
          <cell r="M609" t="e">
            <v>#N/A</v>
          </cell>
          <cell r="N609" t="e">
            <v>#N/A</v>
          </cell>
          <cell r="O609" t="e">
            <v>#N/A</v>
          </cell>
          <cell r="P609">
            <v>34.65</v>
          </cell>
          <cell r="Q609" t="str">
            <v/>
          </cell>
          <cell r="R609" t="e">
            <v>#N/A</v>
          </cell>
        </row>
        <row r="610">
          <cell r="A610">
            <v>40036</v>
          </cell>
          <cell r="B610">
            <v>40036</v>
          </cell>
          <cell r="C610" t="str">
            <v>Future</v>
          </cell>
          <cell r="D610" t="e">
            <v>#N/A</v>
          </cell>
          <cell r="E610">
            <v>27.601343873517767</v>
          </cell>
          <cell r="F610">
            <v>36.067747035573163</v>
          </cell>
          <cell r="G610">
            <v>34.051936758893106</v>
          </cell>
          <cell r="H610">
            <v>34.051936758893106</v>
          </cell>
          <cell r="I610" t="e">
            <v>#N/A</v>
          </cell>
          <cell r="J610" t="e">
            <v>#N/A</v>
          </cell>
          <cell r="K610" t="e">
            <v>#N/A</v>
          </cell>
          <cell r="L610" t="e">
            <v>#N/A</v>
          </cell>
          <cell r="M610" t="e">
            <v>#N/A</v>
          </cell>
          <cell r="N610" t="e">
            <v>#N/A</v>
          </cell>
          <cell r="O610" t="e">
            <v>#N/A</v>
          </cell>
          <cell r="P610">
            <v>34.65</v>
          </cell>
          <cell r="Q610" t="str">
            <v/>
          </cell>
          <cell r="R610" t="e">
            <v>#N/A</v>
          </cell>
        </row>
        <row r="611">
          <cell r="A611">
            <v>40037</v>
          </cell>
          <cell r="B611">
            <v>40037</v>
          </cell>
          <cell r="C611" t="str">
            <v>Future</v>
          </cell>
          <cell r="D611" t="e">
            <v>#N/A</v>
          </cell>
          <cell r="E611">
            <v>27.464703557312234</v>
          </cell>
          <cell r="F611">
            <v>36.09711462450597</v>
          </cell>
          <cell r="G611">
            <v>34.041778656126304</v>
          </cell>
          <cell r="H611">
            <v>34.041778656126304</v>
          </cell>
          <cell r="I611" t="e">
            <v>#N/A</v>
          </cell>
          <cell r="J611" t="e">
            <v>#N/A</v>
          </cell>
          <cell r="K611" t="e">
            <v>#N/A</v>
          </cell>
          <cell r="L611" t="e">
            <v>#N/A</v>
          </cell>
          <cell r="M611" t="e">
            <v>#N/A</v>
          </cell>
          <cell r="N611" t="e">
            <v>#N/A</v>
          </cell>
          <cell r="O611" t="e">
            <v>#N/A</v>
          </cell>
          <cell r="P611">
            <v>34.65</v>
          </cell>
          <cell r="Q611" t="str">
            <v/>
          </cell>
          <cell r="R611" t="e">
            <v>#N/A</v>
          </cell>
        </row>
        <row r="612">
          <cell r="A612">
            <v>40038</v>
          </cell>
          <cell r="B612">
            <v>40038</v>
          </cell>
          <cell r="C612" t="str">
            <v>Future</v>
          </cell>
          <cell r="D612" t="e">
            <v>#N/A</v>
          </cell>
          <cell r="E612">
            <v>27.328063241106701</v>
          </cell>
          <cell r="F612">
            <v>36.126482213438777</v>
          </cell>
          <cell r="G612">
            <v>34.031620553359502</v>
          </cell>
          <cell r="H612">
            <v>34.031620553359502</v>
          </cell>
          <cell r="I612" t="e">
            <v>#N/A</v>
          </cell>
          <cell r="J612" t="e">
            <v>#N/A</v>
          </cell>
          <cell r="K612" t="e">
            <v>#N/A</v>
          </cell>
          <cell r="L612" t="e">
            <v>#N/A</v>
          </cell>
          <cell r="M612" t="e">
            <v>#N/A</v>
          </cell>
          <cell r="N612" t="e">
            <v>#N/A</v>
          </cell>
          <cell r="O612" t="e">
            <v>#N/A</v>
          </cell>
          <cell r="P612">
            <v>34.65</v>
          </cell>
          <cell r="Q612" t="str">
            <v/>
          </cell>
          <cell r="R612" t="e">
            <v>#N/A</v>
          </cell>
        </row>
        <row r="613">
          <cell r="A613">
            <v>40039</v>
          </cell>
          <cell r="B613">
            <v>40039</v>
          </cell>
          <cell r="C613" t="str">
            <v>Future</v>
          </cell>
          <cell r="D613" t="e">
            <v>#N/A</v>
          </cell>
          <cell r="E613">
            <v>27.191422924901168</v>
          </cell>
          <cell r="F613">
            <v>36.155849802371584</v>
          </cell>
          <cell r="G613">
            <v>34.021462450592701</v>
          </cell>
          <cell r="H613">
            <v>34.021462450592701</v>
          </cell>
          <cell r="I613" t="e">
            <v>#N/A</v>
          </cell>
          <cell r="J613" t="e">
            <v>#N/A</v>
          </cell>
          <cell r="K613" t="e">
            <v>#N/A</v>
          </cell>
          <cell r="L613" t="e">
            <v>#N/A</v>
          </cell>
          <cell r="M613" t="e">
            <v>#N/A</v>
          </cell>
          <cell r="N613" t="e">
            <v>#N/A</v>
          </cell>
          <cell r="O613" t="e">
            <v>#N/A</v>
          </cell>
          <cell r="P613">
            <v>34.65</v>
          </cell>
          <cell r="Q613" t="str">
            <v/>
          </cell>
          <cell r="R613" t="e">
            <v>#N/A</v>
          </cell>
        </row>
        <row r="614">
          <cell r="A614">
            <v>40042</v>
          </cell>
          <cell r="B614">
            <v>40042</v>
          </cell>
          <cell r="C614" t="str">
            <v>Future</v>
          </cell>
          <cell r="D614" t="e">
            <v>#N/A</v>
          </cell>
          <cell r="E614">
            <v>27.054782608695636</v>
          </cell>
          <cell r="F614">
            <v>36.185217391304391</v>
          </cell>
          <cell r="G614">
            <v>34.011304347825899</v>
          </cell>
          <cell r="H614">
            <v>34.011304347825899</v>
          </cell>
          <cell r="I614" t="e">
            <v>#N/A</v>
          </cell>
          <cell r="J614" t="e">
            <v>#N/A</v>
          </cell>
          <cell r="K614" t="e">
            <v>#N/A</v>
          </cell>
          <cell r="L614" t="e">
            <v>#N/A</v>
          </cell>
          <cell r="M614" t="e">
            <v>#N/A</v>
          </cell>
          <cell r="N614" t="e">
            <v>#N/A</v>
          </cell>
          <cell r="O614" t="e">
            <v>#N/A</v>
          </cell>
          <cell r="P614">
            <v>34.65</v>
          </cell>
          <cell r="Q614" t="str">
            <v/>
          </cell>
          <cell r="R614" t="e">
            <v>#N/A</v>
          </cell>
        </row>
        <row r="615">
          <cell r="A615">
            <v>40043</v>
          </cell>
          <cell r="B615">
            <v>40043</v>
          </cell>
          <cell r="C615" t="str">
            <v>Future</v>
          </cell>
          <cell r="D615" t="e">
            <v>#N/A</v>
          </cell>
          <cell r="E615">
            <v>26.918142292490103</v>
          </cell>
          <cell r="F615">
            <v>36.214584980237198</v>
          </cell>
          <cell r="G615">
            <v>34.001146245059097</v>
          </cell>
          <cell r="H615">
            <v>34.001146245059097</v>
          </cell>
          <cell r="I615" t="e">
            <v>#N/A</v>
          </cell>
          <cell r="J615" t="e">
            <v>#N/A</v>
          </cell>
          <cell r="K615" t="e">
            <v>#N/A</v>
          </cell>
          <cell r="L615" t="e">
            <v>#N/A</v>
          </cell>
          <cell r="M615" t="e">
            <v>#N/A</v>
          </cell>
          <cell r="N615" t="e">
            <v>#N/A</v>
          </cell>
          <cell r="O615" t="e">
            <v>#N/A</v>
          </cell>
          <cell r="P615">
            <v>34.65</v>
          </cell>
          <cell r="Q615" t="str">
            <v/>
          </cell>
          <cell r="R615" t="e">
            <v>#N/A</v>
          </cell>
        </row>
        <row r="616">
          <cell r="A616">
            <v>40044</v>
          </cell>
          <cell r="B616">
            <v>40044</v>
          </cell>
          <cell r="C616" t="str">
            <v>Future</v>
          </cell>
          <cell r="D616" t="e">
            <v>#N/A</v>
          </cell>
          <cell r="E616">
            <v>26.78150197628457</v>
          </cell>
          <cell r="F616">
            <v>36.243952569170006</v>
          </cell>
          <cell r="G616">
            <v>33.990988142292295</v>
          </cell>
          <cell r="H616">
            <v>33.990988142292295</v>
          </cell>
          <cell r="I616" t="e">
            <v>#N/A</v>
          </cell>
          <cell r="J616" t="e">
            <v>#N/A</v>
          </cell>
          <cell r="K616" t="e">
            <v>#N/A</v>
          </cell>
          <cell r="L616" t="e">
            <v>#N/A</v>
          </cell>
          <cell r="M616" t="e">
            <v>#N/A</v>
          </cell>
          <cell r="N616" t="e">
            <v>#N/A</v>
          </cell>
          <cell r="O616" t="e">
            <v>#N/A</v>
          </cell>
          <cell r="P616">
            <v>34.65</v>
          </cell>
          <cell r="Q616" t="str">
            <v/>
          </cell>
          <cell r="R616" t="e">
            <v>#N/A</v>
          </cell>
        </row>
        <row r="617">
          <cell r="A617">
            <v>40045</v>
          </cell>
          <cell r="B617">
            <v>40045</v>
          </cell>
          <cell r="C617" t="str">
            <v>Future</v>
          </cell>
          <cell r="D617" t="e">
            <v>#N/A</v>
          </cell>
          <cell r="E617">
            <v>26.644861660079037</v>
          </cell>
          <cell r="F617">
            <v>36.273320158102813</v>
          </cell>
          <cell r="G617">
            <v>33.980830039525493</v>
          </cell>
          <cell r="H617">
            <v>33.980830039525493</v>
          </cell>
          <cell r="I617" t="e">
            <v>#N/A</v>
          </cell>
          <cell r="J617" t="e">
            <v>#N/A</v>
          </cell>
          <cell r="K617" t="e">
            <v>#N/A</v>
          </cell>
          <cell r="L617" t="e">
            <v>#N/A</v>
          </cell>
          <cell r="M617" t="e">
            <v>#N/A</v>
          </cell>
          <cell r="N617" t="e">
            <v>#N/A</v>
          </cell>
          <cell r="O617" t="e">
            <v>#N/A</v>
          </cell>
          <cell r="P617">
            <v>34.65</v>
          </cell>
          <cell r="Q617" t="str">
            <v/>
          </cell>
          <cell r="R617" t="e">
            <v>#N/A</v>
          </cell>
        </row>
        <row r="618">
          <cell r="A618">
            <v>40046</v>
          </cell>
          <cell r="B618">
            <v>40046</v>
          </cell>
          <cell r="C618" t="str">
            <v>Future</v>
          </cell>
          <cell r="D618" t="e">
            <v>#N/A</v>
          </cell>
          <cell r="E618">
            <v>26.508221343873505</v>
          </cell>
          <cell r="F618">
            <v>36.30268774703562</v>
          </cell>
          <cell r="G618">
            <v>33.970671936758691</v>
          </cell>
          <cell r="H618">
            <v>33.970671936758691</v>
          </cell>
          <cell r="I618" t="e">
            <v>#N/A</v>
          </cell>
          <cell r="J618" t="e">
            <v>#N/A</v>
          </cell>
          <cell r="K618" t="e">
            <v>#N/A</v>
          </cell>
          <cell r="L618" t="e">
            <v>#N/A</v>
          </cell>
          <cell r="M618" t="e">
            <v>#N/A</v>
          </cell>
          <cell r="N618" t="e">
            <v>#N/A</v>
          </cell>
          <cell r="O618" t="e">
            <v>#N/A</v>
          </cell>
          <cell r="P618">
            <v>34.65</v>
          </cell>
          <cell r="Q618" t="str">
            <v/>
          </cell>
          <cell r="R618" t="e">
            <v>#N/A</v>
          </cell>
        </row>
        <row r="619">
          <cell r="A619">
            <v>40049</v>
          </cell>
          <cell r="B619">
            <v>40049</v>
          </cell>
          <cell r="C619" t="str">
            <v>Future</v>
          </cell>
          <cell r="D619" t="e">
            <v>#N/A</v>
          </cell>
          <cell r="E619">
            <v>26.371581027667972</v>
          </cell>
          <cell r="F619">
            <v>36.332055335968427</v>
          </cell>
          <cell r="G619">
            <v>33.960513833991889</v>
          </cell>
          <cell r="H619">
            <v>33.960513833991889</v>
          </cell>
          <cell r="I619" t="e">
            <v>#N/A</v>
          </cell>
          <cell r="J619" t="e">
            <v>#N/A</v>
          </cell>
          <cell r="K619" t="e">
            <v>#N/A</v>
          </cell>
          <cell r="L619" t="e">
            <v>#N/A</v>
          </cell>
          <cell r="M619" t="e">
            <v>#N/A</v>
          </cell>
          <cell r="N619" t="e">
            <v>#N/A</v>
          </cell>
          <cell r="O619" t="e">
            <v>#N/A</v>
          </cell>
          <cell r="P619">
            <v>34.65</v>
          </cell>
          <cell r="Q619" t="str">
            <v/>
          </cell>
          <cell r="R619" t="e">
            <v>#N/A</v>
          </cell>
        </row>
        <row r="620">
          <cell r="A620">
            <v>40050</v>
          </cell>
          <cell r="B620">
            <v>40050</v>
          </cell>
          <cell r="C620" t="str">
            <v>Future</v>
          </cell>
          <cell r="D620" t="e">
            <v>#N/A</v>
          </cell>
          <cell r="E620">
            <v>26.234940711462439</v>
          </cell>
          <cell r="F620">
            <v>36.361422924901234</v>
          </cell>
          <cell r="G620">
            <v>33.950355731225088</v>
          </cell>
          <cell r="H620">
            <v>33.950355731225088</v>
          </cell>
          <cell r="I620" t="e">
            <v>#N/A</v>
          </cell>
          <cell r="J620" t="e">
            <v>#N/A</v>
          </cell>
          <cell r="K620" t="e">
            <v>#N/A</v>
          </cell>
          <cell r="L620" t="e">
            <v>#N/A</v>
          </cell>
          <cell r="M620" t="e">
            <v>#N/A</v>
          </cell>
          <cell r="N620" t="e">
            <v>#N/A</v>
          </cell>
          <cell r="O620" t="e">
            <v>#N/A</v>
          </cell>
          <cell r="P620">
            <v>34.65</v>
          </cell>
          <cell r="Q620" t="str">
            <v/>
          </cell>
          <cell r="R620" t="e">
            <v>#N/A</v>
          </cell>
        </row>
        <row r="621">
          <cell r="A621">
            <v>40051</v>
          </cell>
          <cell r="B621">
            <v>40051</v>
          </cell>
          <cell r="C621" t="str">
            <v>Future</v>
          </cell>
          <cell r="D621" t="e">
            <v>#N/A</v>
          </cell>
          <cell r="E621">
            <v>26.098300395256906</v>
          </cell>
          <cell r="F621">
            <v>36.390790513834041</v>
          </cell>
          <cell r="G621">
            <v>33.940197628458286</v>
          </cell>
          <cell r="H621">
            <v>33.940197628458286</v>
          </cell>
          <cell r="I621" t="e">
            <v>#N/A</v>
          </cell>
          <cell r="J621" t="e">
            <v>#N/A</v>
          </cell>
          <cell r="K621" t="e">
            <v>#N/A</v>
          </cell>
          <cell r="L621" t="e">
            <v>#N/A</v>
          </cell>
          <cell r="M621" t="e">
            <v>#N/A</v>
          </cell>
          <cell r="N621" t="e">
            <v>#N/A</v>
          </cell>
          <cell r="O621" t="e">
            <v>#N/A</v>
          </cell>
          <cell r="P621">
            <v>34.65</v>
          </cell>
          <cell r="Q621" t="str">
            <v/>
          </cell>
          <cell r="R621" t="e">
            <v>#N/A</v>
          </cell>
        </row>
        <row r="622">
          <cell r="A622">
            <v>40052</v>
          </cell>
          <cell r="B622">
            <v>40052</v>
          </cell>
          <cell r="C622" t="str">
            <v>Future</v>
          </cell>
          <cell r="D622" t="e">
            <v>#N/A</v>
          </cell>
          <cell r="E622">
            <v>25.961660079051374</v>
          </cell>
          <cell r="F622">
            <v>36.420158102766848</v>
          </cell>
          <cell r="G622">
            <v>33.930039525691484</v>
          </cell>
          <cell r="H622">
            <v>33.930039525691484</v>
          </cell>
          <cell r="I622" t="e">
            <v>#N/A</v>
          </cell>
          <cell r="J622" t="e">
            <v>#N/A</v>
          </cell>
          <cell r="K622" t="e">
            <v>#N/A</v>
          </cell>
          <cell r="L622" t="e">
            <v>#N/A</v>
          </cell>
          <cell r="M622" t="e">
            <v>#N/A</v>
          </cell>
          <cell r="N622" t="e">
            <v>#N/A</v>
          </cell>
          <cell r="O622" t="e">
            <v>#N/A</v>
          </cell>
          <cell r="P622">
            <v>34.65</v>
          </cell>
          <cell r="Q622" t="str">
            <v/>
          </cell>
          <cell r="R622" t="e">
            <v>#N/A</v>
          </cell>
        </row>
        <row r="623">
          <cell r="A623">
            <v>40053</v>
          </cell>
          <cell r="B623">
            <v>40053</v>
          </cell>
          <cell r="C623" t="str">
            <v>Future</v>
          </cell>
          <cell r="D623" t="e">
            <v>#N/A</v>
          </cell>
          <cell r="E623">
            <v>25.825019762845841</v>
          </cell>
          <cell r="F623">
            <v>36.449525691699655</v>
          </cell>
          <cell r="G623">
            <v>33.919881422924682</v>
          </cell>
          <cell r="H623">
            <v>33.919881422924682</v>
          </cell>
          <cell r="I623" t="e">
            <v>#N/A</v>
          </cell>
          <cell r="J623" t="e">
            <v>#N/A</v>
          </cell>
          <cell r="K623" t="e">
            <v>#N/A</v>
          </cell>
          <cell r="L623" t="e">
            <v>#N/A</v>
          </cell>
          <cell r="M623" t="e">
            <v>#N/A</v>
          </cell>
          <cell r="N623" t="e">
            <v>#N/A</v>
          </cell>
          <cell r="O623" t="e">
            <v>#N/A</v>
          </cell>
          <cell r="P623">
            <v>34.65</v>
          </cell>
          <cell r="Q623" t="str">
            <v/>
          </cell>
          <cell r="R623" t="e">
            <v>#N/A</v>
          </cell>
        </row>
        <row r="624">
          <cell r="A624">
            <v>40056</v>
          </cell>
          <cell r="B624">
            <v>40056</v>
          </cell>
          <cell r="C624" t="str">
            <v>Future</v>
          </cell>
          <cell r="D624" t="e">
            <v>#N/A</v>
          </cell>
          <cell r="E624">
            <v>25.688379446640308</v>
          </cell>
          <cell r="F624">
            <v>36.478893280632462</v>
          </cell>
          <cell r="G624">
            <v>33.90972332015788</v>
          </cell>
          <cell r="H624">
            <v>33.90972332015788</v>
          </cell>
          <cell r="I624" t="e">
            <v>#N/A</v>
          </cell>
          <cell r="J624" t="e">
            <v>#N/A</v>
          </cell>
          <cell r="K624" t="e">
            <v>#N/A</v>
          </cell>
          <cell r="L624" t="e">
            <v>#N/A</v>
          </cell>
          <cell r="M624" t="e">
            <v>#N/A</v>
          </cell>
          <cell r="N624" t="e">
            <v>#N/A</v>
          </cell>
          <cell r="O624" t="e">
            <v>#N/A</v>
          </cell>
          <cell r="P624">
            <v>34.65</v>
          </cell>
          <cell r="Q624" t="str">
            <v/>
          </cell>
          <cell r="R624" t="e">
            <v>#N/A</v>
          </cell>
        </row>
        <row r="625">
          <cell r="A625">
            <v>40057</v>
          </cell>
          <cell r="B625">
            <v>40057</v>
          </cell>
          <cell r="C625" t="str">
            <v>Future</v>
          </cell>
          <cell r="D625" t="e">
            <v>#N/A</v>
          </cell>
          <cell r="E625">
            <v>25.551739130434775</v>
          </cell>
          <cell r="F625">
            <v>36.50826086956527</v>
          </cell>
          <cell r="G625">
            <v>33.899565217391078</v>
          </cell>
          <cell r="H625">
            <v>33.899565217391078</v>
          </cell>
          <cell r="I625" t="e">
            <v>#N/A</v>
          </cell>
          <cell r="J625" t="e">
            <v>#N/A</v>
          </cell>
          <cell r="K625" t="e">
            <v>#N/A</v>
          </cell>
          <cell r="L625" t="e">
            <v>#N/A</v>
          </cell>
          <cell r="M625" t="e">
            <v>#N/A</v>
          </cell>
          <cell r="N625" t="e">
            <v>#N/A</v>
          </cell>
          <cell r="O625" t="e">
            <v>#N/A</v>
          </cell>
          <cell r="P625">
            <v>34.65</v>
          </cell>
          <cell r="Q625" t="str">
            <v/>
          </cell>
          <cell r="R625" t="e">
            <v>#N/A</v>
          </cell>
        </row>
        <row r="626">
          <cell r="A626">
            <v>40058</v>
          </cell>
          <cell r="B626">
            <v>40058</v>
          </cell>
          <cell r="C626" t="str">
            <v>Future</v>
          </cell>
          <cell r="D626" t="e">
            <v>#N/A</v>
          </cell>
          <cell r="E626">
            <v>25.415098814229243</v>
          </cell>
          <cell r="F626">
            <v>36.537628458498077</v>
          </cell>
          <cell r="G626">
            <v>33.889407114624277</v>
          </cell>
          <cell r="H626">
            <v>33.889407114624277</v>
          </cell>
          <cell r="I626" t="e">
            <v>#N/A</v>
          </cell>
          <cell r="J626" t="e">
            <v>#N/A</v>
          </cell>
          <cell r="K626" t="e">
            <v>#N/A</v>
          </cell>
          <cell r="L626" t="e">
            <v>#N/A</v>
          </cell>
          <cell r="M626" t="e">
            <v>#N/A</v>
          </cell>
          <cell r="N626" t="e">
            <v>#N/A</v>
          </cell>
          <cell r="O626" t="e">
            <v>#N/A</v>
          </cell>
          <cell r="P626">
            <v>34.65</v>
          </cell>
          <cell r="Q626" t="str">
            <v/>
          </cell>
          <cell r="R626" t="e">
            <v>#N/A</v>
          </cell>
        </row>
        <row r="627">
          <cell r="A627">
            <v>40059</v>
          </cell>
          <cell r="B627">
            <v>40059</v>
          </cell>
          <cell r="C627" t="str">
            <v>Future</v>
          </cell>
          <cell r="D627" t="e">
            <v>#N/A</v>
          </cell>
          <cell r="E627">
            <v>25.27845849802371</v>
          </cell>
          <cell r="F627">
            <v>36.566996047430884</v>
          </cell>
          <cell r="G627">
            <v>33.879249011857475</v>
          </cell>
          <cell r="H627">
            <v>33.879249011857475</v>
          </cell>
          <cell r="I627" t="e">
            <v>#N/A</v>
          </cell>
          <cell r="J627" t="e">
            <v>#N/A</v>
          </cell>
          <cell r="K627" t="e">
            <v>#N/A</v>
          </cell>
          <cell r="L627" t="e">
            <v>#N/A</v>
          </cell>
          <cell r="M627" t="e">
            <v>#N/A</v>
          </cell>
          <cell r="N627" t="e">
            <v>#N/A</v>
          </cell>
          <cell r="O627" t="e">
            <v>#N/A</v>
          </cell>
          <cell r="P627">
            <v>34.65</v>
          </cell>
          <cell r="Q627" t="str">
            <v/>
          </cell>
          <cell r="R627" t="e">
            <v>#N/A</v>
          </cell>
        </row>
        <row r="628">
          <cell r="A628">
            <v>40060</v>
          </cell>
          <cell r="B628">
            <v>40060</v>
          </cell>
          <cell r="C628" t="str">
            <v>Future</v>
          </cell>
          <cell r="D628" t="e">
            <v>#N/A</v>
          </cell>
          <cell r="E628">
            <v>25.141818181818177</v>
          </cell>
          <cell r="F628">
            <v>36.596363636363691</v>
          </cell>
          <cell r="G628">
            <v>33.869090909090673</v>
          </cell>
          <cell r="H628">
            <v>33.869090909090673</v>
          </cell>
          <cell r="I628" t="e">
            <v>#N/A</v>
          </cell>
          <cell r="J628" t="e">
            <v>#N/A</v>
          </cell>
          <cell r="K628" t="e">
            <v>#N/A</v>
          </cell>
          <cell r="L628" t="e">
            <v>#N/A</v>
          </cell>
          <cell r="M628" t="e">
            <v>#N/A</v>
          </cell>
          <cell r="N628" t="e">
            <v>#N/A</v>
          </cell>
          <cell r="O628" t="e">
            <v>#N/A</v>
          </cell>
          <cell r="P628">
            <v>34.65</v>
          </cell>
          <cell r="Q628" t="str">
            <v/>
          </cell>
          <cell r="R628" t="e">
            <v>#N/A</v>
          </cell>
        </row>
        <row r="629">
          <cell r="A629">
            <v>40064</v>
          </cell>
          <cell r="B629">
            <v>40064</v>
          </cell>
          <cell r="C629" t="str">
            <v>Future</v>
          </cell>
          <cell r="D629" t="e">
            <v>#N/A</v>
          </cell>
          <cell r="E629">
            <v>25.005177865612644</v>
          </cell>
          <cell r="F629">
            <v>36.625731225296498</v>
          </cell>
          <cell r="G629">
            <v>33.858932806323871</v>
          </cell>
          <cell r="H629">
            <v>33.858932806323871</v>
          </cell>
          <cell r="I629" t="e">
            <v>#N/A</v>
          </cell>
          <cell r="J629" t="e">
            <v>#N/A</v>
          </cell>
          <cell r="K629" t="e">
            <v>#N/A</v>
          </cell>
          <cell r="L629" t="e">
            <v>#N/A</v>
          </cell>
          <cell r="M629" t="e">
            <v>#N/A</v>
          </cell>
          <cell r="N629" t="e">
            <v>#N/A</v>
          </cell>
          <cell r="O629" t="e">
            <v>#N/A</v>
          </cell>
          <cell r="P629">
            <v>34.65</v>
          </cell>
          <cell r="Q629" t="str">
            <v/>
          </cell>
          <cell r="R629" t="e">
            <v>#N/A</v>
          </cell>
        </row>
        <row r="630">
          <cell r="A630">
            <v>40065</v>
          </cell>
          <cell r="B630">
            <v>40065</v>
          </cell>
          <cell r="C630" t="str">
            <v>Future</v>
          </cell>
          <cell r="D630" t="e">
            <v>#N/A</v>
          </cell>
          <cell r="E630">
            <v>24.868537549407112</v>
          </cell>
          <cell r="F630">
            <v>36.655098814229305</v>
          </cell>
          <cell r="G630">
            <v>33.848774703557069</v>
          </cell>
          <cell r="H630">
            <v>33.848774703557069</v>
          </cell>
          <cell r="I630" t="e">
            <v>#N/A</v>
          </cell>
          <cell r="J630" t="e">
            <v>#N/A</v>
          </cell>
          <cell r="K630" t="e">
            <v>#N/A</v>
          </cell>
          <cell r="L630" t="e">
            <v>#N/A</v>
          </cell>
          <cell r="M630" t="e">
            <v>#N/A</v>
          </cell>
          <cell r="N630" t="e">
            <v>#N/A</v>
          </cell>
          <cell r="O630" t="e">
            <v>#N/A</v>
          </cell>
          <cell r="P630">
            <v>34.65</v>
          </cell>
          <cell r="Q630" t="str">
            <v/>
          </cell>
          <cell r="R630" t="e">
            <v>#N/A</v>
          </cell>
        </row>
        <row r="631">
          <cell r="A631">
            <v>40066</v>
          </cell>
          <cell r="B631">
            <v>40066</v>
          </cell>
          <cell r="C631" t="str">
            <v>Future</v>
          </cell>
          <cell r="D631" t="e">
            <v>#N/A</v>
          </cell>
          <cell r="E631">
            <v>24.731897233201579</v>
          </cell>
          <cell r="F631">
            <v>36.684466403162112</v>
          </cell>
          <cell r="G631">
            <v>33.838616600790267</v>
          </cell>
          <cell r="H631">
            <v>33.838616600790267</v>
          </cell>
          <cell r="I631" t="e">
            <v>#N/A</v>
          </cell>
          <cell r="J631" t="e">
            <v>#N/A</v>
          </cell>
          <cell r="K631" t="e">
            <v>#N/A</v>
          </cell>
          <cell r="L631" t="e">
            <v>#N/A</v>
          </cell>
          <cell r="M631" t="e">
            <v>#N/A</v>
          </cell>
          <cell r="N631" t="e">
            <v>#N/A</v>
          </cell>
          <cell r="O631" t="e">
            <v>#N/A</v>
          </cell>
          <cell r="P631">
            <v>34.65</v>
          </cell>
          <cell r="Q631" t="str">
            <v/>
          </cell>
          <cell r="R631" t="e">
            <v>#N/A</v>
          </cell>
        </row>
        <row r="632">
          <cell r="A632">
            <v>40067</v>
          </cell>
          <cell r="B632">
            <v>40067</v>
          </cell>
          <cell r="C632" t="str">
            <v>Future</v>
          </cell>
          <cell r="D632" t="e">
            <v>#N/A</v>
          </cell>
          <cell r="E632">
            <v>24.595256916996046</v>
          </cell>
          <cell r="F632">
            <v>36.713833992094919</v>
          </cell>
          <cell r="G632">
            <v>33.828458498023465</v>
          </cell>
          <cell r="H632">
            <v>33.828458498023465</v>
          </cell>
          <cell r="I632" t="e">
            <v>#N/A</v>
          </cell>
          <cell r="J632" t="e">
            <v>#N/A</v>
          </cell>
          <cell r="K632" t="e">
            <v>#N/A</v>
          </cell>
          <cell r="L632" t="e">
            <v>#N/A</v>
          </cell>
          <cell r="M632" t="e">
            <v>#N/A</v>
          </cell>
          <cell r="N632" t="e">
            <v>#N/A</v>
          </cell>
          <cell r="O632" t="e">
            <v>#N/A</v>
          </cell>
          <cell r="P632">
            <v>34.65</v>
          </cell>
          <cell r="Q632" t="str">
            <v/>
          </cell>
          <cell r="R632" t="e">
            <v>#N/A</v>
          </cell>
        </row>
        <row r="633">
          <cell r="A633">
            <v>40070</v>
          </cell>
          <cell r="B633">
            <v>40070</v>
          </cell>
          <cell r="C633" t="str">
            <v>Future</v>
          </cell>
          <cell r="D633" t="e">
            <v>#N/A</v>
          </cell>
          <cell r="E633">
            <v>24.458616600790513</v>
          </cell>
          <cell r="F633">
            <v>36.743201581027726</v>
          </cell>
          <cell r="G633">
            <v>33.818300395256664</v>
          </cell>
          <cell r="H633">
            <v>33.818300395256664</v>
          </cell>
          <cell r="I633" t="e">
            <v>#N/A</v>
          </cell>
          <cell r="J633" t="e">
            <v>#N/A</v>
          </cell>
          <cell r="K633" t="e">
            <v>#N/A</v>
          </cell>
          <cell r="L633" t="e">
            <v>#N/A</v>
          </cell>
          <cell r="M633" t="e">
            <v>#N/A</v>
          </cell>
          <cell r="N633" t="e">
            <v>#N/A</v>
          </cell>
          <cell r="O633" t="e">
            <v>#N/A</v>
          </cell>
          <cell r="P633">
            <v>34.65</v>
          </cell>
          <cell r="Q633" t="str">
            <v/>
          </cell>
          <cell r="R633" t="e">
            <v>#N/A</v>
          </cell>
        </row>
        <row r="634">
          <cell r="A634">
            <v>40071</v>
          </cell>
          <cell r="B634">
            <v>40071</v>
          </cell>
          <cell r="C634" t="str">
            <v>Future</v>
          </cell>
          <cell r="D634" t="e">
            <v>#N/A</v>
          </cell>
          <cell r="E634">
            <v>24.321976284584981</v>
          </cell>
          <cell r="F634">
            <v>36.772569169960533</v>
          </cell>
          <cell r="G634">
            <v>33.808142292489862</v>
          </cell>
          <cell r="H634">
            <v>33.808142292489862</v>
          </cell>
          <cell r="I634" t="e">
            <v>#N/A</v>
          </cell>
          <cell r="J634" t="e">
            <v>#N/A</v>
          </cell>
          <cell r="K634" t="e">
            <v>#N/A</v>
          </cell>
          <cell r="L634" t="e">
            <v>#N/A</v>
          </cell>
          <cell r="M634" t="e">
            <v>#N/A</v>
          </cell>
          <cell r="N634" t="e">
            <v>#N/A</v>
          </cell>
          <cell r="O634" t="e">
            <v>#N/A</v>
          </cell>
          <cell r="P634">
            <v>34.65</v>
          </cell>
          <cell r="Q634" t="str">
            <v/>
          </cell>
          <cell r="R634" t="e">
            <v>#N/A</v>
          </cell>
        </row>
        <row r="635">
          <cell r="A635">
            <v>40072</v>
          </cell>
          <cell r="B635">
            <v>40072</v>
          </cell>
          <cell r="C635" t="str">
            <v>Future</v>
          </cell>
          <cell r="D635" t="e">
            <v>#N/A</v>
          </cell>
          <cell r="E635">
            <v>24.185335968379448</v>
          </cell>
          <cell r="F635">
            <v>36.801936758893341</v>
          </cell>
          <cell r="G635">
            <v>33.79798418972306</v>
          </cell>
          <cell r="H635">
            <v>33.79798418972306</v>
          </cell>
          <cell r="I635" t="e">
            <v>#N/A</v>
          </cell>
          <cell r="J635" t="e">
            <v>#N/A</v>
          </cell>
          <cell r="K635" t="e">
            <v>#N/A</v>
          </cell>
          <cell r="L635" t="e">
            <v>#N/A</v>
          </cell>
          <cell r="M635" t="e">
            <v>#N/A</v>
          </cell>
          <cell r="N635" t="e">
            <v>#N/A</v>
          </cell>
          <cell r="O635" t="e">
            <v>#N/A</v>
          </cell>
          <cell r="P635">
            <v>34.65</v>
          </cell>
          <cell r="Q635" t="str">
            <v/>
          </cell>
          <cell r="R635" t="e">
            <v>#N/A</v>
          </cell>
        </row>
        <row r="636">
          <cell r="A636">
            <v>40073</v>
          </cell>
          <cell r="B636">
            <v>40073</v>
          </cell>
          <cell r="C636" t="str">
            <v>Future</v>
          </cell>
          <cell r="D636" t="e">
            <v>#N/A</v>
          </cell>
          <cell r="E636">
            <v>24.048695652173915</v>
          </cell>
          <cell r="F636">
            <v>36.831304347826148</v>
          </cell>
          <cell r="G636">
            <v>33.787826086956258</v>
          </cell>
          <cell r="H636">
            <v>33.787826086956258</v>
          </cell>
          <cell r="I636" t="e">
            <v>#N/A</v>
          </cell>
          <cell r="J636" t="e">
            <v>#N/A</v>
          </cell>
          <cell r="K636" t="e">
            <v>#N/A</v>
          </cell>
          <cell r="L636" t="e">
            <v>#N/A</v>
          </cell>
          <cell r="M636" t="e">
            <v>#N/A</v>
          </cell>
          <cell r="N636" t="e">
            <v>#N/A</v>
          </cell>
          <cell r="O636" t="e">
            <v>#N/A</v>
          </cell>
          <cell r="P636">
            <v>34.65</v>
          </cell>
          <cell r="Q636" t="str">
            <v/>
          </cell>
          <cell r="R636" t="e">
            <v>#N/A</v>
          </cell>
        </row>
        <row r="637">
          <cell r="A637">
            <v>40074</v>
          </cell>
          <cell r="B637">
            <v>40074</v>
          </cell>
          <cell r="C637" t="str">
            <v>Future</v>
          </cell>
          <cell r="D637" t="e">
            <v>#N/A</v>
          </cell>
          <cell r="E637">
            <v>23.912055335968383</v>
          </cell>
          <cell r="F637">
            <v>36.860671936758955</v>
          </cell>
          <cell r="G637">
            <v>33.777667984189456</v>
          </cell>
          <cell r="H637">
            <v>33.777667984189456</v>
          </cell>
          <cell r="I637" t="e">
            <v>#N/A</v>
          </cell>
          <cell r="J637" t="e">
            <v>#N/A</v>
          </cell>
          <cell r="K637" t="e">
            <v>#N/A</v>
          </cell>
          <cell r="L637" t="e">
            <v>#N/A</v>
          </cell>
          <cell r="M637" t="e">
            <v>#N/A</v>
          </cell>
          <cell r="N637" t="e">
            <v>#N/A</v>
          </cell>
          <cell r="O637" t="e">
            <v>#N/A</v>
          </cell>
          <cell r="P637">
            <v>34.65</v>
          </cell>
          <cell r="Q637" t="str">
            <v/>
          </cell>
          <cell r="R637" t="e">
            <v>#N/A</v>
          </cell>
        </row>
        <row r="638">
          <cell r="A638">
            <v>40077</v>
          </cell>
          <cell r="B638">
            <v>40077</v>
          </cell>
          <cell r="C638" t="str">
            <v>Future</v>
          </cell>
          <cell r="D638" t="e">
            <v>#N/A</v>
          </cell>
          <cell r="E638">
            <v>23.77541501976285</v>
          </cell>
          <cell r="F638">
            <v>36.890039525691762</v>
          </cell>
          <cell r="G638">
            <v>33.767509881422654</v>
          </cell>
          <cell r="H638">
            <v>33.767509881422654</v>
          </cell>
          <cell r="I638" t="e">
            <v>#N/A</v>
          </cell>
          <cell r="J638" t="e">
            <v>#N/A</v>
          </cell>
          <cell r="K638" t="e">
            <v>#N/A</v>
          </cell>
          <cell r="L638" t="e">
            <v>#N/A</v>
          </cell>
          <cell r="M638" t="e">
            <v>#N/A</v>
          </cell>
          <cell r="N638" t="e">
            <v>#N/A</v>
          </cell>
          <cell r="O638" t="e">
            <v>#N/A</v>
          </cell>
          <cell r="P638">
            <v>34.65</v>
          </cell>
          <cell r="Q638" t="str">
            <v/>
          </cell>
          <cell r="R638" t="e">
            <v>#N/A</v>
          </cell>
        </row>
        <row r="639">
          <cell r="A639">
            <v>40078</v>
          </cell>
          <cell r="B639">
            <v>40078</v>
          </cell>
          <cell r="C639" t="str">
            <v>Future</v>
          </cell>
          <cell r="D639" t="e">
            <v>#N/A</v>
          </cell>
          <cell r="E639">
            <v>23.638774703557317</v>
          </cell>
          <cell r="F639">
            <v>36.919407114624569</v>
          </cell>
          <cell r="G639">
            <v>33.757351778655853</v>
          </cell>
          <cell r="H639">
            <v>33.757351778655853</v>
          </cell>
          <cell r="I639" t="e">
            <v>#N/A</v>
          </cell>
          <cell r="J639" t="e">
            <v>#N/A</v>
          </cell>
          <cell r="K639" t="e">
            <v>#N/A</v>
          </cell>
          <cell r="L639" t="e">
            <v>#N/A</v>
          </cell>
          <cell r="M639" t="e">
            <v>#N/A</v>
          </cell>
          <cell r="N639" t="e">
            <v>#N/A</v>
          </cell>
          <cell r="O639" t="e">
            <v>#N/A</v>
          </cell>
          <cell r="P639">
            <v>34.65</v>
          </cell>
          <cell r="Q639" t="str">
            <v/>
          </cell>
          <cell r="R639" t="e">
            <v>#N/A</v>
          </cell>
        </row>
        <row r="640">
          <cell r="A640">
            <v>40079</v>
          </cell>
          <cell r="B640">
            <v>40079</v>
          </cell>
          <cell r="C640" t="str">
            <v>Future</v>
          </cell>
          <cell r="D640" t="e">
            <v>#N/A</v>
          </cell>
          <cell r="E640">
            <v>23.502134387351784</v>
          </cell>
          <cell r="F640">
            <v>36.948774703557376</v>
          </cell>
          <cell r="G640">
            <v>33.747193675889051</v>
          </cell>
          <cell r="H640">
            <v>33.747193675889051</v>
          </cell>
          <cell r="I640" t="e">
            <v>#N/A</v>
          </cell>
          <cell r="J640" t="e">
            <v>#N/A</v>
          </cell>
          <cell r="K640" t="e">
            <v>#N/A</v>
          </cell>
          <cell r="L640" t="e">
            <v>#N/A</v>
          </cell>
          <cell r="M640" t="e">
            <v>#N/A</v>
          </cell>
          <cell r="N640" t="e">
            <v>#N/A</v>
          </cell>
          <cell r="O640" t="e">
            <v>#N/A</v>
          </cell>
          <cell r="P640">
            <v>34.65</v>
          </cell>
          <cell r="Q640" t="str">
            <v/>
          </cell>
          <cell r="R640" t="e">
            <v>#N/A</v>
          </cell>
        </row>
        <row r="641">
          <cell r="A641">
            <v>40080</v>
          </cell>
          <cell r="B641">
            <v>40080</v>
          </cell>
          <cell r="C641" t="str">
            <v>Future</v>
          </cell>
          <cell r="D641" t="e">
            <v>#N/A</v>
          </cell>
          <cell r="E641">
            <v>23.365494071146252</v>
          </cell>
          <cell r="F641">
            <v>36.978142292490183</v>
          </cell>
          <cell r="G641">
            <v>33.737035573122249</v>
          </cell>
          <cell r="H641">
            <v>33.737035573122249</v>
          </cell>
          <cell r="I641" t="e">
            <v>#N/A</v>
          </cell>
          <cell r="J641" t="e">
            <v>#N/A</v>
          </cell>
          <cell r="K641" t="e">
            <v>#N/A</v>
          </cell>
          <cell r="L641" t="e">
            <v>#N/A</v>
          </cell>
          <cell r="M641" t="e">
            <v>#N/A</v>
          </cell>
          <cell r="N641" t="e">
            <v>#N/A</v>
          </cell>
          <cell r="O641" t="e">
            <v>#N/A</v>
          </cell>
          <cell r="P641">
            <v>34.65</v>
          </cell>
          <cell r="Q641" t="str">
            <v/>
          </cell>
          <cell r="R641" t="e">
            <v>#N/A</v>
          </cell>
        </row>
        <row r="642">
          <cell r="A642">
            <v>40081</v>
          </cell>
          <cell r="B642">
            <v>40081</v>
          </cell>
          <cell r="C642" t="str">
            <v>Future</v>
          </cell>
          <cell r="D642" t="e">
            <v>#N/A</v>
          </cell>
          <cell r="E642">
            <v>23.228853754940719</v>
          </cell>
          <cell r="F642">
            <v>37.00750988142299</v>
          </cell>
          <cell r="G642">
            <v>33.726877470355447</v>
          </cell>
          <cell r="H642">
            <v>33.726877470355447</v>
          </cell>
          <cell r="I642" t="e">
            <v>#N/A</v>
          </cell>
          <cell r="J642" t="e">
            <v>#N/A</v>
          </cell>
          <cell r="K642" t="e">
            <v>#N/A</v>
          </cell>
          <cell r="L642" t="e">
            <v>#N/A</v>
          </cell>
          <cell r="M642" t="e">
            <v>#N/A</v>
          </cell>
          <cell r="N642" t="e">
            <v>#N/A</v>
          </cell>
          <cell r="O642" t="e">
            <v>#N/A</v>
          </cell>
          <cell r="P642">
            <v>34.65</v>
          </cell>
          <cell r="Q642" t="str">
            <v/>
          </cell>
          <cell r="R642" t="e">
            <v>#N/A</v>
          </cell>
        </row>
        <row r="643">
          <cell r="A643">
            <v>40084</v>
          </cell>
          <cell r="B643">
            <v>40084</v>
          </cell>
          <cell r="C643" t="str">
            <v>Future</v>
          </cell>
          <cell r="D643" t="e">
            <v>#N/A</v>
          </cell>
          <cell r="E643">
            <v>23.092213438735186</v>
          </cell>
          <cell r="F643">
            <v>37.036877470355797</v>
          </cell>
          <cell r="G643">
            <v>33.716719367588645</v>
          </cell>
          <cell r="H643">
            <v>33.716719367588645</v>
          </cell>
          <cell r="I643" t="e">
            <v>#N/A</v>
          </cell>
          <cell r="J643" t="e">
            <v>#N/A</v>
          </cell>
          <cell r="K643" t="e">
            <v>#N/A</v>
          </cell>
          <cell r="L643" t="e">
            <v>#N/A</v>
          </cell>
          <cell r="M643" t="e">
            <v>#N/A</v>
          </cell>
          <cell r="N643" t="e">
            <v>#N/A</v>
          </cell>
          <cell r="O643" t="e">
            <v>#N/A</v>
          </cell>
          <cell r="P643">
            <v>34.65</v>
          </cell>
          <cell r="Q643" t="str">
            <v/>
          </cell>
          <cell r="R643" t="e">
            <v>#N/A</v>
          </cell>
        </row>
        <row r="644">
          <cell r="A644">
            <v>40085</v>
          </cell>
          <cell r="B644">
            <v>40085</v>
          </cell>
          <cell r="C644" t="str">
            <v>Future</v>
          </cell>
          <cell r="D644" t="e">
            <v>#N/A</v>
          </cell>
          <cell r="E644">
            <v>22.955573122529653</v>
          </cell>
          <cell r="F644">
            <v>37.066245059288605</v>
          </cell>
          <cell r="G644">
            <v>33.706561264821843</v>
          </cell>
          <cell r="H644">
            <v>33.706561264821843</v>
          </cell>
          <cell r="I644" t="e">
            <v>#N/A</v>
          </cell>
          <cell r="J644" t="e">
            <v>#N/A</v>
          </cell>
          <cell r="K644" t="e">
            <v>#N/A</v>
          </cell>
          <cell r="L644" t="e">
            <v>#N/A</v>
          </cell>
          <cell r="M644" t="e">
            <v>#N/A</v>
          </cell>
          <cell r="N644" t="e">
            <v>#N/A</v>
          </cell>
          <cell r="O644" t="e">
            <v>#N/A</v>
          </cell>
          <cell r="P644">
            <v>34.65</v>
          </cell>
          <cell r="Q644" t="str">
            <v/>
          </cell>
          <cell r="R644" t="e">
            <v>#N/A</v>
          </cell>
        </row>
        <row r="645">
          <cell r="A645">
            <v>40086</v>
          </cell>
          <cell r="B645">
            <v>40086</v>
          </cell>
          <cell r="C645" t="str">
            <v>Future</v>
          </cell>
          <cell r="D645" t="e">
            <v>#N/A</v>
          </cell>
          <cell r="E645">
            <v>22.818932806324121</v>
          </cell>
          <cell r="F645">
            <v>37.095612648221412</v>
          </cell>
          <cell r="G645">
            <v>33.696403162055041</v>
          </cell>
          <cell r="H645">
            <v>33.696403162055041</v>
          </cell>
          <cell r="I645" t="e">
            <v>#N/A</v>
          </cell>
          <cell r="J645" t="e">
            <v>#N/A</v>
          </cell>
          <cell r="K645" t="e">
            <v>#N/A</v>
          </cell>
          <cell r="L645" t="e">
            <v>#N/A</v>
          </cell>
          <cell r="M645" t="e">
            <v>#N/A</v>
          </cell>
          <cell r="N645" t="e">
            <v>#N/A</v>
          </cell>
          <cell r="O645" t="e">
            <v>#N/A</v>
          </cell>
          <cell r="P645">
            <v>34.65</v>
          </cell>
          <cell r="Q645" t="str">
            <v/>
          </cell>
          <cell r="R645" t="e">
            <v>#N/A</v>
          </cell>
        </row>
        <row r="646">
          <cell r="A646">
            <v>40087</v>
          </cell>
          <cell r="B646">
            <v>40087</v>
          </cell>
          <cell r="C646" t="str">
            <v>Future</v>
          </cell>
          <cell r="D646" t="e">
            <v>#N/A</v>
          </cell>
          <cell r="E646">
            <v>22.682292490118588</v>
          </cell>
          <cell r="F646">
            <v>37.124980237154219</v>
          </cell>
          <cell r="G646">
            <v>33.68624505928824</v>
          </cell>
          <cell r="H646">
            <v>33.68624505928824</v>
          </cell>
          <cell r="I646" t="e">
            <v>#N/A</v>
          </cell>
          <cell r="J646" t="e">
            <v>#N/A</v>
          </cell>
          <cell r="K646" t="e">
            <v>#N/A</v>
          </cell>
          <cell r="L646" t="e">
            <v>#N/A</v>
          </cell>
          <cell r="M646" t="e">
            <v>#N/A</v>
          </cell>
          <cell r="N646" t="e">
            <v>#N/A</v>
          </cell>
          <cell r="O646" t="e">
            <v>#N/A</v>
          </cell>
          <cell r="P646">
            <v>34.65</v>
          </cell>
          <cell r="Q646" t="str">
            <v/>
          </cell>
          <cell r="R646" t="e">
            <v>#N/A</v>
          </cell>
        </row>
        <row r="647">
          <cell r="A647">
            <v>40088</v>
          </cell>
          <cell r="B647">
            <v>40088</v>
          </cell>
          <cell r="C647" t="str">
            <v>Future</v>
          </cell>
          <cell r="D647" t="e">
            <v>#N/A</v>
          </cell>
          <cell r="E647">
            <v>22.545652173913055</v>
          </cell>
          <cell r="F647">
            <v>37.154347826087026</v>
          </cell>
          <cell r="G647">
            <v>33.676086956521438</v>
          </cell>
          <cell r="H647">
            <v>33.676086956521438</v>
          </cell>
          <cell r="I647" t="e">
            <v>#N/A</v>
          </cell>
          <cell r="J647" t="e">
            <v>#N/A</v>
          </cell>
          <cell r="K647" t="e">
            <v>#N/A</v>
          </cell>
          <cell r="L647" t="e">
            <v>#N/A</v>
          </cell>
          <cell r="M647" t="e">
            <v>#N/A</v>
          </cell>
          <cell r="N647" t="e">
            <v>#N/A</v>
          </cell>
          <cell r="O647" t="e">
            <v>#N/A</v>
          </cell>
          <cell r="P647">
            <v>34.65</v>
          </cell>
          <cell r="Q647" t="str">
            <v/>
          </cell>
          <cell r="R647" t="e">
            <v>#N/A</v>
          </cell>
        </row>
        <row r="648">
          <cell r="A648">
            <v>40091</v>
          </cell>
          <cell r="B648">
            <v>40091</v>
          </cell>
          <cell r="C648" t="str">
            <v>Future</v>
          </cell>
          <cell r="D648" t="e">
            <v>#N/A</v>
          </cell>
          <cell r="E648">
            <v>22.409011857707522</v>
          </cell>
          <cell r="F648">
            <v>37.183715415019833</v>
          </cell>
          <cell r="G648">
            <v>33.665928853754636</v>
          </cell>
          <cell r="H648">
            <v>33.665928853754636</v>
          </cell>
          <cell r="I648" t="e">
            <v>#N/A</v>
          </cell>
          <cell r="J648" t="e">
            <v>#N/A</v>
          </cell>
          <cell r="K648" t="e">
            <v>#N/A</v>
          </cell>
          <cell r="L648" t="e">
            <v>#N/A</v>
          </cell>
          <cell r="M648" t="e">
            <v>#N/A</v>
          </cell>
          <cell r="N648" t="e">
            <v>#N/A</v>
          </cell>
          <cell r="O648" t="e">
            <v>#N/A</v>
          </cell>
          <cell r="P648">
            <v>34.65</v>
          </cell>
          <cell r="Q648" t="str">
            <v/>
          </cell>
          <cell r="R648" t="e">
            <v>#N/A</v>
          </cell>
        </row>
        <row r="649">
          <cell r="A649">
            <v>40092</v>
          </cell>
          <cell r="B649">
            <v>40092</v>
          </cell>
          <cell r="C649" t="str">
            <v>Future</v>
          </cell>
          <cell r="D649" t="e">
            <v>#N/A</v>
          </cell>
          <cell r="E649">
            <v>22.27237154150199</v>
          </cell>
          <cell r="F649">
            <v>37.21308300395264</v>
          </cell>
          <cell r="G649">
            <v>33.655770750987834</v>
          </cell>
          <cell r="H649">
            <v>33.655770750987834</v>
          </cell>
          <cell r="I649" t="e">
            <v>#N/A</v>
          </cell>
          <cell r="J649" t="e">
            <v>#N/A</v>
          </cell>
          <cell r="K649" t="e">
            <v>#N/A</v>
          </cell>
          <cell r="L649" t="e">
            <v>#N/A</v>
          </cell>
          <cell r="M649" t="e">
            <v>#N/A</v>
          </cell>
          <cell r="N649" t="e">
            <v>#N/A</v>
          </cell>
          <cell r="O649" t="e">
            <v>#N/A</v>
          </cell>
          <cell r="P649">
            <v>34.65</v>
          </cell>
          <cell r="Q649" t="str">
            <v/>
          </cell>
          <cell r="R649" t="e">
            <v>#N/A</v>
          </cell>
        </row>
        <row r="650">
          <cell r="A650">
            <v>40093</v>
          </cell>
          <cell r="B650">
            <v>40093</v>
          </cell>
          <cell r="C650" t="str">
            <v>Future</v>
          </cell>
          <cell r="D650" t="e">
            <v>#N/A</v>
          </cell>
          <cell r="E650">
            <v>22.135731225296457</v>
          </cell>
          <cell r="F650">
            <v>37.242450592885447</v>
          </cell>
          <cell r="G650">
            <v>33.645612648221032</v>
          </cell>
          <cell r="H650">
            <v>33.645612648221032</v>
          </cell>
          <cell r="I650" t="e">
            <v>#N/A</v>
          </cell>
          <cell r="J650" t="e">
            <v>#N/A</v>
          </cell>
          <cell r="K650" t="e">
            <v>#N/A</v>
          </cell>
          <cell r="L650" t="e">
            <v>#N/A</v>
          </cell>
          <cell r="M650" t="e">
            <v>#N/A</v>
          </cell>
          <cell r="N650" t="e">
            <v>#N/A</v>
          </cell>
          <cell r="O650" t="e">
            <v>#N/A</v>
          </cell>
          <cell r="P650">
            <v>34.65</v>
          </cell>
          <cell r="Q650" t="str">
            <v/>
          </cell>
          <cell r="R650" t="e">
            <v>#N/A</v>
          </cell>
        </row>
        <row r="651">
          <cell r="A651">
            <v>40094</v>
          </cell>
          <cell r="B651">
            <v>40094</v>
          </cell>
          <cell r="C651" t="str">
            <v>Future</v>
          </cell>
          <cell r="D651" t="e">
            <v>#N/A</v>
          </cell>
          <cell r="E651">
            <v>21.999090909090924</v>
          </cell>
          <cell r="F651">
            <v>37.271818181818254</v>
          </cell>
          <cell r="G651">
            <v>33.63545454545423</v>
          </cell>
          <cell r="H651">
            <v>33.63545454545423</v>
          </cell>
          <cell r="I651" t="e">
            <v>#N/A</v>
          </cell>
          <cell r="J651" t="e">
            <v>#N/A</v>
          </cell>
          <cell r="K651" t="e">
            <v>#N/A</v>
          </cell>
          <cell r="L651" t="e">
            <v>#N/A</v>
          </cell>
          <cell r="M651" t="e">
            <v>#N/A</v>
          </cell>
          <cell r="N651" t="e">
            <v>#N/A</v>
          </cell>
          <cell r="O651" t="e">
            <v>#N/A</v>
          </cell>
          <cell r="P651">
            <v>34.65</v>
          </cell>
          <cell r="Q651" t="str">
            <v/>
          </cell>
          <cell r="R651" t="e">
            <v>#N/A</v>
          </cell>
        </row>
        <row r="652">
          <cell r="A652">
            <v>40095</v>
          </cell>
          <cell r="B652">
            <v>40095</v>
          </cell>
          <cell r="C652" t="str">
            <v>Future</v>
          </cell>
          <cell r="D652" t="e">
            <v>#N/A</v>
          </cell>
          <cell r="E652">
            <v>21.862450592885391</v>
          </cell>
          <cell r="F652">
            <v>37.301185770751061</v>
          </cell>
          <cell r="G652">
            <v>33.625296442687429</v>
          </cell>
          <cell r="H652">
            <v>33.625296442687429</v>
          </cell>
          <cell r="I652" t="e">
            <v>#N/A</v>
          </cell>
          <cell r="J652" t="e">
            <v>#N/A</v>
          </cell>
          <cell r="K652" t="e">
            <v>#N/A</v>
          </cell>
          <cell r="L652" t="e">
            <v>#N/A</v>
          </cell>
          <cell r="M652" t="e">
            <v>#N/A</v>
          </cell>
          <cell r="N652" t="e">
            <v>#N/A</v>
          </cell>
          <cell r="O652" t="e">
            <v>#N/A</v>
          </cell>
          <cell r="P652">
            <v>34.65</v>
          </cell>
          <cell r="Q652" t="str">
            <v/>
          </cell>
          <cell r="R652" t="e">
            <v>#N/A</v>
          </cell>
        </row>
        <row r="653">
          <cell r="A653">
            <v>40098</v>
          </cell>
          <cell r="B653">
            <v>40098</v>
          </cell>
          <cell r="C653" t="str">
            <v>Future</v>
          </cell>
          <cell r="D653" t="e">
            <v>#N/A</v>
          </cell>
          <cell r="E653">
            <v>21.725810276679859</v>
          </cell>
          <cell r="F653">
            <v>37.330553359683869</v>
          </cell>
          <cell r="G653">
            <v>33.615138339920627</v>
          </cell>
          <cell r="H653">
            <v>33.615138339920627</v>
          </cell>
          <cell r="I653" t="e">
            <v>#N/A</v>
          </cell>
          <cell r="J653" t="e">
            <v>#N/A</v>
          </cell>
          <cell r="K653" t="e">
            <v>#N/A</v>
          </cell>
          <cell r="L653" t="e">
            <v>#N/A</v>
          </cell>
          <cell r="M653" t="e">
            <v>#N/A</v>
          </cell>
          <cell r="N653" t="e">
            <v>#N/A</v>
          </cell>
          <cell r="O653" t="e">
            <v>#N/A</v>
          </cell>
          <cell r="P653">
            <v>34.65</v>
          </cell>
          <cell r="Q653" t="str">
            <v/>
          </cell>
          <cell r="R653" t="e">
            <v>#N/A</v>
          </cell>
        </row>
        <row r="654">
          <cell r="A654">
            <v>40099</v>
          </cell>
          <cell r="B654">
            <v>40099</v>
          </cell>
          <cell r="C654" t="str">
            <v>Future</v>
          </cell>
          <cell r="D654" t="e">
            <v>#N/A</v>
          </cell>
          <cell r="E654">
            <v>21.589169960474326</v>
          </cell>
          <cell r="F654">
            <v>37.359920948616676</v>
          </cell>
          <cell r="G654">
            <v>33.604980237153825</v>
          </cell>
          <cell r="H654">
            <v>33.604980237153825</v>
          </cell>
          <cell r="I654" t="e">
            <v>#N/A</v>
          </cell>
          <cell r="J654" t="e">
            <v>#N/A</v>
          </cell>
          <cell r="K654" t="e">
            <v>#N/A</v>
          </cell>
          <cell r="L654" t="e">
            <v>#N/A</v>
          </cell>
          <cell r="M654" t="e">
            <v>#N/A</v>
          </cell>
          <cell r="N654" t="e">
            <v>#N/A</v>
          </cell>
          <cell r="O654" t="e">
            <v>#N/A</v>
          </cell>
          <cell r="P654">
            <v>34.65</v>
          </cell>
          <cell r="Q654" t="str">
            <v/>
          </cell>
          <cell r="R654" t="e">
            <v>#N/A</v>
          </cell>
        </row>
        <row r="655">
          <cell r="A655">
            <v>40100</v>
          </cell>
          <cell r="B655">
            <v>40100</v>
          </cell>
          <cell r="C655" t="str">
            <v>Future</v>
          </cell>
          <cell r="D655" t="e">
            <v>#N/A</v>
          </cell>
          <cell r="E655">
            <v>21.452529644268793</v>
          </cell>
          <cell r="F655">
            <v>37.389288537549483</v>
          </cell>
          <cell r="G655">
            <v>33.594822134387023</v>
          </cell>
          <cell r="H655">
            <v>33.594822134387023</v>
          </cell>
          <cell r="I655" t="e">
            <v>#N/A</v>
          </cell>
          <cell r="J655" t="e">
            <v>#N/A</v>
          </cell>
          <cell r="K655" t="e">
            <v>#N/A</v>
          </cell>
          <cell r="L655" t="e">
            <v>#N/A</v>
          </cell>
          <cell r="M655" t="e">
            <v>#N/A</v>
          </cell>
          <cell r="N655" t="e">
            <v>#N/A</v>
          </cell>
          <cell r="O655" t="e">
            <v>#N/A</v>
          </cell>
          <cell r="P655">
            <v>34.65</v>
          </cell>
          <cell r="Q655" t="str">
            <v/>
          </cell>
          <cell r="R655" t="e">
            <v>#N/A</v>
          </cell>
        </row>
        <row r="656">
          <cell r="A656">
            <v>40101</v>
          </cell>
          <cell r="B656">
            <v>40101</v>
          </cell>
          <cell r="C656" t="str">
            <v>Future</v>
          </cell>
          <cell r="D656" t="e">
            <v>#N/A</v>
          </cell>
          <cell r="E656">
            <v>21.31588932806326</v>
          </cell>
          <cell r="F656">
            <v>37.41865612648229</v>
          </cell>
          <cell r="G656">
            <v>33.584664031620221</v>
          </cell>
          <cell r="H656">
            <v>33.584664031620221</v>
          </cell>
          <cell r="I656" t="e">
            <v>#N/A</v>
          </cell>
          <cell r="J656" t="e">
            <v>#N/A</v>
          </cell>
          <cell r="K656" t="e">
            <v>#N/A</v>
          </cell>
          <cell r="L656" t="e">
            <v>#N/A</v>
          </cell>
          <cell r="M656" t="e">
            <v>#N/A</v>
          </cell>
          <cell r="N656" t="e">
            <v>#N/A</v>
          </cell>
          <cell r="O656" t="e">
            <v>#N/A</v>
          </cell>
          <cell r="P656">
            <v>34.65</v>
          </cell>
          <cell r="Q656" t="str">
            <v/>
          </cell>
          <cell r="R656" t="e">
            <v>#N/A</v>
          </cell>
        </row>
        <row r="657">
          <cell r="A657">
            <v>40102</v>
          </cell>
          <cell r="B657">
            <v>40102</v>
          </cell>
          <cell r="C657" t="str">
            <v>Future</v>
          </cell>
          <cell r="D657" t="e">
            <v>#N/A</v>
          </cell>
          <cell r="E657">
            <v>21.179249011857728</v>
          </cell>
          <cell r="F657">
            <v>37.448023715415097</v>
          </cell>
          <cell r="G657">
            <v>33.574505928853419</v>
          </cell>
          <cell r="H657">
            <v>33.574505928853419</v>
          </cell>
          <cell r="I657" t="e">
            <v>#N/A</v>
          </cell>
          <cell r="J657" t="e">
            <v>#N/A</v>
          </cell>
          <cell r="K657" t="e">
            <v>#N/A</v>
          </cell>
          <cell r="L657" t="e">
            <v>#N/A</v>
          </cell>
          <cell r="M657" t="e">
            <v>#N/A</v>
          </cell>
          <cell r="N657" t="e">
            <v>#N/A</v>
          </cell>
          <cell r="O657" t="e">
            <v>#N/A</v>
          </cell>
          <cell r="P657">
            <v>34.65</v>
          </cell>
          <cell r="Q657" t="str">
            <v/>
          </cell>
          <cell r="R657" t="e">
            <v>#N/A</v>
          </cell>
        </row>
        <row r="658">
          <cell r="A658">
            <v>40105</v>
          </cell>
          <cell r="B658">
            <v>40105</v>
          </cell>
          <cell r="C658" t="str">
            <v>Future</v>
          </cell>
          <cell r="D658" t="e">
            <v>#N/A</v>
          </cell>
          <cell r="E658">
            <v>21.042608695652195</v>
          </cell>
          <cell r="F658">
            <v>37.477391304347904</v>
          </cell>
          <cell r="G658">
            <v>33.564347826086617</v>
          </cell>
          <cell r="H658">
            <v>33.564347826086617</v>
          </cell>
          <cell r="I658" t="e">
            <v>#N/A</v>
          </cell>
          <cell r="J658" t="e">
            <v>#N/A</v>
          </cell>
          <cell r="K658" t="e">
            <v>#N/A</v>
          </cell>
          <cell r="L658" t="e">
            <v>#N/A</v>
          </cell>
          <cell r="M658" t="e">
            <v>#N/A</v>
          </cell>
          <cell r="N658" t="e">
            <v>#N/A</v>
          </cell>
          <cell r="O658" t="e">
            <v>#N/A</v>
          </cell>
          <cell r="P658">
            <v>34.65</v>
          </cell>
          <cell r="Q658" t="str">
            <v/>
          </cell>
          <cell r="R658" t="e">
            <v>#N/A</v>
          </cell>
        </row>
        <row r="659">
          <cell r="A659">
            <v>40106</v>
          </cell>
          <cell r="B659">
            <v>40106</v>
          </cell>
          <cell r="C659" t="str">
            <v>Future</v>
          </cell>
          <cell r="D659" t="e">
            <v>#N/A</v>
          </cell>
          <cell r="E659">
            <v>20.905968379446662</v>
          </cell>
          <cell r="F659">
            <v>37.506758893280711</v>
          </cell>
          <cell r="G659">
            <v>33.554189723319816</v>
          </cell>
          <cell r="H659">
            <v>33.554189723319816</v>
          </cell>
          <cell r="I659" t="e">
            <v>#N/A</v>
          </cell>
          <cell r="J659" t="e">
            <v>#N/A</v>
          </cell>
          <cell r="K659" t="e">
            <v>#N/A</v>
          </cell>
          <cell r="L659" t="e">
            <v>#N/A</v>
          </cell>
          <cell r="M659" t="e">
            <v>#N/A</v>
          </cell>
          <cell r="N659" t="e">
            <v>#N/A</v>
          </cell>
          <cell r="O659" t="e">
            <v>#N/A</v>
          </cell>
          <cell r="P659">
            <v>34.65</v>
          </cell>
          <cell r="Q659" t="str">
            <v/>
          </cell>
          <cell r="R659" t="e">
            <v>#N/A</v>
          </cell>
        </row>
        <row r="660">
          <cell r="A660">
            <v>40107</v>
          </cell>
          <cell r="B660">
            <v>40107</v>
          </cell>
          <cell r="C660" t="str">
            <v>Future</v>
          </cell>
          <cell r="D660" t="e">
            <v>#N/A</v>
          </cell>
          <cell r="E660">
            <v>20.769328063241129</v>
          </cell>
          <cell r="F660">
            <v>37.536126482213518</v>
          </cell>
          <cell r="G660">
            <v>33.544031620553014</v>
          </cell>
          <cell r="H660">
            <v>33.544031620553014</v>
          </cell>
          <cell r="I660" t="e">
            <v>#N/A</v>
          </cell>
          <cell r="J660" t="e">
            <v>#N/A</v>
          </cell>
          <cell r="K660" t="e">
            <v>#N/A</v>
          </cell>
          <cell r="L660" t="e">
            <v>#N/A</v>
          </cell>
          <cell r="M660" t="e">
            <v>#N/A</v>
          </cell>
          <cell r="N660" t="e">
            <v>#N/A</v>
          </cell>
          <cell r="O660" t="e">
            <v>#N/A</v>
          </cell>
          <cell r="P660">
            <v>34.65</v>
          </cell>
          <cell r="Q660" t="str">
            <v/>
          </cell>
          <cell r="R660" t="e">
            <v>#N/A</v>
          </cell>
        </row>
        <row r="661">
          <cell r="A661">
            <v>40108</v>
          </cell>
          <cell r="B661">
            <v>40108</v>
          </cell>
          <cell r="C661" t="str">
            <v>Future</v>
          </cell>
          <cell r="D661" t="e">
            <v>#N/A</v>
          </cell>
          <cell r="E661">
            <v>20.632687747035597</v>
          </cell>
          <cell r="F661">
            <v>37.565494071146325</v>
          </cell>
          <cell r="G661">
            <v>33.533873517786212</v>
          </cell>
          <cell r="H661">
            <v>33.533873517786212</v>
          </cell>
          <cell r="I661" t="e">
            <v>#N/A</v>
          </cell>
          <cell r="J661" t="e">
            <v>#N/A</v>
          </cell>
          <cell r="K661" t="e">
            <v>#N/A</v>
          </cell>
          <cell r="L661" t="e">
            <v>#N/A</v>
          </cell>
          <cell r="M661" t="e">
            <v>#N/A</v>
          </cell>
          <cell r="N661" t="e">
            <v>#N/A</v>
          </cell>
          <cell r="O661" t="e">
            <v>#N/A</v>
          </cell>
          <cell r="P661">
            <v>34.65</v>
          </cell>
          <cell r="Q661" t="str">
            <v/>
          </cell>
          <cell r="R661" t="e">
            <v>#N/A</v>
          </cell>
        </row>
        <row r="662">
          <cell r="A662">
            <v>40109</v>
          </cell>
          <cell r="B662">
            <v>40109</v>
          </cell>
          <cell r="C662" t="str">
            <v>Future</v>
          </cell>
          <cell r="D662" t="e">
            <v>#N/A</v>
          </cell>
          <cell r="E662">
            <v>20.496047430830064</v>
          </cell>
          <cell r="F662">
            <v>37.594861660079133</v>
          </cell>
          <cell r="G662">
            <v>33.52371541501941</v>
          </cell>
          <cell r="H662">
            <v>33.52371541501941</v>
          </cell>
          <cell r="I662" t="e">
            <v>#N/A</v>
          </cell>
          <cell r="J662" t="e">
            <v>#N/A</v>
          </cell>
          <cell r="K662" t="e">
            <v>#N/A</v>
          </cell>
          <cell r="L662" t="e">
            <v>#N/A</v>
          </cell>
          <cell r="M662" t="e">
            <v>#N/A</v>
          </cell>
          <cell r="N662" t="e">
            <v>#N/A</v>
          </cell>
          <cell r="O662" t="e">
            <v>#N/A</v>
          </cell>
          <cell r="P662">
            <v>34.65</v>
          </cell>
          <cell r="Q662" t="str">
            <v/>
          </cell>
          <cell r="R662" t="e">
            <v>#N/A</v>
          </cell>
        </row>
        <row r="663">
          <cell r="A663">
            <v>40112</v>
          </cell>
          <cell r="B663">
            <v>40112</v>
          </cell>
          <cell r="C663" t="str">
            <v>Future</v>
          </cell>
          <cell r="D663" t="e">
            <v>#N/A</v>
          </cell>
          <cell r="E663">
            <v>20.359407114624531</v>
          </cell>
          <cell r="F663">
            <v>37.62422924901194</v>
          </cell>
          <cell r="G663">
            <v>33.513557312252608</v>
          </cell>
          <cell r="H663">
            <v>33.513557312252608</v>
          </cell>
          <cell r="I663" t="e">
            <v>#N/A</v>
          </cell>
          <cell r="J663" t="e">
            <v>#N/A</v>
          </cell>
          <cell r="K663" t="e">
            <v>#N/A</v>
          </cell>
          <cell r="L663" t="e">
            <v>#N/A</v>
          </cell>
          <cell r="M663" t="e">
            <v>#N/A</v>
          </cell>
          <cell r="N663" t="e">
            <v>#N/A</v>
          </cell>
          <cell r="O663" t="e">
            <v>#N/A</v>
          </cell>
          <cell r="P663">
            <v>34.65</v>
          </cell>
          <cell r="Q663" t="str">
            <v/>
          </cell>
          <cell r="R663" t="e">
            <v>#N/A</v>
          </cell>
        </row>
        <row r="664">
          <cell r="A664">
            <v>40113</v>
          </cell>
          <cell r="B664">
            <v>40113</v>
          </cell>
          <cell r="C664" t="str">
            <v>Future</v>
          </cell>
          <cell r="D664" t="e">
            <v>#N/A</v>
          </cell>
          <cell r="E664">
            <v>20.222766798418998</v>
          </cell>
          <cell r="F664">
            <v>37.653596837944747</v>
          </cell>
          <cell r="G664">
            <v>33.503399209485806</v>
          </cell>
          <cell r="H664">
            <v>33.503399209485806</v>
          </cell>
          <cell r="I664" t="e">
            <v>#N/A</v>
          </cell>
          <cell r="J664" t="e">
            <v>#N/A</v>
          </cell>
          <cell r="K664" t="e">
            <v>#N/A</v>
          </cell>
          <cell r="L664" t="e">
            <v>#N/A</v>
          </cell>
          <cell r="M664" t="e">
            <v>#N/A</v>
          </cell>
          <cell r="N664" t="e">
            <v>#N/A</v>
          </cell>
          <cell r="O664" t="e">
            <v>#N/A</v>
          </cell>
          <cell r="P664">
            <v>34.65</v>
          </cell>
          <cell r="Q664" t="str">
            <v/>
          </cell>
          <cell r="R664" t="e">
            <v>#N/A</v>
          </cell>
        </row>
        <row r="665">
          <cell r="A665">
            <v>40114</v>
          </cell>
          <cell r="B665">
            <v>40114</v>
          </cell>
          <cell r="C665" t="str">
            <v>Future</v>
          </cell>
          <cell r="D665" t="e">
            <v>#N/A</v>
          </cell>
          <cell r="E665">
            <v>20.086126482213466</v>
          </cell>
          <cell r="F665">
            <v>37.682964426877554</v>
          </cell>
          <cell r="G665">
            <v>33.493241106719005</v>
          </cell>
          <cell r="H665">
            <v>33.493241106719005</v>
          </cell>
          <cell r="I665" t="e">
            <v>#N/A</v>
          </cell>
          <cell r="J665" t="e">
            <v>#N/A</v>
          </cell>
          <cell r="K665" t="e">
            <v>#N/A</v>
          </cell>
          <cell r="L665" t="e">
            <v>#N/A</v>
          </cell>
          <cell r="M665" t="e">
            <v>#N/A</v>
          </cell>
          <cell r="N665" t="e">
            <v>#N/A</v>
          </cell>
          <cell r="O665" t="e">
            <v>#N/A</v>
          </cell>
          <cell r="P665">
            <v>34.65</v>
          </cell>
          <cell r="Q665" t="str">
            <v/>
          </cell>
          <cell r="R665" t="e">
            <v>#N/A</v>
          </cell>
        </row>
        <row r="666">
          <cell r="A666">
            <v>40115</v>
          </cell>
          <cell r="B666">
            <v>40115</v>
          </cell>
          <cell r="C666" t="str">
            <v>Future</v>
          </cell>
          <cell r="D666" t="e">
            <v>#N/A</v>
          </cell>
          <cell r="E666">
            <v>19.949486166007933</v>
          </cell>
          <cell r="F666">
            <v>37.712332015810361</v>
          </cell>
          <cell r="G666">
            <v>33.483083003952203</v>
          </cell>
          <cell r="H666">
            <v>33.483083003952203</v>
          </cell>
          <cell r="I666" t="e">
            <v>#N/A</v>
          </cell>
          <cell r="J666" t="e">
            <v>#N/A</v>
          </cell>
          <cell r="K666" t="e">
            <v>#N/A</v>
          </cell>
          <cell r="L666" t="e">
            <v>#N/A</v>
          </cell>
          <cell r="M666" t="e">
            <v>#N/A</v>
          </cell>
          <cell r="N666" t="e">
            <v>#N/A</v>
          </cell>
          <cell r="O666" t="e">
            <v>#N/A</v>
          </cell>
          <cell r="P666">
            <v>34.65</v>
          </cell>
          <cell r="Q666" t="str">
            <v/>
          </cell>
          <cell r="R666" t="e">
            <v>#N/A</v>
          </cell>
        </row>
        <row r="667">
          <cell r="A667">
            <v>40116</v>
          </cell>
          <cell r="B667">
            <v>40116</v>
          </cell>
          <cell r="C667" t="str">
            <v>Future</v>
          </cell>
          <cell r="D667" t="e">
            <v>#N/A</v>
          </cell>
          <cell r="E667">
            <v>19.8128458498024</v>
          </cell>
          <cell r="F667">
            <v>37.741699604743168</v>
          </cell>
          <cell r="G667">
            <v>33.472924901185401</v>
          </cell>
          <cell r="H667">
            <v>33.472924901185401</v>
          </cell>
          <cell r="I667" t="e">
            <v>#N/A</v>
          </cell>
          <cell r="J667" t="e">
            <v>#N/A</v>
          </cell>
          <cell r="K667" t="e">
            <v>#N/A</v>
          </cell>
          <cell r="L667" t="e">
            <v>#N/A</v>
          </cell>
          <cell r="M667" t="e">
            <v>#N/A</v>
          </cell>
          <cell r="N667" t="e">
            <v>#N/A</v>
          </cell>
          <cell r="O667" t="e">
            <v>#N/A</v>
          </cell>
          <cell r="P667">
            <v>34.65</v>
          </cell>
          <cell r="Q667" t="str">
            <v/>
          </cell>
          <cell r="R667" t="e">
            <v>#N/A</v>
          </cell>
        </row>
        <row r="668">
          <cell r="A668">
            <v>40119</v>
          </cell>
          <cell r="B668">
            <v>40119</v>
          </cell>
          <cell r="C668" t="str">
            <v>Future</v>
          </cell>
          <cell r="D668" t="e">
            <v>#N/A</v>
          </cell>
          <cell r="E668">
            <v>19.676205533596868</v>
          </cell>
          <cell r="F668">
            <v>37.771067193675975</v>
          </cell>
          <cell r="G668">
            <v>33.462766798418599</v>
          </cell>
          <cell r="H668">
            <v>33.462766798418599</v>
          </cell>
          <cell r="I668" t="e">
            <v>#N/A</v>
          </cell>
          <cell r="J668" t="e">
            <v>#N/A</v>
          </cell>
          <cell r="K668" t="e">
            <v>#N/A</v>
          </cell>
          <cell r="L668" t="e">
            <v>#N/A</v>
          </cell>
          <cell r="M668" t="e">
            <v>#N/A</v>
          </cell>
          <cell r="N668" t="e">
            <v>#N/A</v>
          </cell>
          <cell r="O668" t="e">
            <v>#N/A</v>
          </cell>
          <cell r="P668">
            <v>34.65</v>
          </cell>
          <cell r="Q668" t="str">
            <v/>
          </cell>
          <cell r="R668" t="e">
            <v>#N/A</v>
          </cell>
        </row>
        <row r="669">
          <cell r="A669">
            <v>40120</v>
          </cell>
          <cell r="B669">
            <v>40120</v>
          </cell>
          <cell r="C669" t="str">
            <v>Future</v>
          </cell>
          <cell r="D669" t="e">
            <v>#N/A</v>
          </cell>
          <cell r="E669">
            <v>19.539565217391335</v>
          </cell>
          <cell r="F669">
            <v>37.800434782608782</v>
          </cell>
          <cell r="G669">
            <v>33.452608695651797</v>
          </cell>
          <cell r="H669">
            <v>33.452608695651797</v>
          </cell>
          <cell r="I669" t="e">
            <v>#N/A</v>
          </cell>
          <cell r="J669" t="e">
            <v>#N/A</v>
          </cell>
          <cell r="K669" t="e">
            <v>#N/A</v>
          </cell>
          <cell r="L669" t="e">
            <v>#N/A</v>
          </cell>
          <cell r="M669" t="e">
            <v>#N/A</v>
          </cell>
          <cell r="N669" t="e">
            <v>#N/A</v>
          </cell>
          <cell r="O669" t="e">
            <v>#N/A</v>
          </cell>
          <cell r="P669">
            <v>34.65</v>
          </cell>
          <cell r="Q669" t="str">
            <v/>
          </cell>
          <cell r="R669" t="e">
            <v>#N/A</v>
          </cell>
        </row>
        <row r="670">
          <cell r="A670">
            <v>40121</v>
          </cell>
          <cell r="B670">
            <v>40121</v>
          </cell>
          <cell r="C670" t="str">
            <v>Future</v>
          </cell>
          <cell r="D670" t="e">
            <v>#N/A</v>
          </cell>
          <cell r="E670">
            <v>19.402924901185802</v>
          </cell>
          <cell r="F670">
            <v>37.829802371541589</v>
          </cell>
          <cell r="G670">
            <v>33.442450592884995</v>
          </cell>
          <cell r="H670">
            <v>33.442450592884995</v>
          </cell>
          <cell r="I670" t="e">
            <v>#N/A</v>
          </cell>
          <cell r="J670" t="e">
            <v>#N/A</v>
          </cell>
          <cell r="K670" t="e">
            <v>#N/A</v>
          </cell>
          <cell r="L670" t="e">
            <v>#N/A</v>
          </cell>
          <cell r="M670" t="e">
            <v>#N/A</v>
          </cell>
          <cell r="N670" t="e">
            <v>#N/A</v>
          </cell>
          <cell r="O670" t="e">
            <v>#N/A</v>
          </cell>
          <cell r="P670">
            <v>34.65</v>
          </cell>
          <cell r="Q670" t="str">
            <v/>
          </cell>
          <cell r="R670" t="e">
            <v>#N/A</v>
          </cell>
        </row>
        <row r="671">
          <cell r="A671">
            <v>40122</v>
          </cell>
          <cell r="B671">
            <v>40122</v>
          </cell>
          <cell r="C671" t="str">
            <v>Future</v>
          </cell>
          <cell r="D671" t="e">
            <v>#N/A</v>
          </cell>
          <cell r="E671">
            <v>19.266284584980269</v>
          </cell>
          <cell r="F671">
            <v>37.859169960474397</v>
          </cell>
          <cell r="G671">
            <v>33.432292490118193</v>
          </cell>
          <cell r="H671">
            <v>33.432292490118193</v>
          </cell>
          <cell r="I671" t="e">
            <v>#N/A</v>
          </cell>
          <cell r="J671" t="e">
            <v>#N/A</v>
          </cell>
          <cell r="K671" t="e">
            <v>#N/A</v>
          </cell>
          <cell r="L671" t="e">
            <v>#N/A</v>
          </cell>
          <cell r="M671" t="e">
            <v>#N/A</v>
          </cell>
          <cell r="N671" t="e">
            <v>#N/A</v>
          </cell>
          <cell r="O671" t="e">
            <v>#N/A</v>
          </cell>
          <cell r="P671">
            <v>34.65</v>
          </cell>
          <cell r="Q671" t="str">
            <v/>
          </cell>
          <cell r="R671" t="e">
            <v>#N/A</v>
          </cell>
        </row>
        <row r="672">
          <cell r="A672">
            <v>40123</v>
          </cell>
          <cell r="B672">
            <v>40123</v>
          </cell>
          <cell r="C672" t="str">
            <v>Future</v>
          </cell>
          <cell r="D672" t="e">
            <v>#N/A</v>
          </cell>
          <cell r="E672">
            <v>19.129644268774737</v>
          </cell>
          <cell r="F672">
            <v>37.888537549407204</v>
          </cell>
          <cell r="G672">
            <v>33.422134387351392</v>
          </cell>
          <cell r="H672">
            <v>33.422134387351392</v>
          </cell>
          <cell r="I672" t="e">
            <v>#N/A</v>
          </cell>
          <cell r="J672" t="e">
            <v>#N/A</v>
          </cell>
          <cell r="K672" t="e">
            <v>#N/A</v>
          </cell>
          <cell r="L672" t="e">
            <v>#N/A</v>
          </cell>
          <cell r="M672" t="e">
            <v>#N/A</v>
          </cell>
          <cell r="N672" t="e">
            <v>#N/A</v>
          </cell>
          <cell r="O672" t="e">
            <v>#N/A</v>
          </cell>
          <cell r="P672">
            <v>34.65</v>
          </cell>
          <cell r="Q672" t="str">
            <v/>
          </cell>
          <cell r="R672" t="e">
            <v>#N/A</v>
          </cell>
        </row>
        <row r="673">
          <cell r="A673">
            <v>40126</v>
          </cell>
          <cell r="B673">
            <v>40126</v>
          </cell>
          <cell r="C673" t="str">
            <v>Future</v>
          </cell>
          <cell r="D673" t="e">
            <v>#N/A</v>
          </cell>
          <cell r="E673">
            <v>18.993003952569204</v>
          </cell>
          <cell r="F673">
            <v>37.917905138340011</v>
          </cell>
          <cell r="G673">
            <v>33.41197628458459</v>
          </cell>
          <cell r="H673">
            <v>33.41197628458459</v>
          </cell>
          <cell r="I673" t="e">
            <v>#N/A</v>
          </cell>
          <cell r="J673" t="e">
            <v>#N/A</v>
          </cell>
          <cell r="K673" t="e">
            <v>#N/A</v>
          </cell>
          <cell r="L673" t="e">
            <v>#N/A</v>
          </cell>
          <cell r="M673" t="e">
            <v>#N/A</v>
          </cell>
          <cell r="N673" t="e">
            <v>#N/A</v>
          </cell>
          <cell r="O673" t="e">
            <v>#N/A</v>
          </cell>
          <cell r="P673">
            <v>34.65</v>
          </cell>
          <cell r="Q673" t="str">
            <v/>
          </cell>
          <cell r="R673" t="e">
            <v>#N/A</v>
          </cell>
        </row>
        <row r="674">
          <cell r="A674">
            <v>40127</v>
          </cell>
          <cell r="B674">
            <v>40127</v>
          </cell>
          <cell r="C674" t="str">
            <v>Future</v>
          </cell>
          <cell r="D674" t="e">
            <v>#N/A</v>
          </cell>
          <cell r="E674">
            <v>18.856363636363671</v>
          </cell>
          <cell r="F674">
            <v>37.947272727272818</v>
          </cell>
          <cell r="G674">
            <v>33.401818181817788</v>
          </cell>
          <cell r="H674">
            <v>33.401818181817788</v>
          </cell>
          <cell r="I674" t="e">
            <v>#N/A</v>
          </cell>
          <cell r="J674" t="e">
            <v>#N/A</v>
          </cell>
          <cell r="K674" t="e">
            <v>#N/A</v>
          </cell>
          <cell r="L674" t="e">
            <v>#N/A</v>
          </cell>
          <cell r="M674" t="e">
            <v>#N/A</v>
          </cell>
          <cell r="N674" t="e">
            <v>#N/A</v>
          </cell>
          <cell r="O674" t="e">
            <v>#N/A</v>
          </cell>
          <cell r="P674">
            <v>34.65</v>
          </cell>
          <cell r="Q674" t="str">
            <v/>
          </cell>
          <cell r="R674" t="e">
            <v>#N/A</v>
          </cell>
        </row>
        <row r="675">
          <cell r="A675">
            <v>40128</v>
          </cell>
          <cell r="B675">
            <v>40128</v>
          </cell>
          <cell r="C675" t="str">
            <v>Future</v>
          </cell>
          <cell r="D675" t="e">
            <v>#N/A</v>
          </cell>
          <cell r="E675">
            <v>18.719723320158138</v>
          </cell>
          <cell r="F675">
            <v>37.976640316205625</v>
          </cell>
          <cell r="G675">
            <v>33.391660079050986</v>
          </cell>
          <cell r="H675">
            <v>33.391660079050986</v>
          </cell>
          <cell r="I675" t="e">
            <v>#N/A</v>
          </cell>
          <cell r="J675" t="e">
            <v>#N/A</v>
          </cell>
          <cell r="K675" t="e">
            <v>#N/A</v>
          </cell>
          <cell r="L675" t="e">
            <v>#N/A</v>
          </cell>
          <cell r="M675" t="e">
            <v>#N/A</v>
          </cell>
          <cell r="N675" t="e">
            <v>#N/A</v>
          </cell>
          <cell r="O675" t="e">
            <v>#N/A</v>
          </cell>
          <cell r="P675">
            <v>34.65</v>
          </cell>
          <cell r="Q675" t="str">
            <v/>
          </cell>
          <cell r="R675" t="e">
            <v>#N/A</v>
          </cell>
        </row>
        <row r="676">
          <cell r="A676">
            <v>40129</v>
          </cell>
          <cell r="B676">
            <v>40129</v>
          </cell>
          <cell r="C676" t="str">
            <v>Future</v>
          </cell>
          <cell r="D676" t="e">
            <v>#N/A</v>
          </cell>
          <cell r="E676">
            <v>18.583083003952606</v>
          </cell>
          <cell r="F676">
            <v>38.006007905138432</v>
          </cell>
          <cell r="G676">
            <v>33.381501976284184</v>
          </cell>
          <cell r="H676">
            <v>33.381501976284184</v>
          </cell>
          <cell r="I676" t="e">
            <v>#N/A</v>
          </cell>
          <cell r="J676" t="e">
            <v>#N/A</v>
          </cell>
          <cell r="K676" t="e">
            <v>#N/A</v>
          </cell>
          <cell r="L676" t="e">
            <v>#N/A</v>
          </cell>
          <cell r="M676" t="e">
            <v>#N/A</v>
          </cell>
          <cell r="N676" t="e">
            <v>#N/A</v>
          </cell>
          <cell r="O676" t="e">
            <v>#N/A</v>
          </cell>
          <cell r="P676">
            <v>34.65</v>
          </cell>
          <cell r="Q676" t="str">
            <v/>
          </cell>
          <cell r="R676" t="e">
            <v>#N/A</v>
          </cell>
        </row>
        <row r="677">
          <cell r="A677">
            <v>40130</v>
          </cell>
          <cell r="B677">
            <v>40130</v>
          </cell>
          <cell r="C677" t="str">
            <v>Future</v>
          </cell>
          <cell r="D677" t="e">
            <v>#N/A</v>
          </cell>
          <cell r="E677">
            <v>18.446442687747073</v>
          </cell>
          <cell r="F677">
            <v>38.035375494071239</v>
          </cell>
          <cell r="G677">
            <v>33.371343873517382</v>
          </cell>
          <cell r="H677">
            <v>33.371343873517382</v>
          </cell>
          <cell r="I677" t="e">
            <v>#N/A</v>
          </cell>
          <cell r="J677" t="e">
            <v>#N/A</v>
          </cell>
          <cell r="K677" t="e">
            <v>#N/A</v>
          </cell>
          <cell r="L677" t="e">
            <v>#N/A</v>
          </cell>
          <cell r="M677" t="e">
            <v>#N/A</v>
          </cell>
          <cell r="N677" t="e">
            <v>#N/A</v>
          </cell>
          <cell r="O677" t="e">
            <v>#N/A</v>
          </cell>
          <cell r="P677">
            <v>34.65</v>
          </cell>
          <cell r="Q677" t="str">
            <v/>
          </cell>
          <cell r="R677" t="e">
            <v>#N/A</v>
          </cell>
        </row>
        <row r="678">
          <cell r="A678">
            <v>40133</v>
          </cell>
          <cell r="B678">
            <v>40133</v>
          </cell>
          <cell r="C678" t="str">
            <v>Future</v>
          </cell>
          <cell r="D678" t="e">
            <v>#N/A</v>
          </cell>
          <cell r="E678">
            <v>18.30980237154154</v>
          </cell>
          <cell r="F678">
            <v>38.064743083004046</v>
          </cell>
          <cell r="G678">
            <v>33.361185770750581</v>
          </cell>
          <cell r="H678">
            <v>33.361185770750581</v>
          </cell>
          <cell r="I678" t="e">
            <v>#N/A</v>
          </cell>
          <cell r="J678" t="e">
            <v>#N/A</v>
          </cell>
          <cell r="K678" t="e">
            <v>#N/A</v>
          </cell>
          <cell r="L678" t="e">
            <v>#N/A</v>
          </cell>
          <cell r="M678" t="e">
            <v>#N/A</v>
          </cell>
          <cell r="N678" t="e">
            <v>#N/A</v>
          </cell>
          <cell r="O678" t="e">
            <v>#N/A</v>
          </cell>
          <cell r="P678">
            <v>34.65</v>
          </cell>
          <cell r="Q678" t="str">
            <v/>
          </cell>
          <cell r="R678" t="e">
            <v>#N/A</v>
          </cell>
        </row>
        <row r="679">
          <cell r="A679">
            <v>40134</v>
          </cell>
          <cell r="B679">
            <v>40134</v>
          </cell>
          <cell r="C679" t="str">
            <v>Future</v>
          </cell>
          <cell r="D679" t="e">
            <v>#N/A</v>
          </cell>
          <cell r="E679">
            <v>18.173162055336007</v>
          </cell>
          <cell r="F679">
            <v>38.094110671936853</v>
          </cell>
          <cell r="G679">
            <v>33.351027667983779</v>
          </cell>
          <cell r="H679">
            <v>33.351027667983779</v>
          </cell>
          <cell r="I679" t="e">
            <v>#N/A</v>
          </cell>
          <cell r="J679" t="e">
            <v>#N/A</v>
          </cell>
          <cell r="K679" t="e">
            <v>#N/A</v>
          </cell>
          <cell r="L679" t="e">
            <v>#N/A</v>
          </cell>
          <cell r="M679" t="e">
            <v>#N/A</v>
          </cell>
          <cell r="N679" t="e">
            <v>#N/A</v>
          </cell>
          <cell r="O679" t="e">
            <v>#N/A</v>
          </cell>
          <cell r="P679">
            <v>34.65</v>
          </cell>
          <cell r="Q679" t="str">
            <v/>
          </cell>
          <cell r="R679" t="e">
            <v>#N/A</v>
          </cell>
        </row>
        <row r="680">
          <cell r="A680">
            <v>40135</v>
          </cell>
          <cell r="B680">
            <v>40135</v>
          </cell>
          <cell r="C680" t="str">
            <v>Future</v>
          </cell>
          <cell r="D680" t="e">
            <v>#N/A</v>
          </cell>
          <cell r="E680">
            <v>18.036521739130475</v>
          </cell>
          <cell r="F680">
            <v>38.123478260869661</v>
          </cell>
          <cell r="G680">
            <v>33.340869565216977</v>
          </cell>
          <cell r="H680">
            <v>33.340869565216977</v>
          </cell>
          <cell r="I680" t="e">
            <v>#N/A</v>
          </cell>
          <cell r="J680" t="e">
            <v>#N/A</v>
          </cell>
          <cell r="K680" t="e">
            <v>#N/A</v>
          </cell>
          <cell r="L680" t="e">
            <v>#N/A</v>
          </cell>
          <cell r="M680" t="e">
            <v>#N/A</v>
          </cell>
          <cell r="N680" t="e">
            <v>#N/A</v>
          </cell>
          <cell r="O680" t="e">
            <v>#N/A</v>
          </cell>
          <cell r="P680">
            <v>34.65</v>
          </cell>
          <cell r="Q680" t="str">
            <v/>
          </cell>
          <cell r="R680" t="e">
            <v>#N/A</v>
          </cell>
        </row>
        <row r="681">
          <cell r="A681">
            <v>40136</v>
          </cell>
          <cell r="B681">
            <v>40136</v>
          </cell>
          <cell r="C681" t="str">
            <v>Future</v>
          </cell>
          <cell r="D681" t="e">
            <v>#N/A</v>
          </cell>
          <cell r="E681">
            <v>17.899881422924942</v>
          </cell>
          <cell r="F681">
            <v>38.152845849802468</v>
          </cell>
          <cell r="G681">
            <v>33.330711462450175</v>
          </cell>
          <cell r="H681">
            <v>33.330711462450175</v>
          </cell>
          <cell r="I681" t="e">
            <v>#N/A</v>
          </cell>
          <cell r="J681" t="e">
            <v>#N/A</v>
          </cell>
          <cell r="K681" t="e">
            <v>#N/A</v>
          </cell>
          <cell r="L681" t="e">
            <v>#N/A</v>
          </cell>
          <cell r="M681" t="e">
            <v>#N/A</v>
          </cell>
          <cell r="N681" t="e">
            <v>#N/A</v>
          </cell>
          <cell r="O681" t="e">
            <v>#N/A</v>
          </cell>
          <cell r="P681">
            <v>34.65</v>
          </cell>
          <cell r="Q681" t="str">
            <v/>
          </cell>
          <cell r="R681" t="e">
            <v>#N/A</v>
          </cell>
        </row>
        <row r="682">
          <cell r="A682">
            <v>40137</v>
          </cell>
          <cell r="B682">
            <v>40137</v>
          </cell>
          <cell r="C682" t="str">
            <v>Future</v>
          </cell>
          <cell r="D682" t="e">
            <v>#N/A</v>
          </cell>
          <cell r="E682">
            <v>17.763241106719409</v>
          </cell>
          <cell r="F682">
            <v>38.182213438735275</v>
          </cell>
          <cell r="G682">
            <v>33.320553359683373</v>
          </cell>
          <cell r="H682">
            <v>33.320553359683373</v>
          </cell>
          <cell r="I682" t="e">
            <v>#N/A</v>
          </cell>
          <cell r="J682" t="e">
            <v>#N/A</v>
          </cell>
          <cell r="K682" t="e">
            <v>#N/A</v>
          </cell>
          <cell r="L682" t="e">
            <v>#N/A</v>
          </cell>
          <cell r="M682" t="e">
            <v>#N/A</v>
          </cell>
          <cell r="N682" t="e">
            <v>#N/A</v>
          </cell>
          <cell r="O682" t="e">
            <v>#N/A</v>
          </cell>
          <cell r="P682">
            <v>34.65</v>
          </cell>
          <cell r="Q682" t="str">
            <v/>
          </cell>
          <cell r="R682" t="e">
            <v>#N/A</v>
          </cell>
        </row>
        <row r="683">
          <cell r="A683">
            <v>40140</v>
          </cell>
          <cell r="B683">
            <v>40140</v>
          </cell>
          <cell r="C683" t="str">
            <v>Future</v>
          </cell>
          <cell r="D683" t="e">
            <v>#N/A</v>
          </cell>
          <cell r="E683">
            <v>17.626600790513876</v>
          </cell>
          <cell r="F683">
            <v>38.211581027668082</v>
          </cell>
          <cell r="G683">
            <v>33.310395256916571</v>
          </cell>
          <cell r="H683">
            <v>33.310395256916571</v>
          </cell>
          <cell r="I683" t="e">
            <v>#N/A</v>
          </cell>
          <cell r="J683" t="e">
            <v>#N/A</v>
          </cell>
          <cell r="K683" t="e">
            <v>#N/A</v>
          </cell>
          <cell r="L683" t="e">
            <v>#N/A</v>
          </cell>
          <cell r="M683" t="e">
            <v>#N/A</v>
          </cell>
          <cell r="N683" t="e">
            <v>#N/A</v>
          </cell>
          <cell r="O683" t="e">
            <v>#N/A</v>
          </cell>
          <cell r="P683">
            <v>34.65</v>
          </cell>
          <cell r="Q683" t="str">
            <v/>
          </cell>
          <cell r="R683" t="e">
            <v>#N/A</v>
          </cell>
        </row>
        <row r="684">
          <cell r="A684">
            <v>40141</v>
          </cell>
          <cell r="B684">
            <v>40141</v>
          </cell>
          <cell r="C684" t="str">
            <v>Future</v>
          </cell>
          <cell r="D684" t="e">
            <v>#N/A</v>
          </cell>
          <cell r="E684">
            <v>17.489960474308344</v>
          </cell>
          <cell r="F684">
            <v>38.240948616600889</v>
          </cell>
          <cell r="G684">
            <v>33.300237154149769</v>
          </cell>
          <cell r="H684">
            <v>33.300237154149769</v>
          </cell>
          <cell r="I684" t="e">
            <v>#N/A</v>
          </cell>
          <cell r="J684" t="e">
            <v>#N/A</v>
          </cell>
          <cell r="K684" t="e">
            <v>#N/A</v>
          </cell>
          <cell r="L684" t="e">
            <v>#N/A</v>
          </cell>
          <cell r="M684" t="e">
            <v>#N/A</v>
          </cell>
          <cell r="N684" t="e">
            <v>#N/A</v>
          </cell>
          <cell r="O684" t="e">
            <v>#N/A</v>
          </cell>
          <cell r="P684">
            <v>34.65</v>
          </cell>
          <cell r="Q684" t="str">
            <v/>
          </cell>
          <cell r="R684" t="e">
            <v>#N/A</v>
          </cell>
        </row>
        <row r="685">
          <cell r="A685">
            <v>40142</v>
          </cell>
          <cell r="B685">
            <v>40142</v>
          </cell>
          <cell r="C685" t="str">
            <v>Future</v>
          </cell>
          <cell r="D685" t="e">
            <v>#N/A</v>
          </cell>
          <cell r="E685">
            <v>17.353320158102811</v>
          </cell>
          <cell r="F685">
            <v>38.270316205533696</v>
          </cell>
          <cell r="G685">
            <v>33.290079051382968</v>
          </cell>
          <cell r="H685">
            <v>33.290079051382968</v>
          </cell>
          <cell r="I685" t="e">
            <v>#N/A</v>
          </cell>
          <cell r="J685" t="e">
            <v>#N/A</v>
          </cell>
          <cell r="K685" t="e">
            <v>#N/A</v>
          </cell>
          <cell r="L685" t="e">
            <v>#N/A</v>
          </cell>
          <cell r="M685" t="e">
            <v>#N/A</v>
          </cell>
          <cell r="N685" t="e">
            <v>#N/A</v>
          </cell>
          <cell r="O685" t="e">
            <v>#N/A</v>
          </cell>
          <cell r="P685">
            <v>34.65</v>
          </cell>
          <cell r="Q685" t="str">
            <v/>
          </cell>
          <cell r="R685" t="e">
            <v>#N/A</v>
          </cell>
        </row>
        <row r="686">
          <cell r="A686">
            <v>40144</v>
          </cell>
          <cell r="B686">
            <v>40144</v>
          </cell>
          <cell r="C686" t="str">
            <v>Future</v>
          </cell>
          <cell r="D686" t="e">
            <v>#N/A</v>
          </cell>
          <cell r="E686">
            <v>17.216679841897278</v>
          </cell>
          <cell r="F686">
            <v>38.299683794466503</v>
          </cell>
          <cell r="G686">
            <v>33.279920948616166</v>
          </cell>
          <cell r="H686">
            <v>33.279920948616166</v>
          </cell>
          <cell r="I686" t="e">
            <v>#N/A</v>
          </cell>
          <cell r="J686" t="e">
            <v>#N/A</v>
          </cell>
          <cell r="K686" t="e">
            <v>#N/A</v>
          </cell>
          <cell r="L686" t="e">
            <v>#N/A</v>
          </cell>
          <cell r="M686" t="e">
            <v>#N/A</v>
          </cell>
          <cell r="N686" t="e">
            <v>#N/A</v>
          </cell>
          <cell r="O686" t="e">
            <v>#N/A</v>
          </cell>
          <cell r="P686">
            <v>34.65</v>
          </cell>
          <cell r="Q686" t="str">
            <v/>
          </cell>
          <cell r="R686" t="e">
            <v>#N/A</v>
          </cell>
        </row>
        <row r="687">
          <cell r="A687">
            <v>40147</v>
          </cell>
          <cell r="B687">
            <v>40147</v>
          </cell>
          <cell r="C687" t="str">
            <v>Future</v>
          </cell>
          <cell r="D687" t="e">
            <v>#N/A</v>
          </cell>
          <cell r="E687">
            <v>17.080039525691745</v>
          </cell>
          <cell r="F687">
            <v>38.32905138339931</v>
          </cell>
          <cell r="G687">
            <v>33.269762845849364</v>
          </cell>
          <cell r="H687">
            <v>33.269762845849364</v>
          </cell>
          <cell r="I687" t="e">
            <v>#N/A</v>
          </cell>
          <cell r="J687" t="e">
            <v>#N/A</v>
          </cell>
          <cell r="K687" t="e">
            <v>#N/A</v>
          </cell>
          <cell r="L687" t="e">
            <v>#N/A</v>
          </cell>
          <cell r="M687" t="e">
            <v>#N/A</v>
          </cell>
          <cell r="N687" t="e">
            <v>#N/A</v>
          </cell>
          <cell r="O687" t="e">
            <v>#N/A</v>
          </cell>
          <cell r="P687">
            <v>34.65</v>
          </cell>
          <cell r="Q687" t="str">
            <v/>
          </cell>
          <cell r="R687" t="e">
            <v>#N/A</v>
          </cell>
        </row>
        <row r="688">
          <cell r="A688">
            <v>40148</v>
          </cell>
          <cell r="B688">
            <v>40148</v>
          </cell>
          <cell r="C688" t="str">
            <v>Future</v>
          </cell>
          <cell r="D688" t="e">
            <v>#N/A</v>
          </cell>
          <cell r="E688">
            <v>16.943399209486213</v>
          </cell>
          <cell r="F688">
            <v>38.358418972332117</v>
          </cell>
          <cell r="G688">
            <v>33.259604743082562</v>
          </cell>
          <cell r="H688">
            <v>33.259604743082562</v>
          </cell>
          <cell r="I688" t="e">
            <v>#N/A</v>
          </cell>
          <cell r="J688" t="e">
            <v>#N/A</v>
          </cell>
          <cell r="K688" t="e">
            <v>#N/A</v>
          </cell>
          <cell r="L688" t="e">
            <v>#N/A</v>
          </cell>
          <cell r="M688" t="e">
            <v>#N/A</v>
          </cell>
          <cell r="N688" t="e">
            <v>#N/A</v>
          </cell>
          <cell r="O688" t="e">
            <v>#N/A</v>
          </cell>
          <cell r="P688">
            <v>34.65</v>
          </cell>
          <cell r="Q688" t="str">
            <v/>
          </cell>
          <cell r="R688" t="e">
            <v>#N/A</v>
          </cell>
        </row>
        <row r="689">
          <cell r="A689">
            <v>40149</v>
          </cell>
          <cell r="B689">
            <v>40149</v>
          </cell>
          <cell r="C689" t="str">
            <v>Future</v>
          </cell>
          <cell r="D689" t="e">
            <v>#N/A</v>
          </cell>
          <cell r="E689">
            <v>16.80675889328068</v>
          </cell>
          <cell r="F689">
            <v>38.387786561264925</v>
          </cell>
          <cell r="G689">
            <v>33.24944664031576</v>
          </cell>
          <cell r="H689">
            <v>33.24944664031576</v>
          </cell>
          <cell r="I689" t="e">
            <v>#N/A</v>
          </cell>
          <cell r="J689" t="e">
            <v>#N/A</v>
          </cell>
          <cell r="K689" t="e">
            <v>#N/A</v>
          </cell>
          <cell r="L689" t="e">
            <v>#N/A</v>
          </cell>
          <cell r="M689" t="e">
            <v>#N/A</v>
          </cell>
          <cell r="N689" t="e">
            <v>#N/A</v>
          </cell>
          <cell r="O689" t="e">
            <v>#N/A</v>
          </cell>
          <cell r="P689">
            <v>34.65</v>
          </cell>
          <cell r="Q689" t="str">
            <v/>
          </cell>
          <cell r="R689" t="e">
            <v>#N/A</v>
          </cell>
        </row>
        <row r="690">
          <cell r="A690">
            <v>40150</v>
          </cell>
          <cell r="B690">
            <v>40150</v>
          </cell>
          <cell r="C690" t="str">
            <v>Future</v>
          </cell>
          <cell r="D690" t="e">
            <v>#N/A</v>
          </cell>
          <cell r="E690">
            <v>16.670118577075147</v>
          </cell>
          <cell r="F690">
            <v>38.417154150197732</v>
          </cell>
          <cell r="G690">
            <v>33.239288537548958</v>
          </cell>
          <cell r="H690">
            <v>33.239288537548958</v>
          </cell>
          <cell r="I690" t="e">
            <v>#N/A</v>
          </cell>
          <cell r="J690" t="e">
            <v>#N/A</v>
          </cell>
          <cell r="K690" t="e">
            <v>#N/A</v>
          </cell>
          <cell r="L690" t="e">
            <v>#N/A</v>
          </cell>
          <cell r="M690" t="e">
            <v>#N/A</v>
          </cell>
          <cell r="N690" t="e">
            <v>#N/A</v>
          </cell>
          <cell r="O690" t="e">
            <v>#N/A</v>
          </cell>
          <cell r="P690">
            <v>34.65</v>
          </cell>
          <cell r="Q690" t="str">
            <v/>
          </cell>
          <cell r="R690" t="e">
            <v>#N/A</v>
          </cell>
        </row>
        <row r="691">
          <cell r="A691">
            <v>40151</v>
          </cell>
          <cell r="B691">
            <v>40151</v>
          </cell>
          <cell r="C691" t="str">
            <v>Future</v>
          </cell>
          <cell r="D691" t="e">
            <v>#N/A</v>
          </cell>
          <cell r="E691">
            <v>16.533478260869614</v>
          </cell>
          <cell r="F691">
            <v>38.446521739130539</v>
          </cell>
          <cell r="G691">
            <v>33.229130434782157</v>
          </cell>
          <cell r="H691">
            <v>33.229130434782157</v>
          </cell>
          <cell r="I691" t="e">
            <v>#N/A</v>
          </cell>
          <cell r="J691" t="e">
            <v>#N/A</v>
          </cell>
          <cell r="K691" t="e">
            <v>#N/A</v>
          </cell>
          <cell r="L691" t="e">
            <v>#N/A</v>
          </cell>
          <cell r="M691" t="e">
            <v>#N/A</v>
          </cell>
          <cell r="N691" t="e">
            <v>#N/A</v>
          </cell>
          <cell r="O691" t="e">
            <v>#N/A</v>
          </cell>
          <cell r="P691">
            <v>34.65</v>
          </cell>
          <cell r="Q691" t="str">
            <v/>
          </cell>
          <cell r="R691" t="e">
            <v>#N/A</v>
          </cell>
        </row>
        <row r="692">
          <cell r="A692">
            <v>40154</v>
          </cell>
          <cell r="B692">
            <v>40154</v>
          </cell>
          <cell r="C692" t="str">
            <v>Future</v>
          </cell>
          <cell r="D692" t="e">
            <v>#N/A</v>
          </cell>
          <cell r="E692">
            <v>16.396837944664082</v>
          </cell>
          <cell r="F692">
            <v>38.475889328063346</v>
          </cell>
          <cell r="G692">
            <v>33.218972332015355</v>
          </cell>
          <cell r="H692">
            <v>33.218972332015355</v>
          </cell>
          <cell r="I692" t="e">
            <v>#N/A</v>
          </cell>
          <cell r="J692" t="e">
            <v>#N/A</v>
          </cell>
          <cell r="K692" t="e">
            <v>#N/A</v>
          </cell>
          <cell r="L692" t="e">
            <v>#N/A</v>
          </cell>
          <cell r="M692" t="e">
            <v>#N/A</v>
          </cell>
          <cell r="N692" t="e">
            <v>#N/A</v>
          </cell>
          <cell r="O692" t="e">
            <v>#N/A</v>
          </cell>
          <cell r="P692">
            <v>34.65</v>
          </cell>
          <cell r="Q692" t="str">
            <v/>
          </cell>
          <cell r="R692" t="e">
            <v>#N/A</v>
          </cell>
        </row>
        <row r="693">
          <cell r="A693">
            <v>40155</v>
          </cell>
          <cell r="B693">
            <v>40155</v>
          </cell>
          <cell r="C693" t="str">
            <v>Future</v>
          </cell>
          <cell r="D693" t="e">
            <v>#N/A</v>
          </cell>
          <cell r="E693">
            <v>16.260197628458549</v>
          </cell>
          <cell r="F693">
            <v>38.505256916996153</v>
          </cell>
          <cell r="G693">
            <v>33.208814229248553</v>
          </cell>
          <cell r="H693">
            <v>33.208814229248553</v>
          </cell>
          <cell r="I693" t="e">
            <v>#N/A</v>
          </cell>
          <cell r="J693" t="e">
            <v>#N/A</v>
          </cell>
          <cell r="K693" t="e">
            <v>#N/A</v>
          </cell>
          <cell r="L693" t="e">
            <v>#N/A</v>
          </cell>
          <cell r="M693" t="e">
            <v>#N/A</v>
          </cell>
          <cell r="N693" t="e">
            <v>#N/A</v>
          </cell>
          <cell r="O693" t="e">
            <v>#N/A</v>
          </cell>
          <cell r="P693">
            <v>34.65</v>
          </cell>
          <cell r="Q693" t="str">
            <v/>
          </cell>
          <cell r="R693" t="e">
            <v>#N/A</v>
          </cell>
        </row>
        <row r="694">
          <cell r="A694">
            <v>40156</v>
          </cell>
          <cell r="B694">
            <v>40156</v>
          </cell>
          <cell r="C694" t="str">
            <v>Future</v>
          </cell>
          <cell r="D694" t="e">
            <v>#N/A</v>
          </cell>
          <cell r="E694">
            <v>16.123557312253016</v>
          </cell>
          <cell r="F694">
            <v>38.53462450592896</v>
          </cell>
          <cell r="G694">
            <v>33.198656126481751</v>
          </cell>
          <cell r="H694">
            <v>33.198656126481751</v>
          </cell>
          <cell r="I694" t="e">
            <v>#N/A</v>
          </cell>
          <cell r="J694" t="e">
            <v>#N/A</v>
          </cell>
          <cell r="K694" t="e">
            <v>#N/A</v>
          </cell>
          <cell r="L694" t="e">
            <v>#N/A</v>
          </cell>
          <cell r="M694" t="e">
            <v>#N/A</v>
          </cell>
          <cell r="N694" t="e">
            <v>#N/A</v>
          </cell>
          <cell r="O694" t="e">
            <v>#N/A</v>
          </cell>
          <cell r="P694">
            <v>34.65</v>
          </cell>
          <cell r="Q694" t="str">
            <v/>
          </cell>
          <cell r="R694" t="e">
            <v>#N/A</v>
          </cell>
        </row>
        <row r="695">
          <cell r="A695">
            <v>40157</v>
          </cell>
          <cell r="B695">
            <v>40157</v>
          </cell>
          <cell r="C695" t="str">
            <v>Future</v>
          </cell>
          <cell r="D695" t="e">
            <v>#N/A</v>
          </cell>
          <cell r="E695">
            <v>15.986916996047484</v>
          </cell>
          <cell r="F695">
            <v>38.563992094861767</v>
          </cell>
          <cell r="G695">
            <v>33.188498023714949</v>
          </cell>
          <cell r="H695">
            <v>33.188498023714949</v>
          </cell>
          <cell r="I695" t="e">
            <v>#N/A</v>
          </cell>
          <cell r="J695" t="e">
            <v>#N/A</v>
          </cell>
          <cell r="K695" t="e">
            <v>#N/A</v>
          </cell>
          <cell r="L695" t="e">
            <v>#N/A</v>
          </cell>
          <cell r="M695" t="e">
            <v>#N/A</v>
          </cell>
          <cell r="N695" t="e">
            <v>#N/A</v>
          </cell>
          <cell r="O695" t="e">
            <v>#N/A</v>
          </cell>
          <cell r="P695">
            <v>34.65</v>
          </cell>
          <cell r="Q695" t="str">
            <v/>
          </cell>
          <cell r="R695" t="e">
            <v>#N/A</v>
          </cell>
        </row>
        <row r="696">
          <cell r="A696">
            <v>40158</v>
          </cell>
          <cell r="B696">
            <v>40158</v>
          </cell>
          <cell r="C696" t="str">
            <v>Future</v>
          </cell>
          <cell r="D696" t="e">
            <v>#N/A</v>
          </cell>
          <cell r="E696">
            <v>15.850276679841951</v>
          </cell>
          <cell r="F696">
            <v>38.593359683794574</v>
          </cell>
          <cell r="G696">
            <v>33.178339920948147</v>
          </cell>
          <cell r="H696">
            <v>33.178339920948147</v>
          </cell>
          <cell r="I696" t="e">
            <v>#N/A</v>
          </cell>
          <cell r="J696" t="e">
            <v>#N/A</v>
          </cell>
          <cell r="K696" t="e">
            <v>#N/A</v>
          </cell>
          <cell r="L696" t="e">
            <v>#N/A</v>
          </cell>
          <cell r="M696" t="e">
            <v>#N/A</v>
          </cell>
          <cell r="N696" t="e">
            <v>#N/A</v>
          </cell>
          <cell r="O696" t="e">
            <v>#N/A</v>
          </cell>
          <cell r="P696">
            <v>34.65</v>
          </cell>
          <cell r="Q696" t="str">
            <v/>
          </cell>
          <cell r="R696" t="e">
            <v>#N/A</v>
          </cell>
        </row>
        <row r="697">
          <cell r="A697">
            <v>40161</v>
          </cell>
          <cell r="B697">
            <v>40161</v>
          </cell>
          <cell r="C697" t="str">
            <v>Future</v>
          </cell>
          <cell r="D697" t="e">
            <v>#N/A</v>
          </cell>
          <cell r="E697">
            <v>15.713636363636418</v>
          </cell>
          <cell r="F697">
            <v>38.622727272727381</v>
          </cell>
          <cell r="G697">
            <v>33.168181818181345</v>
          </cell>
          <cell r="H697">
            <v>33.168181818181345</v>
          </cell>
          <cell r="I697" t="e">
            <v>#N/A</v>
          </cell>
          <cell r="J697" t="e">
            <v>#N/A</v>
          </cell>
          <cell r="K697" t="e">
            <v>#N/A</v>
          </cell>
          <cell r="L697" t="e">
            <v>#N/A</v>
          </cell>
          <cell r="M697" t="e">
            <v>#N/A</v>
          </cell>
          <cell r="N697" t="e">
            <v>#N/A</v>
          </cell>
          <cell r="O697" t="e">
            <v>#N/A</v>
          </cell>
          <cell r="P697">
            <v>34.65</v>
          </cell>
          <cell r="Q697" t="str">
            <v/>
          </cell>
          <cell r="R697" t="e">
            <v>#N/A</v>
          </cell>
        </row>
        <row r="698">
          <cell r="A698">
            <v>40162</v>
          </cell>
          <cell r="B698">
            <v>40162</v>
          </cell>
          <cell r="C698" t="str">
            <v>Future</v>
          </cell>
          <cell r="D698" t="e">
            <v>#N/A</v>
          </cell>
          <cell r="E698">
            <v>15.576996047430885</v>
          </cell>
          <cell r="F698">
            <v>38.652094861660188</v>
          </cell>
          <cell r="G698">
            <v>33.158023715414544</v>
          </cell>
          <cell r="H698">
            <v>33.158023715414544</v>
          </cell>
          <cell r="I698" t="e">
            <v>#N/A</v>
          </cell>
          <cell r="J698" t="e">
            <v>#N/A</v>
          </cell>
          <cell r="K698" t="e">
            <v>#N/A</v>
          </cell>
          <cell r="L698" t="e">
            <v>#N/A</v>
          </cell>
          <cell r="M698" t="e">
            <v>#N/A</v>
          </cell>
          <cell r="N698" t="e">
            <v>#N/A</v>
          </cell>
          <cell r="O698" t="e">
            <v>#N/A</v>
          </cell>
          <cell r="P698">
            <v>34.65</v>
          </cell>
          <cell r="Q698" t="str">
            <v/>
          </cell>
          <cell r="R698" t="e">
            <v>#N/A</v>
          </cell>
        </row>
        <row r="699">
          <cell r="A699">
            <v>40163</v>
          </cell>
          <cell r="B699">
            <v>40163</v>
          </cell>
          <cell r="C699" t="str">
            <v>Future</v>
          </cell>
          <cell r="D699" t="e">
            <v>#N/A</v>
          </cell>
          <cell r="E699">
            <v>15.440355731225353</v>
          </cell>
          <cell r="F699">
            <v>38.681462450592996</v>
          </cell>
          <cell r="G699">
            <v>33.147865612647742</v>
          </cell>
          <cell r="H699">
            <v>33.147865612647742</v>
          </cell>
          <cell r="I699" t="e">
            <v>#N/A</v>
          </cell>
          <cell r="J699" t="e">
            <v>#N/A</v>
          </cell>
          <cell r="K699" t="e">
            <v>#N/A</v>
          </cell>
          <cell r="L699" t="e">
            <v>#N/A</v>
          </cell>
          <cell r="M699" t="e">
            <v>#N/A</v>
          </cell>
          <cell r="N699" t="e">
            <v>#N/A</v>
          </cell>
          <cell r="O699" t="e">
            <v>#N/A</v>
          </cell>
          <cell r="P699">
            <v>34.65</v>
          </cell>
          <cell r="Q699" t="str">
            <v/>
          </cell>
          <cell r="R699" t="e">
            <v>#N/A</v>
          </cell>
        </row>
        <row r="700">
          <cell r="A700">
            <v>40164</v>
          </cell>
          <cell r="B700">
            <v>40164</v>
          </cell>
          <cell r="C700" t="str">
            <v>Future</v>
          </cell>
          <cell r="D700" t="e">
            <v>#N/A</v>
          </cell>
          <cell r="E700">
            <v>15.30371541501982</v>
          </cell>
          <cell r="F700">
            <v>38.710830039525803</v>
          </cell>
          <cell r="G700">
            <v>33.13770750988094</v>
          </cell>
          <cell r="H700">
            <v>33.13770750988094</v>
          </cell>
          <cell r="I700" t="e">
            <v>#N/A</v>
          </cell>
          <cell r="J700" t="e">
            <v>#N/A</v>
          </cell>
          <cell r="K700" t="e">
            <v>#N/A</v>
          </cell>
          <cell r="L700" t="e">
            <v>#N/A</v>
          </cell>
          <cell r="M700" t="e">
            <v>#N/A</v>
          </cell>
          <cell r="N700" t="e">
            <v>#N/A</v>
          </cell>
          <cell r="O700" t="e">
            <v>#N/A</v>
          </cell>
          <cell r="P700">
            <v>34.65</v>
          </cell>
          <cell r="Q700" t="str">
            <v/>
          </cell>
          <cell r="R700" t="e">
            <v>#N/A</v>
          </cell>
        </row>
        <row r="701">
          <cell r="A701">
            <v>40165</v>
          </cell>
          <cell r="B701">
            <v>40165</v>
          </cell>
          <cell r="C701" t="str">
            <v>Future</v>
          </cell>
          <cell r="D701" t="e">
            <v>#N/A</v>
          </cell>
          <cell r="E701">
            <v>15.167075098814287</v>
          </cell>
          <cell r="F701">
            <v>38.74019762845861</v>
          </cell>
          <cell r="G701">
            <v>33.127549407114138</v>
          </cell>
          <cell r="H701">
            <v>33.127549407114138</v>
          </cell>
          <cell r="I701" t="e">
            <v>#N/A</v>
          </cell>
          <cell r="J701" t="e">
            <v>#N/A</v>
          </cell>
          <cell r="K701" t="e">
            <v>#N/A</v>
          </cell>
          <cell r="L701" t="e">
            <v>#N/A</v>
          </cell>
          <cell r="M701" t="e">
            <v>#N/A</v>
          </cell>
          <cell r="N701" t="e">
            <v>#N/A</v>
          </cell>
          <cell r="O701" t="e">
            <v>#N/A</v>
          </cell>
          <cell r="P701">
            <v>34.65</v>
          </cell>
          <cell r="Q701" t="str">
            <v/>
          </cell>
          <cell r="R701" t="e">
            <v>#N/A</v>
          </cell>
        </row>
        <row r="702">
          <cell r="A702">
            <v>40168</v>
          </cell>
          <cell r="B702">
            <v>40168</v>
          </cell>
          <cell r="C702" t="str">
            <v>Future</v>
          </cell>
          <cell r="D702" t="e">
            <v>#N/A</v>
          </cell>
          <cell r="E702">
            <v>15.030434782608754</v>
          </cell>
          <cell r="F702">
            <v>38.769565217391417</v>
          </cell>
          <cell r="G702">
            <v>33.117391304347336</v>
          </cell>
          <cell r="H702">
            <v>33.117391304347336</v>
          </cell>
          <cell r="I702" t="e">
            <v>#N/A</v>
          </cell>
          <cell r="J702" t="e">
            <v>#N/A</v>
          </cell>
          <cell r="K702" t="e">
            <v>#N/A</v>
          </cell>
          <cell r="L702" t="e">
            <v>#N/A</v>
          </cell>
          <cell r="M702" t="e">
            <v>#N/A</v>
          </cell>
          <cell r="N702" t="e">
            <v>#N/A</v>
          </cell>
          <cell r="O702" t="e">
            <v>#N/A</v>
          </cell>
          <cell r="P702">
            <v>34.65</v>
          </cell>
          <cell r="Q702" t="str">
            <v/>
          </cell>
          <cell r="R702" t="e">
            <v>#N/A</v>
          </cell>
        </row>
        <row r="703">
          <cell r="A703">
            <v>40169</v>
          </cell>
          <cell r="B703">
            <v>40169</v>
          </cell>
          <cell r="C703" t="str">
            <v>Future</v>
          </cell>
          <cell r="D703" t="e">
            <v>#N/A</v>
          </cell>
          <cell r="E703">
            <v>14.893794466403222</v>
          </cell>
          <cell r="F703">
            <v>38.798932806324224</v>
          </cell>
          <cell r="G703">
            <v>33.107233201580534</v>
          </cell>
          <cell r="H703">
            <v>33.107233201580534</v>
          </cell>
          <cell r="I703" t="e">
            <v>#N/A</v>
          </cell>
          <cell r="J703" t="e">
            <v>#N/A</v>
          </cell>
          <cell r="K703" t="e">
            <v>#N/A</v>
          </cell>
          <cell r="L703" t="e">
            <v>#N/A</v>
          </cell>
          <cell r="M703" t="e">
            <v>#N/A</v>
          </cell>
          <cell r="N703" t="e">
            <v>#N/A</v>
          </cell>
          <cell r="O703" t="e">
            <v>#N/A</v>
          </cell>
          <cell r="P703">
            <v>34.65</v>
          </cell>
          <cell r="Q703" t="str">
            <v/>
          </cell>
          <cell r="R703" t="e">
            <v>#N/A</v>
          </cell>
        </row>
        <row r="704">
          <cell r="A704">
            <v>40170</v>
          </cell>
          <cell r="B704">
            <v>40170</v>
          </cell>
          <cell r="C704" t="str">
            <v>Future</v>
          </cell>
          <cell r="D704" t="e">
            <v>#N/A</v>
          </cell>
          <cell r="E704">
            <v>14.757154150197689</v>
          </cell>
          <cell r="F704">
            <v>38.828300395257031</v>
          </cell>
          <cell r="G704">
            <v>33.097075098813733</v>
          </cell>
          <cell r="H704">
            <v>33.097075098813733</v>
          </cell>
          <cell r="I704" t="e">
            <v>#N/A</v>
          </cell>
          <cell r="J704" t="e">
            <v>#N/A</v>
          </cell>
          <cell r="K704" t="e">
            <v>#N/A</v>
          </cell>
          <cell r="L704" t="e">
            <v>#N/A</v>
          </cell>
          <cell r="M704" t="e">
            <v>#N/A</v>
          </cell>
          <cell r="N704" t="e">
            <v>#N/A</v>
          </cell>
          <cell r="O704" t="e">
            <v>#N/A</v>
          </cell>
          <cell r="P704">
            <v>34.65</v>
          </cell>
          <cell r="Q704" t="str">
            <v/>
          </cell>
          <cell r="R704" t="e">
            <v>#N/A</v>
          </cell>
        </row>
        <row r="705">
          <cell r="A705">
            <v>40171</v>
          </cell>
          <cell r="B705">
            <v>40171</v>
          </cell>
          <cell r="C705" t="str">
            <v>Future</v>
          </cell>
          <cell r="D705" t="e">
            <v>#N/A</v>
          </cell>
          <cell r="E705">
            <v>14.620513833992156</v>
          </cell>
          <cell r="F705">
            <v>38.857667984189838</v>
          </cell>
          <cell r="G705">
            <v>33.086916996046931</v>
          </cell>
          <cell r="H705">
            <v>33.086916996046931</v>
          </cell>
          <cell r="I705" t="e">
            <v>#N/A</v>
          </cell>
          <cell r="J705" t="e">
            <v>#N/A</v>
          </cell>
          <cell r="K705" t="e">
            <v>#N/A</v>
          </cell>
          <cell r="L705" t="e">
            <v>#N/A</v>
          </cell>
          <cell r="M705" t="e">
            <v>#N/A</v>
          </cell>
          <cell r="N705" t="e">
            <v>#N/A</v>
          </cell>
          <cell r="O705" t="e">
            <v>#N/A</v>
          </cell>
          <cell r="P705">
            <v>34.65</v>
          </cell>
          <cell r="Q705" t="str">
            <v/>
          </cell>
          <cell r="R705" t="e">
            <v>#N/A</v>
          </cell>
        </row>
        <row r="706">
          <cell r="A706">
            <v>40175</v>
          </cell>
          <cell r="B706">
            <v>40175</v>
          </cell>
          <cell r="C706" t="str">
            <v>Future</v>
          </cell>
          <cell r="D706" t="e">
            <v>#N/A</v>
          </cell>
          <cell r="E706">
            <v>14.483873517786623</v>
          </cell>
          <cell r="F706">
            <v>38.887035573122645</v>
          </cell>
          <cell r="G706">
            <v>33.076758893280129</v>
          </cell>
          <cell r="H706">
            <v>33.076758893280129</v>
          </cell>
          <cell r="I706" t="e">
            <v>#N/A</v>
          </cell>
          <cell r="J706" t="e">
            <v>#N/A</v>
          </cell>
          <cell r="K706" t="e">
            <v>#N/A</v>
          </cell>
          <cell r="L706" t="e">
            <v>#N/A</v>
          </cell>
          <cell r="M706" t="e">
            <v>#N/A</v>
          </cell>
          <cell r="N706" t="e">
            <v>#N/A</v>
          </cell>
          <cell r="O706" t="e">
            <v>#N/A</v>
          </cell>
          <cell r="P706">
            <v>34.65</v>
          </cell>
          <cell r="Q706" t="str">
            <v/>
          </cell>
          <cell r="R706" t="e">
            <v>#N/A</v>
          </cell>
        </row>
        <row r="707">
          <cell r="A707">
            <v>40176</v>
          </cell>
          <cell r="B707">
            <v>40176</v>
          </cell>
          <cell r="C707" t="str">
            <v>Future</v>
          </cell>
          <cell r="D707" t="e">
            <v>#N/A</v>
          </cell>
          <cell r="E707">
            <v>14.347233201581091</v>
          </cell>
          <cell r="F707">
            <v>38.916403162055452</v>
          </cell>
          <cell r="G707">
            <v>33.066600790513327</v>
          </cell>
          <cell r="H707">
            <v>33.066600790513327</v>
          </cell>
          <cell r="I707" t="e">
            <v>#N/A</v>
          </cell>
          <cell r="J707" t="e">
            <v>#N/A</v>
          </cell>
          <cell r="K707" t="e">
            <v>#N/A</v>
          </cell>
          <cell r="L707" t="e">
            <v>#N/A</v>
          </cell>
          <cell r="M707" t="e">
            <v>#N/A</v>
          </cell>
          <cell r="N707" t="e">
            <v>#N/A</v>
          </cell>
          <cell r="O707" t="e">
            <v>#N/A</v>
          </cell>
          <cell r="P707">
            <v>34.65</v>
          </cell>
          <cell r="Q707" t="str">
            <v/>
          </cell>
          <cell r="R707" t="e">
            <v>#N/A</v>
          </cell>
        </row>
        <row r="708">
          <cell r="A708">
            <v>40177</v>
          </cell>
          <cell r="B708">
            <v>40177</v>
          </cell>
          <cell r="C708" t="str">
            <v>Future</v>
          </cell>
          <cell r="D708" t="e">
            <v>#N/A</v>
          </cell>
          <cell r="E708">
            <v>14.210592885375558</v>
          </cell>
          <cell r="F708">
            <v>38.94577075098826</v>
          </cell>
          <cell r="G708">
            <v>33.056442687746525</v>
          </cell>
          <cell r="H708">
            <v>33.056442687746525</v>
          </cell>
          <cell r="I708" t="e">
            <v>#N/A</v>
          </cell>
          <cell r="J708" t="e">
            <v>#N/A</v>
          </cell>
          <cell r="K708" t="e">
            <v>#N/A</v>
          </cell>
          <cell r="L708" t="e">
            <v>#N/A</v>
          </cell>
          <cell r="M708" t="e">
            <v>#N/A</v>
          </cell>
          <cell r="N708" t="e">
            <v>#N/A</v>
          </cell>
          <cell r="O708" t="e">
            <v>#N/A</v>
          </cell>
          <cell r="P708">
            <v>34.65</v>
          </cell>
          <cell r="Q708" t="str">
            <v/>
          </cell>
          <cell r="R708" t="e">
            <v>#N/A</v>
          </cell>
        </row>
        <row r="709">
          <cell r="A709">
            <v>40178</v>
          </cell>
          <cell r="B709">
            <v>40178</v>
          </cell>
          <cell r="C709" t="str">
            <v>Future</v>
          </cell>
          <cell r="D709" t="e">
            <v>#N/A</v>
          </cell>
          <cell r="E709">
            <v>14.073952569170025</v>
          </cell>
          <cell r="F709">
            <v>38.975138339921067</v>
          </cell>
          <cell r="G709">
            <v>33.046284584979723</v>
          </cell>
          <cell r="H709">
            <v>33.046284584979723</v>
          </cell>
          <cell r="I709" t="e">
            <v>#N/A</v>
          </cell>
          <cell r="J709" t="e">
            <v>#N/A</v>
          </cell>
          <cell r="K709" t="e">
            <v>#N/A</v>
          </cell>
          <cell r="L709" t="e">
            <v>#N/A</v>
          </cell>
          <cell r="M709" t="e">
            <v>#N/A</v>
          </cell>
          <cell r="N709" t="e">
            <v>#N/A</v>
          </cell>
          <cell r="O709" t="e">
            <v>#N/A</v>
          </cell>
          <cell r="P709">
            <v>34.65</v>
          </cell>
          <cell r="Q709" t="str">
            <v/>
          </cell>
          <cell r="R709" t="e">
            <v>#N/A</v>
          </cell>
        </row>
        <row r="710">
          <cell r="A710">
            <v>40182</v>
          </cell>
          <cell r="B710">
            <v>40182</v>
          </cell>
          <cell r="C710" t="str">
            <v>Future</v>
          </cell>
          <cell r="D710" t="e">
            <v>#N/A</v>
          </cell>
          <cell r="E710">
            <v>13.937312252964492</v>
          </cell>
          <cell r="F710">
            <v>39.004505928853874</v>
          </cell>
          <cell r="G710">
            <v>33.036126482212921</v>
          </cell>
          <cell r="H710">
            <v>33.036126482212921</v>
          </cell>
          <cell r="I710" t="e">
            <v>#N/A</v>
          </cell>
          <cell r="J710" t="e">
            <v>#N/A</v>
          </cell>
          <cell r="K710" t="e">
            <v>#N/A</v>
          </cell>
          <cell r="L710" t="e">
            <v>#N/A</v>
          </cell>
          <cell r="M710" t="e">
            <v>#N/A</v>
          </cell>
          <cell r="N710" t="e">
            <v>#N/A</v>
          </cell>
          <cell r="O710" t="e">
            <v>#N/A</v>
          </cell>
          <cell r="P710">
            <v>34.65</v>
          </cell>
          <cell r="Q710" t="str">
            <v/>
          </cell>
          <cell r="R710" t="e">
            <v>#N/A</v>
          </cell>
        </row>
        <row r="711">
          <cell r="A711">
            <v>40183</v>
          </cell>
          <cell r="B711">
            <v>40183</v>
          </cell>
          <cell r="C711" t="str">
            <v>Future</v>
          </cell>
          <cell r="D711" t="e">
            <v>#N/A</v>
          </cell>
          <cell r="E711">
            <v>13.80067193675896</v>
          </cell>
          <cell r="F711">
            <v>39.033873517786681</v>
          </cell>
          <cell r="G711">
            <v>33.02596837944612</v>
          </cell>
          <cell r="H711">
            <v>33.02596837944612</v>
          </cell>
          <cell r="I711" t="e">
            <v>#N/A</v>
          </cell>
          <cell r="J711" t="e">
            <v>#N/A</v>
          </cell>
          <cell r="K711" t="e">
            <v>#N/A</v>
          </cell>
          <cell r="L711" t="e">
            <v>#N/A</v>
          </cell>
          <cell r="M711" t="e">
            <v>#N/A</v>
          </cell>
          <cell r="N711" t="e">
            <v>#N/A</v>
          </cell>
          <cell r="O711" t="e">
            <v>#N/A</v>
          </cell>
          <cell r="P711">
            <v>34.65</v>
          </cell>
          <cell r="Q711" t="str">
            <v/>
          </cell>
          <cell r="R711" t="e">
            <v>#N/A</v>
          </cell>
        </row>
        <row r="712">
          <cell r="A712">
            <v>40184</v>
          </cell>
          <cell r="B712">
            <v>40184</v>
          </cell>
          <cell r="C712" t="str">
            <v>Future</v>
          </cell>
          <cell r="D712" t="e">
            <v>#N/A</v>
          </cell>
          <cell r="E712">
            <v>13.664031620553427</v>
          </cell>
          <cell r="F712">
            <v>39.063241106719488</v>
          </cell>
          <cell r="G712">
            <v>33.015810276679318</v>
          </cell>
          <cell r="H712">
            <v>33.015810276679318</v>
          </cell>
          <cell r="I712" t="e">
            <v>#N/A</v>
          </cell>
          <cell r="J712" t="e">
            <v>#N/A</v>
          </cell>
          <cell r="K712" t="e">
            <v>#N/A</v>
          </cell>
          <cell r="L712" t="e">
            <v>#N/A</v>
          </cell>
          <cell r="M712" t="e">
            <v>#N/A</v>
          </cell>
          <cell r="N712" t="e">
            <v>#N/A</v>
          </cell>
          <cell r="O712" t="e">
            <v>#N/A</v>
          </cell>
          <cell r="P712">
            <v>34.65</v>
          </cell>
          <cell r="Q712" t="str">
            <v/>
          </cell>
          <cell r="R712" t="e">
            <v>#N/A</v>
          </cell>
        </row>
        <row r="713">
          <cell r="A713">
            <v>40185</v>
          </cell>
          <cell r="B713">
            <v>40185</v>
          </cell>
          <cell r="C713" t="str">
            <v>Future</v>
          </cell>
          <cell r="D713" t="e">
            <v>#N/A</v>
          </cell>
          <cell r="E713">
            <v>13.527391304347894</v>
          </cell>
          <cell r="F713">
            <v>39.092608695652295</v>
          </cell>
          <cell r="G713">
            <v>33.005652173912516</v>
          </cell>
          <cell r="H713">
            <v>33.005652173912516</v>
          </cell>
          <cell r="I713" t="e">
            <v>#N/A</v>
          </cell>
          <cell r="J713" t="e">
            <v>#N/A</v>
          </cell>
          <cell r="K713" t="e">
            <v>#N/A</v>
          </cell>
          <cell r="L713" t="e">
            <v>#N/A</v>
          </cell>
          <cell r="M713" t="e">
            <v>#N/A</v>
          </cell>
          <cell r="N713" t="e">
            <v>#N/A</v>
          </cell>
          <cell r="O713" t="e">
            <v>#N/A</v>
          </cell>
          <cell r="P713">
            <v>34.65</v>
          </cell>
          <cell r="Q713" t="str">
            <v/>
          </cell>
          <cell r="R713" t="e">
            <v>#N/A</v>
          </cell>
        </row>
        <row r="714">
          <cell r="A714">
            <v>40186</v>
          </cell>
          <cell r="B714">
            <v>40186</v>
          </cell>
          <cell r="C714" t="str">
            <v>Future</v>
          </cell>
          <cell r="D714" t="e">
            <v>#N/A</v>
          </cell>
          <cell r="E714">
            <v>13.390750988142361</v>
          </cell>
          <cell r="F714">
            <v>39.121976284585102</v>
          </cell>
          <cell r="G714">
            <v>32.995494071145714</v>
          </cell>
          <cell r="H714">
            <v>32.995494071145714</v>
          </cell>
          <cell r="I714" t="e">
            <v>#N/A</v>
          </cell>
          <cell r="J714" t="e">
            <v>#N/A</v>
          </cell>
          <cell r="K714" t="e">
            <v>#N/A</v>
          </cell>
          <cell r="L714" t="e">
            <v>#N/A</v>
          </cell>
          <cell r="M714" t="e">
            <v>#N/A</v>
          </cell>
          <cell r="N714" t="e">
            <v>#N/A</v>
          </cell>
          <cell r="O714" t="e">
            <v>#N/A</v>
          </cell>
          <cell r="P714">
            <v>34.65</v>
          </cell>
          <cell r="Q714" t="str">
            <v/>
          </cell>
          <cell r="R714" t="e">
            <v>#N/A</v>
          </cell>
        </row>
        <row r="715">
          <cell r="A715">
            <v>40189</v>
          </cell>
          <cell r="B715">
            <v>40189</v>
          </cell>
          <cell r="C715" t="str">
            <v>Future</v>
          </cell>
          <cell r="D715" t="e">
            <v>#N/A</v>
          </cell>
          <cell r="E715">
            <v>13.254110671936829</v>
          </cell>
          <cell r="F715">
            <v>39.151343873517909</v>
          </cell>
          <cell r="G715">
            <v>32.985335968378912</v>
          </cell>
          <cell r="H715">
            <v>32.985335968378912</v>
          </cell>
          <cell r="I715" t="e">
            <v>#N/A</v>
          </cell>
          <cell r="J715" t="e">
            <v>#N/A</v>
          </cell>
          <cell r="K715" t="e">
            <v>#N/A</v>
          </cell>
          <cell r="L715" t="e">
            <v>#N/A</v>
          </cell>
          <cell r="M715" t="e">
            <v>#N/A</v>
          </cell>
          <cell r="N715" t="e">
            <v>#N/A</v>
          </cell>
          <cell r="O715" t="e">
            <v>#N/A</v>
          </cell>
          <cell r="P715">
            <v>34.65</v>
          </cell>
          <cell r="Q715" t="str">
            <v/>
          </cell>
          <cell r="R715" t="e">
            <v>#N/A</v>
          </cell>
        </row>
        <row r="716">
          <cell r="A716">
            <v>40190</v>
          </cell>
          <cell r="B716">
            <v>40190</v>
          </cell>
          <cell r="C716" t="str">
            <v>Future</v>
          </cell>
          <cell r="D716" t="e">
            <v>#N/A</v>
          </cell>
          <cell r="E716">
            <v>13.117470355731296</v>
          </cell>
          <cell r="F716">
            <v>39.180711462450716</v>
          </cell>
          <cell r="G716">
            <v>32.97517786561211</v>
          </cell>
          <cell r="H716">
            <v>32.97517786561211</v>
          </cell>
          <cell r="I716" t="e">
            <v>#N/A</v>
          </cell>
          <cell r="J716" t="e">
            <v>#N/A</v>
          </cell>
          <cell r="K716" t="e">
            <v>#N/A</v>
          </cell>
          <cell r="L716" t="e">
            <v>#N/A</v>
          </cell>
          <cell r="M716" t="e">
            <v>#N/A</v>
          </cell>
          <cell r="N716" t="e">
            <v>#N/A</v>
          </cell>
          <cell r="O716" t="e">
            <v>#N/A</v>
          </cell>
          <cell r="P716">
            <v>34.65</v>
          </cell>
          <cell r="Q716" t="str">
            <v/>
          </cell>
          <cell r="R716" t="e">
            <v>#N/A</v>
          </cell>
        </row>
        <row r="717">
          <cell r="A717">
            <v>40191</v>
          </cell>
          <cell r="B717">
            <v>40191</v>
          </cell>
          <cell r="C717" t="str">
            <v>Future</v>
          </cell>
          <cell r="D717" t="e">
            <v>#N/A</v>
          </cell>
          <cell r="E717">
            <v>12.980830039525763</v>
          </cell>
          <cell r="F717">
            <v>39.210079051383524</v>
          </cell>
          <cell r="G717">
            <v>32.965019762845309</v>
          </cell>
          <cell r="H717">
            <v>32.965019762845309</v>
          </cell>
          <cell r="I717" t="e">
            <v>#N/A</v>
          </cell>
          <cell r="J717" t="e">
            <v>#N/A</v>
          </cell>
          <cell r="K717" t="e">
            <v>#N/A</v>
          </cell>
          <cell r="L717" t="e">
            <v>#N/A</v>
          </cell>
          <cell r="M717" t="e">
            <v>#N/A</v>
          </cell>
          <cell r="N717" t="e">
            <v>#N/A</v>
          </cell>
          <cell r="O717" t="e">
            <v>#N/A</v>
          </cell>
          <cell r="P717">
            <v>34.65</v>
          </cell>
          <cell r="Q717" t="str">
            <v/>
          </cell>
          <cell r="R717" t="e">
            <v>#N/A</v>
          </cell>
        </row>
        <row r="718">
          <cell r="A718">
            <v>40192</v>
          </cell>
          <cell r="B718">
            <v>40192</v>
          </cell>
          <cell r="C718" t="str">
            <v>Future</v>
          </cell>
          <cell r="D718" t="e">
            <v>#N/A</v>
          </cell>
          <cell r="E718">
            <v>12.84418972332023</v>
          </cell>
          <cell r="F718">
            <v>39.239446640316331</v>
          </cell>
          <cell r="G718">
            <v>32.954861660078507</v>
          </cell>
          <cell r="H718">
            <v>32.954861660078507</v>
          </cell>
          <cell r="I718" t="e">
            <v>#N/A</v>
          </cell>
          <cell r="J718" t="e">
            <v>#N/A</v>
          </cell>
          <cell r="K718" t="e">
            <v>#N/A</v>
          </cell>
          <cell r="L718" t="e">
            <v>#N/A</v>
          </cell>
          <cell r="M718" t="e">
            <v>#N/A</v>
          </cell>
          <cell r="N718" t="e">
            <v>#N/A</v>
          </cell>
          <cell r="O718" t="e">
            <v>#N/A</v>
          </cell>
          <cell r="P718">
            <v>34.65</v>
          </cell>
          <cell r="Q718" t="str">
            <v/>
          </cell>
          <cell r="R718" t="e">
            <v>#N/A</v>
          </cell>
        </row>
        <row r="719">
          <cell r="A719">
            <v>40193</v>
          </cell>
          <cell r="B719">
            <v>40193</v>
          </cell>
          <cell r="C719" t="str">
            <v>Future</v>
          </cell>
          <cell r="D719" t="e">
            <v>#N/A</v>
          </cell>
          <cell r="E719">
            <v>12.707549407114698</v>
          </cell>
          <cell r="F719">
            <v>39.268814229249138</v>
          </cell>
          <cell r="G719">
            <v>32.944703557311705</v>
          </cell>
          <cell r="H719">
            <v>32.944703557311705</v>
          </cell>
          <cell r="I719" t="e">
            <v>#N/A</v>
          </cell>
          <cell r="J719" t="e">
            <v>#N/A</v>
          </cell>
          <cell r="K719" t="e">
            <v>#N/A</v>
          </cell>
          <cell r="L719" t="e">
            <v>#N/A</v>
          </cell>
          <cell r="M719" t="e">
            <v>#N/A</v>
          </cell>
          <cell r="N719" t="e">
            <v>#N/A</v>
          </cell>
          <cell r="O719" t="e">
            <v>#N/A</v>
          </cell>
          <cell r="P719">
            <v>34.65</v>
          </cell>
          <cell r="Q719" t="str">
            <v/>
          </cell>
          <cell r="R719" t="e">
            <v>#N/A</v>
          </cell>
        </row>
        <row r="720">
          <cell r="A720">
            <v>40197</v>
          </cell>
          <cell r="B720">
            <v>40197</v>
          </cell>
          <cell r="C720" t="str">
            <v>Future</v>
          </cell>
          <cell r="D720" t="e">
            <v>#N/A</v>
          </cell>
          <cell r="E720">
            <v>12.570909090909165</v>
          </cell>
          <cell r="F720">
            <v>39.298181818181945</v>
          </cell>
          <cell r="G720">
            <v>32.934545454544903</v>
          </cell>
          <cell r="H720">
            <v>32.934545454544903</v>
          </cell>
          <cell r="I720" t="e">
            <v>#N/A</v>
          </cell>
          <cell r="J720" t="e">
            <v>#N/A</v>
          </cell>
          <cell r="K720" t="e">
            <v>#N/A</v>
          </cell>
          <cell r="L720" t="e">
            <v>#N/A</v>
          </cell>
          <cell r="M720" t="e">
            <v>#N/A</v>
          </cell>
          <cell r="N720" t="e">
            <v>#N/A</v>
          </cell>
          <cell r="O720" t="e">
            <v>#N/A</v>
          </cell>
          <cell r="P720">
            <v>34.65</v>
          </cell>
          <cell r="Q720" t="str">
            <v/>
          </cell>
          <cell r="R720" t="e">
            <v>#N/A</v>
          </cell>
        </row>
        <row r="721">
          <cell r="A721">
            <v>40198</v>
          </cell>
          <cell r="B721">
            <v>40198</v>
          </cell>
          <cell r="C721" t="str">
            <v>Future</v>
          </cell>
          <cell r="D721" t="e">
            <v>#N/A</v>
          </cell>
          <cell r="E721">
            <v>12.434268774703632</v>
          </cell>
          <cell r="F721">
            <v>39.327549407114752</v>
          </cell>
          <cell r="G721">
            <v>32.924387351778101</v>
          </cell>
          <cell r="H721">
            <v>32.924387351778101</v>
          </cell>
          <cell r="I721" t="e">
            <v>#N/A</v>
          </cell>
          <cell r="J721" t="e">
            <v>#N/A</v>
          </cell>
          <cell r="K721" t="e">
            <v>#N/A</v>
          </cell>
          <cell r="L721" t="e">
            <v>#N/A</v>
          </cell>
          <cell r="M721" t="e">
            <v>#N/A</v>
          </cell>
          <cell r="N721" t="e">
            <v>#N/A</v>
          </cell>
          <cell r="O721" t="e">
            <v>#N/A</v>
          </cell>
          <cell r="P721">
            <v>34.65</v>
          </cell>
          <cell r="Q721" t="str">
            <v/>
          </cell>
          <cell r="R721" t="e">
            <v>#N/A</v>
          </cell>
        </row>
        <row r="722">
          <cell r="A722">
            <v>40199</v>
          </cell>
          <cell r="B722">
            <v>40199</v>
          </cell>
          <cell r="C722" t="str">
            <v>Future</v>
          </cell>
          <cell r="D722" t="e">
            <v>#N/A</v>
          </cell>
          <cell r="E722">
            <v>12.297628458498099</v>
          </cell>
          <cell r="F722">
            <v>39.356916996047559</v>
          </cell>
          <cell r="G722">
            <v>32.914229249011299</v>
          </cell>
          <cell r="H722">
            <v>32.914229249011299</v>
          </cell>
          <cell r="I722" t="e">
            <v>#N/A</v>
          </cell>
          <cell r="J722" t="e">
            <v>#N/A</v>
          </cell>
          <cell r="K722" t="e">
            <v>#N/A</v>
          </cell>
          <cell r="L722" t="e">
            <v>#N/A</v>
          </cell>
          <cell r="M722" t="e">
            <v>#N/A</v>
          </cell>
          <cell r="N722" t="e">
            <v>#N/A</v>
          </cell>
          <cell r="O722" t="e">
            <v>#N/A</v>
          </cell>
          <cell r="P722">
            <v>34.65</v>
          </cell>
          <cell r="Q722" t="str">
            <v/>
          </cell>
          <cell r="R722" t="e">
            <v>#N/A</v>
          </cell>
        </row>
        <row r="723">
          <cell r="A723">
            <v>40200</v>
          </cell>
          <cell r="B723">
            <v>40200</v>
          </cell>
          <cell r="C723" t="str">
            <v>Future</v>
          </cell>
          <cell r="D723" t="e">
            <v>#N/A</v>
          </cell>
          <cell r="E723">
            <v>12.160988142292567</v>
          </cell>
          <cell r="F723">
            <v>39.386284584980366</v>
          </cell>
          <cell r="G723">
            <v>32.904071146244497</v>
          </cell>
          <cell r="H723">
            <v>32.904071146244497</v>
          </cell>
          <cell r="I723" t="e">
            <v>#N/A</v>
          </cell>
          <cell r="J723" t="e">
            <v>#N/A</v>
          </cell>
          <cell r="K723" t="e">
            <v>#N/A</v>
          </cell>
          <cell r="L723" t="e">
            <v>#N/A</v>
          </cell>
          <cell r="M723" t="e">
            <v>#N/A</v>
          </cell>
          <cell r="N723" t="e">
            <v>#N/A</v>
          </cell>
          <cell r="O723" t="e">
            <v>#N/A</v>
          </cell>
          <cell r="P723">
            <v>34.65</v>
          </cell>
          <cell r="Q723" t="str">
            <v/>
          </cell>
          <cell r="R723" t="e">
            <v>#N/A</v>
          </cell>
        </row>
        <row r="724">
          <cell r="A724">
            <v>40203</v>
          </cell>
          <cell r="B724">
            <v>40203</v>
          </cell>
          <cell r="C724" t="str">
            <v>Future</v>
          </cell>
          <cell r="D724" t="e">
            <v>#N/A</v>
          </cell>
          <cell r="E724">
            <v>12.024347826087034</v>
          </cell>
          <cell r="F724">
            <v>39.415652173913173</v>
          </cell>
          <cell r="G724">
            <v>32.893913043477696</v>
          </cell>
          <cell r="H724">
            <v>32.893913043477696</v>
          </cell>
          <cell r="I724" t="e">
            <v>#N/A</v>
          </cell>
          <cell r="J724" t="e">
            <v>#N/A</v>
          </cell>
          <cell r="K724" t="e">
            <v>#N/A</v>
          </cell>
          <cell r="L724" t="e">
            <v>#N/A</v>
          </cell>
          <cell r="M724" t="e">
            <v>#N/A</v>
          </cell>
          <cell r="N724" t="e">
            <v>#N/A</v>
          </cell>
          <cell r="O724" t="e">
            <v>#N/A</v>
          </cell>
          <cell r="P724">
            <v>34.65</v>
          </cell>
          <cell r="Q724" t="str">
            <v/>
          </cell>
          <cell r="R724" t="e">
            <v>#N/A</v>
          </cell>
        </row>
        <row r="725">
          <cell r="A725">
            <v>40204</v>
          </cell>
          <cell r="B725">
            <v>40204</v>
          </cell>
          <cell r="C725" t="str">
            <v>Future</v>
          </cell>
          <cell r="D725" t="e">
            <v>#N/A</v>
          </cell>
          <cell r="E725">
            <v>11.887707509881501</v>
          </cell>
          <cell r="F725">
            <v>39.44501976284598</v>
          </cell>
          <cell r="G725">
            <v>32.883754940710894</v>
          </cell>
          <cell r="H725">
            <v>32.883754940710894</v>
          </cell>
          <cell r="I725" t="e">
            <v>#N/A</v>
          </cell>
          <cell r="J725" t="e">
            <v>#N/A</v>
          </cell>
          <cell r="K725" t="e">
            <v>#N/A</v>
          </cell>
          <cell r="L725" t="e">
            <v>#N/A</v>
          </cell>
          <cell r="M725" t="e">
            <v>#N/A</v>
          </cell>
          <cell r="N725" t="e">
            <v>#N/A</v>
          </cell>
          <cell r="O725" t="e">
            <v>#N/A</v>
          </cell>
          <cell r="P725">
            <v>34.65</v>
          </cell>
          <cell r="Q725" t="str">
            <v/>
          </cell>
          <cell r="R725" t="e">
            <v>#N/A</v>
          </cell>
        </row>
        <row r="726">
          <cell r="A726">
            <v>40205</v>
          </cell>
          <cell r="B726">
            <v>40205</v>
          </cell>
          <cell r="C726" t="str">
            <v>Future</v>
          </cell>
          <cell r="D726" t="e">
            <v>#N/A</v>
          </cell>
          <cell r="E726">
            <v>11.751067193675969</v>
          </cell>
          <cell r="F726">
            <v>39.474387351778788</v>
          </cell>
          <cell r="G726">
            <v>32.873596837944092</v>
          </cell>
          <cell r="H726">
            <v>32.873596837944092</v>
          </cell>
          <cell r="I726" t="e">
            <v>#N/A</v>
          </cell>
          <cell r="J726" t="e">
            <v>#N/A</v>
          </cell>
          <cell r="K726" t="e">
            <v>#N/A</v>
          </cell>
          <cell r="L726" t="e">
            <v>#N/A</v>
          </cell>
          <cell r="M726" t="e">
            <v>#N/A</v>
          </cell>
          <cell r="N726" t="e">
            <v>#N/A</v>
          </cell>
          <cell r="O726" t="e">
            <v>#N/A</v>
          </cell>
          <cell r="P726">
            <v>34.65</v>
          </cell>
          <cell r="Q726" t="str">
            <v/>
          </cell>
          <cell r="R726" t="e">
            <v>#N/A</v>
          </cell>
        </row>
        <row r="727">
          <cell r="A727">
            <v>40206</v>
          </cell>
          <cell r="B727">
            <v>40206</v>
          </cell>
          <cell r="C727" t="str">
            <v>Future</v>
          </cell>
          <cell r="D727" t="e">
            <v>#N/A</v>
          </cell>
          <cell r="E727">
            <v>11.614426877470436</v>
          </cell>
          <cell r="F727">
            <v>39.503754940711595</v>
          </cell>
          <cell r="G727">
            <v>32.86343873517729</v>
          </cell>
          <cell r="H727">
            <v>32.86343873517729</v>
          </cell>
          <cell r="I727" t="e">
            <v>#N/A</v>
          </cell>
          <cell r="J727" t="e">
            <v>#N/A</v>
          </cell>
          <cell r="K727" t="e">
            <v>#N/A</v>
          </cell>
          <cell r="L727" t="e">
            <v>#N/A</v>
          </cell>
          <cell r="M727" t="e">
            <v>#N/A</v>
          </cell>
          <cell r="N727" t="e">
            <v>#N/A</v>
          </cell>
          <cell r="O727" t="e">
            <v>#N/A</v>
          </cell>
          <cell r="P727">
            <v>34.65</v>
          </cell>
          <cell r="Q727" t="str">
            <v/>
          </cell>
          <cell r="R727" t="e">
            <v>#N/A</v>
          </cell>
        </row>
        <row r="728">
          <cell r="A728">
            <v>40207</v>
          </cell>
          <cell r="B728">
            <v>40207</v>
          </cell>
          <cell r="C728" t="str">
            <v>Future</v>
          </cell>
          <cell r="D728" t="e">
            <v>#N/A</v>
          </cell>
          <cell r="E728">
            <v>11.477786561264903</v>
          </cell>
          <cell r="F728">
            <v>39.533122529644402</v>
          </cell>
          <cell r="G728">
            <v>32.853280632410488</v>
          </cell>
          <cell r="H728">
            <v>32.853280632410488</v>
          </cell>
          <cell r="I728" t="e">
            <v>#N/A</v>
          </cell>
          <cell r="J728" t="e">
            <v>#N/A</v>
          </cell>
          <cell r="K728" t="e">
            <v>#N/A</v>
          </cell>
          <cell r="L728" t="e">
            <v>#N/A</v>
          </cell>
          <cell r="M728" t="e">
            <v>#N/A</v>
          </cell>
          <cell r="N728" t="e">
            <v>#N/A</v>
          </cell>
          <cell r="O728" t="e">
            <v>#N/A</v>
          </cell>
          <cell r="P728">
            <v>34.65</v>
          </cell>
          <cell r="Q728" t="str">
            <v/>
          </cell>
          <cell r="R728" t="e">
            <v>#N/A</v>
          </cell>
        </row>
        <row r="729">
          <cell r="A729">
            <v>40210</v>
          </cell>
          <cell r="B729">
            <v>40210</v>
          </cell>
          <cell r="C729" t="str">
            <v>Future</v>
          </cell>
          <cell r="D729" t="e">
            <v>#N/A</v>
          </cell>
          <cell r="E729">
            <v>11.34114624505937</v>
          </cell>
          <cell r="F729">
            <v>39.562490118577209</v>
          </cell>
          <cell r="G729">
            <v>32.843122529643686</v>
          </cell>
          <cell r="H729">
            <v>32.843122529643686</v>
          </cell>
          <cell r="I729" t="e">
            <v>#N/A</v>
          </cell>
          <cell r="J729" t="e">
            <v>#N/A</v>
          </cell>
          <cell r="K729" t="e">
            <v>#N/A</v>
          </cell>
          <cell r="L729" t="e">
            <v>#N/A</v>
          </cell>
          <cell r="M729" t="e">
            <v>#N/A</v>
          </cell>
          <cell r="N729" t="e">
            <v>#N/A</v>
          </cell>
          <cell r="O729" t="e">
            <v>#N/A</v>
          </cell>
          <cell r="P729">
            <v>34.65</v>
          </cell>
          <cell r="Q729" t="str">
            <v/>
          </cell>
          <cell r="R729" t="e">
            <v>#N/A</v>
          </cell>
        </row>
        <row r="730">
          <cell r="A730">
            <v>40211</v>
          </cell>
          <cell r="B730">
            <v>40211</v>
          </cell>
          <cell r="C730" t="str">
            <v>Future</v>
          </cell>
          <cell r="D730" t="e">
            <v>#N/A</v>
          </cell>
          <cell r="E730">
            <v>11.204505928853838</v>
          </cell>
          <cell r="F730">
            <v>39.591857707510016</v>
          </cell>
          <cell r="G730">
            <v>32.832964426876885</v>
          </cell>
          <cell r="H730">
            <v>32.832964426876885</v>
          </cell>
          <cell r="I730" t="e">
            <v>#N/A</v>
          </cell>
          <cell r="J730" t="e">
            <v>#N/A</v>
          </cell>
          <cell r="K730" t="e">
            <v>#N/A</v>
          </cell>
          <cell r="L730" t="e">
            <v>#N/A</v>
          </cell>
          <cell r="M730" t="e">
            <v>#N/A</v>
          </cell>
          <cell r="N730" t="e">
            <v>#N/A</v>
          </cell>
          <cell r="O730" t="e">
            <v>#N/A</v>
          </cell>
          <cell r="P730">
            <v>34.65</v>
          </cell>
          <cell r="Q730" t="str">
            <v/>
          </cell>
          <cell r="R730" t="e">
            <v>#N/A</v>
          </cell>
        </row>
        <row r="731">
          <cell r="A731">
            <v>40212</v>
          </cell>
          <cell r="B731">
            <v>40212</v>
          </cell>
          <cell r="C731" t="str">
            <v>Future</v>
          </cell>
          <cell r="D731" t="e">
            <v>#N/A</v>
          </cell>
          <cell r="E731">
            <v>11.067865612648305</v>
          </cell>
          <cell r="F731">
            <v>39.621225296442823</v>
          </cell>
          <cell r="G731">
            <v>32.822806324110083</v>
          </cell>
          <cell r="H731">
            <v>32.822806324110083</v>
          </cell>
          <cell r="I731" t="e">
            <v>#N/A</v>
          </cell>
          <cell r="J731" t="e">
            <v>#N/A</v>
          </cell>
          <cell r="K731" t="e">
            <v>#N/A</v>
          </cell>
          <cell r="L731" t="e">
            <v>#N/A</v>
          </cell>
          <cell r="M731" t="e">
            <v>#N/A</v>
          </cell>
          <cell r="N731" t="e">
            <v>#N/A</v>
          </cell>
          <cell r="O731" t="e">
            <v>#N/A</v>
          </cell>
          <cell r="P731">
            <v>34.65</v>
          </cell>
          <cell r="Q731" t="str">
            <v/>
          </cell>
          <cell r="R731" t="e">
            <v>#N/A</v>
          </cell>
        </row>
        <row r="732">
          <cell r="A732">
            <v>40213</v>
          </cell>
          <cell r="B732">
            <v>40213</v>
          </cell>
          <cell r="C732" t="str">
            <v>Future</v>
          </cell>
          <cell r="D732" t="e">
            <v>#N/A</v>
          </cell>
          <cell r="E732">
            <v>10.931225296442772</v>
          </cell>
          <cell r="F732">
            <v>39.65059288537563</v>
          </cell>
          <cell r="G732">
            <v>32.812648221343281</v>
          </cell>
          <cell r="H732">
            <v>32.812648221343281</v>
          </cell>
          <cell r="I732" t="e">
            <v>#N/A</v>
          </cell>
          <cell r="J732" t="e">
            <v>#N/A</v>
          </cell>
          <cell r="K732" t="e">
            <v>#N/A</v>
          </cell>
          <cell r="L732" t="e">
            <v>#N/A</v>
          </cell>
          <cell r="M732" t="e">
            <v>#N/A</v>
          </cell>
          <cell r="N732" t="e">
            <v>#N/A</v>
          </cell>
          <cell r="O732" t="e">
            <v>#N/A</v>
          </cell>
          <cell r="P732">
            <v>34.65</v>
          </cell>
          <cell r="Q732" t="str">
            <v/>
          </cell>
          <cell r="R732" t="e">
            <v>#N/A</v>
          </cell>
        </row>
        <row r="733">
          <cell r="A733">
            <v>40214</v>
          </cell>
          <cell r="B733">
            <v>40214</v>
          </cell>
          <cell r="C733" t="str">
            <v>Future</v>
          </cell>
          <cell r="D733" t="e">
            <v>#N/A</v>
          </cell>
          <cell r="E733">
            <v>10.794584980237239</v>
          </cell>
          <cell r="F733">
            <v>39.679960474308437</v>
          </cell>
          <cell r="G733">
            <v>32.802490118576479</v>
          </cell>
          <cell r="H733">
            <v>32.802490118576479</v>
          </cell>
          <cell r="I733" t="e">
            <v>#N/A</v>
          </cell>
          <cell r="J733" t="e">
            <v>#N/A</v>
          </cell>
          <cell r="K733" t="e">
            <v>#N/A</v>
          </cell>
          <cell r="L733" t="e">
            <v>#N/A</v>
          </cell>
          <cell r="M733" t="e">
            <v>#N/A</v>
          </cell>
          <cell r="N733" t="e">
            <v>#N/A</v>
          </cell>
          <cell r="O733" t="e">
            <v>#N/A</v>
          </cell>
          <cell r="P733">
            <v>34.65</v>
          </cell>
          <cell r="Q733" t="str">
            <v/>
          </cell>
          <cell r="R733" t="e">
            <v>#N/A</v>
          </cell>
        </row>
        <row r="734">
          <cell r="A734">
            <v>40217</v>
          </cell>
          <cell r="B734">
            <v>40217</v>
          </cell>
          <cell r="C734" t="str">
            <v>Future</v>
          </cell>
          <cell r="D734" t="e">
            <v>#N/A</v>
          </cell>
          <cell r="E734">
            <v>10.657944664031707</v>
          </cell>
          <cell r="F734">
            <v>39.709328063241244</v>
          </cell>
          <cell r="G734">
            <v>32.792332015809677</v>
          </cell>
          <cell r="H734">
            <v>32.792332015809677</v>
          </cell>
          <cell r="I734" t="e">
            <v>#N/A</v>
          </cell>
          <cell r="J734" t="e">
            <v>#N/A</v>
          </cell>
          <cell r="K734" t="e">
            <v>#N/A</v>
          </cell>
          <cell r="L734" t="e">
            <v>#N/A</v>
          </cell>
          <cell r="M734" t="e">
            <v>#N/A</v>
          </cell>
          <cell r="N734" t="e">
            <v>#N/A</v>
          </cell>
          <cell r="O734" t="e">
            <v>#N/A</v>
          </cell>
          <cell r="P734">
            <v>34.65</v>
          </cell>
          <cell r="Q734" t="str">
            <v/>
          </cell>
          <cell r="R734" t="e">
            <v>#N/A</v>
          </cell>
        </row>
        <row r="735">
          <cell r="A735">
            <v>40218</v>
          </cell>
          <cell r="B735">
            <v>40218</v>
          </cell>
          <cell r="C735" t="str">
            <v>Future</v>
          </cell>
          <cell r="D735" t="e">
            <v>#N/A</v>
          </cell>
          <cell r="E735">
            <v>10.521304347826174</v>
          </cell>
          <cell r="F735">
            <v>39.738695652174052</v>
          </cell>
          <cell r="G735">
            <v>32.782173913042875</v>
          </cell>
          <cell r="H735">
            <v>32.782173913042875</v>
          </cell>
          <cell r="I735" t="e">
            <v>#N/A</v>
          </cell>
          <cell r="J735" t="e">
            <v>#N/A</v>
          </cell>
          <cell r="K735" t="e">
            <v>#N/A</v>
          </cell>
          <cell r="L735" t="e">
            <v>#N/A</v>
          </cell>
          <cell r="M735" t="e">
            <v>#N/A</v>
          </cell>
          <cell r="N735" t="e">
            <v>#N/A</v>
          </cell>
          <cell r="O735" t="e">
            <v>#N/A</v>
          </cell>
          <cell r="P735">
            <v>34.65</v>
          </cell>
          <cell r="Q735" t="str">
            <v/>
          </cell>
          <cell r="R735" t="e">
            <v>#N/A</v>
          </cell>
        </row>
        <row r="736">
          <cell r="A736">
            <v>40219</v>
          </cell>
          <cell r="B736">
            <v>40219</v>
          </cell>
          <cell r="C736" t="str">
            <v>Future</v>
          </cell>
          <cell r="D736" t="e">
            <v>#N/A</v>
          </cell>
          <cell r="E736">
            <v>10.384664031620641</v>
          </cell>
          <cell r="F736">
            <v>39.768063241106859</v>
          </cell>
          <cell r="G736">
            <v>32.772015810276073</v>
          </cell>
          <cell r="H736">
            <v>32.772015810276073</v>
          </cell>
          <cell r="I736" t="e">
            <v>#N/A</v>
          </cell>
          <cell r="J736" t="e">
            <v>#N/A</v>
          </cell>
          <cell r="K736" t="e">
            <v>#N/A</v>
          </cell>
          <cell r="L736" t="e">
            <v>#N/A</v>
          </cell>
          <cell r="M736" t="e">
            <v>#N/A</v>
          </cell>
          <cell r="N736" t="e">
            <v>#N/A</v>
          </cell>
          <cell r="O736" t="e">
            <v>#N/A</v>
          </cell>
          <cell r="P736">
            <v>34.65</v>
          </cell>
          <cell r="Q736" t="str">
            <v/>
          </cell>
          <cell r="R736" t="e">
            <v>#N/A</v>
          </cell>
        </row>
        <row r="737">
          <cell r="A737">
            <v>40220</v>
          </cell>
          <cell r="B737">
            <v>40220</v>
          </cell>
          <cell r="C737" t="str">
            <v>Future</v>
          </cell>
          <cell r="D737" t="e">
            <v>#N/A</v>
          </cell>
          <cell r="E737">
            <v>10.248023715415108</v>
          </cell>
          <cell r="F737">
            <v>39.797430830039666</v>
          </cell>
          <cell r="G737">
            <v>32.761857707509272</v>
          </cell>
          <cell r="H737">
            <v>32.761857707509272</v>
          </cell>
          <cell r="I737" t="e">
            <v>#N/A</v>
          </cell>
          <cell r="J737" t="e">
            <v>#N/A</v>
          </cell>
          <cell r="K737" t="e">
            <v>#N/A</v>
          </cell>
          <cell r="L737" t="e">
            <v>#N/A</v>
          </cell>
          <cell r="M737" t="e">
            <v>#N/A</v>
          </cell>
          <cell r="N737" t="e">
            <v>#N/A</v>
          </cell>
          <cell r="O737" t="e">
            <v>#N/A</v>
          </cell>
          <cell r="P737">
            <v>34.65</v>
          </cell>
          <cell r="Q737" t="str">
            <v/>
          </cell>
          <cell r="R737" t="e">
            <v>#N/A</v>
          </cell>
        </row>
        <row r="738">
          <cell r="A738">
            <v>40221</v>
          </cell>
          <cell r="B738">
            <v>40221</v>
          </cell>
          <cell r="C738" t="str">
            <v>Future</v>
          </cell>
          <cell r="D738" t="e">
            <v>#N/A</v>
          </cell>
          <cell r="E738">
            <v>10.111383399209576</v>
          </cell>
          <cell r="F738">
            <v>39.826798418972473</v>
          </cell>
          <cell r="G738">
            <v>32.75169960474247</v>
          </cell>
          <cell r="H738">
            <v>32.75169960474247</v>
          </cell>
          <cell r="I738" t="e">
            <v>#N/A</v>
          </cell>
          <cell r="J738" t="e">
            <v>#N/A</v>
          </cell>
          <cell r="K738" t="e">
            <v>#N/A</v>
          </cell>
          <cell r="L738" t="e">
            <v>#N/A</v>
          </cell>
          <cell r="M738" t="e">
            <v>#N/A</v>
          </cell>
          <cell r="N738" t="e">
            <v>#N/A</v>
          </cell>
          <cell r="O738" t="e">
            <v>#N/A</v>
          </cell>
          <cell r="P738">
            <v>34.65</v>
          </cell>
          <cell r="Q738" t="str">
            <v/>
          </cell>
          <cell r="R738" t="e">
            <v>#N/A</v>
          </cell>
        </row>
        <row r="739">
          <cell r="A739">
            <v>40225</v>
          </cell>
          <cell r="B739">
            <v>40225</v>
          </cell>
          <cell r="C739" t="str">
            <v>Future</v>
          </cell>
          <cell r="D739" t="e">
            <v>#N/A</v>
          </cell>
          <cell r="E739">
            <v>9.9747430830040429</v>
          </cell>
          <cell r="F739">
            <v>39.85616600790528</v>
          </cell>
          <cell r="G739">
            <v>32.741541501975668</v>
          </cell>
          <cell r="H739">
            <v>32.741541501975668</v>
          </cell>
          <cell r="I739" t="e">
            <v>#N/A</v>
          </cell>
          <cell r="J739" t="e">
            <v>#N/A</v>
          </cell>
          <cell r="K739" t="e">
            <v>#N/A</v>
          </cell>
          <cell r="L739" t="e">
            <v>#N/A</v>
          </cell>
          <cell r="M739" t="e">
            <v>#N/A</v>
          </cell>
          <cell r="N739" t="e">
            <v>#N/A</v>
          </cell>
          <cell r="O739" t="e">
            <v>#N/A</v>
          </cell>
          <cell r="P739">
            <v>34.65</v>
          </cell>
          <cell r="Q739" t="str">
            <v/>
          </cell>
          <cell r="R739" t="e">
            <v>#N/A</v>
          </cell>
        </row>
        <row r="740">
          <cell r="A740">
            <v>40226</v>
          </cell>
          <cell r="B740">
            <v>40226</v>
          </cell>
          <cell r="C740" t="str">
            <v>Future</v>
          </cell>
          <cell r="D740" t="e">
            <v>#N/A</v>
          </cell>
          <cell r="E740">
            <v>9.8381027667985101</v>
          </cell>
          <cell r="F740">
            <v>39.885533596838087</v>
          </cell>
          <cell r="G740">
            <v>32.731383399208866</v>
          </cell>
          <cell r="H740">
            <v>32.731383399208866</v>
          </cell>
          <cell r="I740" t="e">
            <v>#N/A</v>
          </cell>
          <cell r="J740" t="e">
            <v>#N/A</v>
          </cell>
          <cell r="K740" t="e">
            <v>#N/A</v>
          </cell>
          <cell r="L740" t="e">
            <v>#N/A</v>
          </cell>
          <cell r="M740" t="e">
            <v>#N/A</v>
          </cell>
          <cell r="N740" t="e">
            <v>#N/A</v>
          </cell>
          <cell r="O740" t="e">
            <v>#N/A</v>
          </cell>
          <cell r="P740">
            <v>34.65</v>
          </cell>
          <cell r="Q740" t="str">
            <v/>
          </cell>
          <cell r="R740" t="e">
            <v>#N/A</v>
          </cell>
        </row>
        <row r="741">
          <cell r="A741">
            <v>40227</v>
          </cell>
          <cell r="B741">
            <v>40227</v>
          </cell>
          <cell r="C741" t="str">
            <v>Future</v>
          </cell>
          <cell r="D741" t="e">
            <v>#N/A</v>
          </cell>
          <cell r="E741">
            <v>9.7014624505929774</v>
          </cell>
          <cell r="F741">
            <v>39.914901185770894</v>
          </cell>
          <cell r="G741">
            <v>32.721225296442064</v>
          </cell>
          <cell r="H741">
            <v>32.721225296442064</v>
          </cell>
          <cell r="I741" t="e">
            <v>#N/A</v>
          </cell>
          <cell r="J741" t="e">
            <v>#N/A</v>
          </cell>
          <cell r="K741" t="e">
            <v>#N/A</v>
          </cell>
          <cell r="L741" t="e">
            <v>#N/A</v>
          </cell>
          <cell r="M741" t="e">
            <v>#N/A</v>
          </cell>
          <cell r="N741" t="e">
            <v>#N/A</v>
          </cell>
          <cell r="O741" t="e">
            <v>#N/A</v>
          </cell>
          <cell r="P741">
            <v>34.65</v>
          </cell>
          <cell r="Q741" t="str">
            <v/>
          </cell>
          <cell r="R741" t="e">
            <v>#N/A</v>
          </cell>
        </row>
        <row r="742">
          <cell r="A742">
            <v>40228</v>
          </cell>
          <cell r="B742">
            <v>40228</v>
          </cell>
          <cell r="C742" t="str">
            <v>Future</v>
          </cell>
          <cell r="D742" t="e">
            <v>#N/A</v>
          </cell>
          <cell r="E742">
            <v>9.5648221343874447</v>
          </cell>
          <cell r="F742">
            <v>39.944268774703701</v>
          </cell>
          <cell r="G742">
            <v>32.711067193675262</v>
          </cell>
          <cell r="H742">
            <v>32.711067193675262</v>
          </cell>
          <cell r="I742" t="e">
            <v>#N/A</v>
          </cell>
          <cell r="J742" t="e">
            <v>#N/A</v>
          </cell>
          <cell r="K742" t="e">
            <v>#N/A</v>
          </cell>
          <cell r="L742" t="e">
            <v>#N/A</v>
          </cell>
          <cell r="M742" t="e">
            <v>#N/A</v>
          </cell>
          <cell r="N742" t="e">
            <v>#N/A</v>
          </cell>
          <cell r="O742" t="e">
            <v>#N/A</v>
          </cell>
          <cell r="P742">
            <v>34.65</v>
          </cell>
          <cell r="Q742" t="str">
            <v/>
          </cell>
          <cell r="R742" t="e">
            <v>#N/A</v>
          </cell>
        </row>
        <row r="743">
          <cell r="A743">
            <v>40231</v>
          </cell>
          <cell r="B743">
            <v>40231</v>
          </cell>
          <cell r="C743" t="str">
            <v>Future</v>
          </cell>
          <cell r="D743" t="e">
            <v>#N/A</v>
          </cell>
          <cell r="E743">
            <v>9.4281818181819119</v>
          </cell>
          <cell r="F743">
            <v>39.973636363636508</v>
          </cell>
          <cell r="G743">
            <v>32.700909090908461</v>
          </cell>
          <cell r="H743">
            <v>32.700909090908461</v>
          </cell>
          <cell r="I743" t="e">
            <v>#N/A</v>
          </cell>
          <cell r="J743" t="e">
            <v>#N/A</v>
          </cell>
          <cell r="K743" t="e">
            <v>#N/A</v>
          </cell>
          <cell r="L743" t="e">
            <v>#N/A</v>
          </cell>
          <cell r="M743" t="e">
            <v>#N/A</v>
          </cell>
          <cell r="N743" t="e">
            <v>#N/A</v>
          </cell>
          <cell r="O743" t="e">
            <v>#N/A</v>
          </cell>
          <cell r="P743">
            <v>34.65</v>
          </cell>
          <cell r="Q743" t="str">
            <v/>
          </cell>
          <cell r="R743" t="e">
            <v>#N/A</v>
          </cell>
        </row>
        <row r="744">
          <cell r="A744">
            <v>40232</v>
          </cell>
          <cell r="B744">
            <v>40232</v>
          </cell>
          <cell r="C744" t="str">
            <v>Future</v>
          </cell>
          <cell r="D744" t="e">
            <v>#N/A</v>
          </cell>
          <cell r="E744">
            <v>9.2915415019763792</v>
          </cell>
          <cell r="F744">
            <v>40.003003952569316</v>
          </cell>
          <cell r="G744">
            <v>32.690750988141659</v>
          </cell>
          <cell r="H744">
            <v>32.690750988141659</v>
          </cell>
          <cell r="I744" t="e">
            <v>#N/A</v>
          </cell>
          <cell r="J744" t="e">
            <v>#N/A</v>
          </cell>
          <cell r="K744" t="e">
            <v>#N/A</v>
          </cell>
          <cell r="L744" t="e">
            <v>#N/A</v>
          </cell>
          <cell r="M744" t="e">
            <v>#N/A</v>
          </cell>
          <cell r="N744" t="e">
            <v>#N/A</v>
          </cell>
          <cell r="O744" t="e">
            <v>#N/A</v>
          </cell>
          <cell r="P744">
            <v>34.65</v>
          </cell>
          <cell r="Q744" t="str">
            <v/>
          </cell>
          <cell r="R744" t="e">
            <v>#N/A</v>
          </cell>
        </row>
        <row r="745">
          <cell r="A745">
            <v>40233</v>
          </cell>
          <cell r="B745">
            <v>40233</v>
          </cell>
          <cell r="C745" t="str">
            <v>Future</v>
          </cell>
          <cell r="D745" t="e">
            <v>#N/A</v>
          </cell>
          <cell r="E745">
            <v>9.1549011857708464</v>
          </cell>
          <cell r="F745">
            <v>40.032371541502123</v>
          </cell>
          <cell r="G745">
            <v>32.680592885374857</v>
          </cell>
          <cell r="H745">
            <v>32.680592885374857</v>
          </cell>
          <cell r="I745" t="e">
            <v>#N/A</v>
          </cell>
          <cell r="J745" t="e">
            <v>#N/A</v>
          </cell>
          <cell r="K745" t="e">
            <v>#N/A</v>
          </cell>
          <cell r="L745" t="e">
            <v>#N/A</v>
          </cell>
          <cell r="M745" t="e">
            <v>#N/A</v>
          </cell>
          <cell r="N745" t="e">
            <v>#N/A</v>
          </cell>
          <cell r="O745" t="e">
            <v>#N/A</v>
          </cell>
          <cell r="P745">
            <v>34.65</v>
          </cell>
          <cell r="Q745" t="str">
            <v/>
          </cell>
          <cell r="R745" t="e">
            <v>#N/A</v>
          </cell>
        </row>
        <row r="746">
          <cell r="A746">
            <v>40234</v>
          </cell>
          <cell r="B746">
            <v>40234</v>
          </cell>
          <cell r="C746" t="str">
            <v>Future</v>
          </cell>
          <cell r="D746" t="e">
            <v>#N/A</v>
          </cell>
          <cell r="E746">
            <v>9.0182608695653137</v>
          </cell>
          <cell r="F746">
            <v>40.06173913043493</v>
          </cell>
          <cell r="G746">
            <v>32.670434782608055</v>
          </cell>
          <cell r="H746">
            <v>32.670434782608055</v>
          </cell>
          <cell r="I746" t="e">
            <v>#N/A</v>
          </cell>
          <cell r="J746" t="e">
            <v>#N/A</v>
          </cell>
          <cell r="K746" t="e">
            <v>#N/A</v>
          </cell>
          <cell r="L746" t="e">
            <v>#N/A</v>
          </cell>
          <cell r="M746" t="e">
            <v>#N/A</v>
          </cell>
          <cell r="N746" t="e">
            <v>#N/A</v>
          </cell>
          <cell r="O746" t="e">
            <v>#N/A</v>
          </cell>
          <cell r="P746">
            <v>34.65</v>
          </cell>
          <cell r="Q746" t="str">
            <v/>
          </cell>
          <cell r="R746" t="e">
            <v>#N/A</v>
          </cell>
        </row>
        <row r="747">
          <cell r="A747">
            <v>40235</v>
          </cell>
          <cell r="B747">
            <v>40235</v>
          </cell>
          <cell r="C747" t="str">
            <v>Future</v>
          </cell>
          <cell r="D747" t="e">
            <v>#N/A</v>
          </cell>
          <cell r="E747">
            <v>8.881620553359781</v>
          </cell>
          <cell r="F747">
            <v>40.091106719367737</v>
          </cell>
          <cell r="G747">
            <v>32.660276679841253</v>
          </cell>
          <cell r="H747">
            <v>32.660276679841253</v>
          </cell>
          <cell r="I747" t="e">
            <v>#N/A</v>
          </cell>
          <cell r="J747" t="e">
            <v>#N/A</v>
          </cell>
          <cell r="K747" t="e">
            <v>#N/A</v>
          </cell>
          <cell r="L747" t="e">
            <v>#N/A</v>
          </cell>
          <cell r="M747" t="e">
            <v>#N/A</v>
          </cell>
          <cell r="N747" t="e">
            <v>#N/A</v>
          </cell>
          <cell r="O747" t="e">
            <v>#N/A</v>
          </cell>
          <cell r="P747">
            <v>34.65</v>
          </cell>
          <cell r="Q747" t="str">
            <v/>
          </cell>
          <cell r="R747" t="e">
            <v>#N/A</v>
          </cell>
        </row>
        <row r="748">
          <cell r="A748">
            <v>40238</v>
          </cell>
          <cell r="B748">
            <v>40238</v>
          </cell>
          <cell r="C748" t="str">
            <v>Future</v>
          </cell>
          <cell r="D748" t="e">
            <v>#N/A</v>
          </cell>
          <cell r="E748">
            <v>8.7449802371542482</v>
          </cell>
          <cell r="F748">
            <v>40.120474308300544</v>
          </cell>
          <cell r="G748">
            <v>32.650118577074451</v>
          </cell>
          <cell r="H748">
            <v>32.650118577074451</v>
          </cell>
          <cell r="I748" t="e">
            <v>#N/A</v>
          </cell>
          <cell r="J748" t="e">
            <v>#N/A</v>
          </cell>
          <cell r="K748" t="e">
            <v>#N/A</v>
          </cell>
          <cell r="L748" t="e">
            <v>#N/A</v>
          </cell>
          <cell r="M748" t="e">
            <v>#N/A</v>
          </cell>
          <cell r="N748" t="e">
            <v>#N/A</v>
          </cell>
          <cell r="O748" t="e">
            <v>#N/A</v>
          </cell>
          <cell r="P748">
            <v>34.65</v>
          </cell>
          <cell r="Q748" t="str">
            <v/>
          </cell>
          <cell r="R748" t="e">
            <v>#N/A</v>
          </cell>
        </row>
        <row r="749">
          <cell r="A749">
            <v>40239</v>
          </cell>
          <cell r="B749">
            <v>40239</v>
          </cell>
          <cell r="C749" t="str">
            <v>Future</v>
          </cell>
          <cell r="D749" t="e">
            <v>#N/A</v>
          </cell>
          <cell r="E749">
            <v>8.6083399209487155</v>
          </cell>
          <cell r="F749">
            <v>40.149841897233351</v>
          </cell>
          <cell r="G749">
            <v>32.639960474307649</v>
          </cell>
          <cell r="H749">
            <v>32.639960474307649</v>
          </cell>
          <cell r="I749" t="e">
            <v>#N/A</v>
          </cell>
          <cell r="J749" t="e">
            <v>#N/A</v>
          </cell>
          <cell r="K749" t="e">
            <v>#N/A</v>
          </cell>
          <cell r="L749" t="e">
            <v>#N/A</v>
          </cell>
          <cell r="M749" t="e">
            <v>#N/A</v>
          </cell>
          <cell r="N749" t="e">
            <v>#N/A</v>
          </cell>
          <cell r="O749" t="e">
            <v>#N/A</v>
          </cell>
          <cell r="P749">
            <v>34.65</v>
          </cell>
          <cell r="Q749" t="str">
            <v/>
          </cell>
          <cell r="R749" t="e">
            <v>#N/A</v>
          </cell>
        </row>
        <row r="750">
          <cell r="A750">
            <v>40240</v>
          </cell>
          <cell r="B750">
            <v>40240</v>
          </cell>
          <cell r="C750" t="str">
            <v>Future</v>
          </cell>
          <cell r="D750" t="e">
            <v>#N/A</v>
          </cell>
          <cell r="E750">
            <v>8.4716996047431827</v>
          </cell>
          <cell r="F750">
            <v>40.179209486166158</v>
          </cell>
          <cell r="G750">
            <v>32.629802371540848</v>
          </cell>
          <cell r="H750">
            <v>32.629802371540848</v>
          </cell>
          <cell r="I750" t="e">
            <v>#N/A</v>
          </cell>
          <cell r="J750" t="e">
            <v>#N/A</v>
          </cell>
          <cell r="K750" t="e">
            <v>#N/A</v>
          </cell>
          <cell r="L750" t="e">
            <v>#N/A</v>
          </cell>
          <cell r="M750" t="e">
            <v>#N/A</v>
          </cell>
          <cell r="N750" t="e">
            <v>#N/A</v>
          </cell>
          <cell r="O750" t="e">
            <v>#N/A</v>
          </cell>
          <cell r="P750">
            <v>34.65</v>
          </cell>
          <cell r="Q750" t="str">
            <v/>
          </cell>
          <cell r="R750" t="e">
            <v>#N/A</v>
          </cell>
        </row>
        <row r="751">
          <cell r="A751">
            <v>40241</v>
          </cell>
          <cell r="B751">
            <v>40241</v>
          </cell>
          <cell r="C751" t="str">
            <v>Future</v>
          </cell>
          <cell r="D751" t="e">
            <v>#N/A</v>
          </cell>
          <cell r="E751">
            <v>8.33505928853765</v>
          </cell>
          <cell r="F751">
            <v>40.208577075098965</v>
          </cell>
          <cell r="G751">
            <v>32.619644268774046</v>
          </cell>
          <cell r="H751">
            <v>32.619644268774046</v>
          </cell>
          <cell r="I751" t="e">
            <v>#N/A</v>
          </cell>
          <cell r="J751" t="e">
            <v>#N/A</v>
          </cell>
          <cell r="K751" t="e">
            <v>#N/A</v>
          </cell>
          <cell r="L751" t="e">
            <v>#N/A</v>
          </cell>
          <cell r="M751" t="e">
            <v>#N/A</v>
          </cell>
          <cell r="N751" t="e">
            <v>#N/A</v>
          </cell>
          <cell r="O751" t="e">
            <v>#N/A</v>
          </cell>
          <cell r="P751">
            <v>34.65</v>
          </cell>
          <cell r="Q751" t="str">
            <v/>
          </cell>
          <cell r="R751" t="e">
            <v>#N/A</v>
          </cell>
        </row>
        <row r="752">
          <cell r="A752">
            <v>40242</v>
          </cell>
          <cell r="B752">
            <v>40242</v>
          </cell>
          <cell r="C752" t="str">
            <v>Future</v>
          </cell>
          <cell r="D752" t="e">
            <v>#N/A</v>
          </cell>
          <cell r="E752">
            <v>8.1984189723321172</v>
          </cell>
          <cell r="F752">
            <v>40.237944664031772</v>
          </cell>
          <cell r="G752">
            <v>32.609486166007244</v>
          </cell>
          <cell r="H752">
            <v>32.609486166007244</v>
          </cell>
          <cell r="I752" t="e">
            <v>#N/A</v>
          </cell>
          <cell r="J752" t="e">
            <v>#N/A</v>
          </cell>
          <cell r="K752" t="e">
            <v>#N/A</v>
          </cell>
          <cell r="L752" t="e">
            <v>#N/A</v>
          </cell>
          <cell r="M752" t="e">
            <v>#N/A</v>
          </cell>
          <cell r="N752" t="e">
            <v>#N/A</v>
          </cell>
          <cell r="O752" t="e">
            <v>#N/A</v>
          </cell>
          <cell r="P752">
            <v>34.65</v>
          </cell>
          <cell r="Q752" t="str">
            <v/>
          </cell>
          <cell r="R752" t="e">
            <v>#N/A</v>
          </cell>
        </row>
        <row r="753">
          <cell r="A753">
            <v>40245</v>
          </cell>
          <cell r="B753">
            <v>40245</v>
          </cell>
          <cell r="C753" t="str">
            <v>Future</v>
          </cell>
          <cell r="D753" t="e">
            <v>#N/A</v>
          </cell>
          <cell r="E753">
            <v>8.0617786561265845</v>
          </cell>
          <cell r="F753">
            <v>40.267312252964579</v>
          </cell>
          <cell r="G753">
            <v>32.599328063240442</v>
          </cell>
          <cell r="H753">
            <v>32.599328063240442</v>
          </cell>
          <cell r="I753" t="e">
            <v>#N/A</v>
          </cell>
          <cell r="J753" t="e">
            <v>#N/A</v>
          </cell>
          <cell r="K753" t="e">
            <v>#N/A</v>
          </cell>
          <cell r="L753" t="e">
            <v>#N/A</v>
          </cell>
          <cell r="M753" t="e">
            <v>#N/A</v>
          </cell>
          <cell r="N753" t="e">
            <v>#N/A</v>
          </cell>
          <cell r="O753" t="e">
            <v>#N/A</v>
          </cell>
          <cell r="P753">
            <v>34.65</v>
          </cell>
          <cell r="Q753" t="str">
            <v/>
          </cell>
          <cell r="R753" t="e">
            <v>#N/A</v>
          </cell>
        </row>
        <row r="754">
          <cell r="A754">
            <v>40246</v>
          </cell>
          <cell r="B754">
            <v>40246</v>
          </cell>
          <cell r="C754" t="str">
            <v>Future</v>
          </cell>
          <cell r="D754" t="e">
            <v>#N/A</v>
          </cell>
          <cell r="E754">
            <v>7.9251383399210509</v>
          </cell>
          <cell r="F754">
            <v>40.296679841897387</v>
          </cell>
          <cell r="G754">
            <v>32.58916996047364</v>
          </cell>
          <cell r="H754">
            <v>32.58916996047364</v>
          </cell>
          <cell r="I754" t="e">
            <v>#N/A</v>
          </cell>
          <cell r="J754" t="e">
            <v>#N/A</v>
          </cell>
          <cell r="K754" t="e">
            <v>#N/A</v>
          </cell>
          <cell r="L754" t="e">
            <v>#N/A</v>
          </cell>
          <cell r="M754" t="e">
            <v>#N/A</v>
          </cell>
          <cell r="N754" t="e">
            <v>#N/A</v>
          </cell>
          <cell r="O754" t="e">
            <v>#N/A</v>
          </cell>
          <cell r="P754">
            <v>34.65</v>
          </cell>
          <cell r="Q754" t="str">
            <v/>
          </cell>
          <cell r="R754" t="e">
            <v>#N/A</v>
          </cell>
        </row>
        <row r="755">
          <cell r="A755">
            <v>40247</v>
          </cell>
          <cell r="B755">
            <v>40247</v>
          </cell>
          <cell r="C755" t="str">
            <v>Future</v>
          </cell>
          <cell r="D755" t="e">
            <v>#N/A</v>
          </cell>
          <cell r="E755">
            <v>7.7884980237155172</v>
          </cell>
          <cell r="F755">
            <v>40.326047430830194</v>
          </cell>
          <cell r="G755">
            <v>32.579011857706838</v>
          </cell>
          <cell r="H755">
            <v>32.579011857706838</v>
          </cell>
          <cell r="I755" t="e">
            <v>#N/A</v>
          </cell>
          <cell r="J755" t="e">
            <v>#N/A</v>
          </cell>
          <cell r="K755" t="e">
            <v>#N/A</v>
          </cell>
          <cell r="L755" t="e">
            <v>#N/A</v>
          </cell>
          <cell r="M755" t="e">
            <v>#N/A</v>
          </cell>
          <cell r="N755" t="e">
            <v>#N/A</v>
          </cell>
          <cell r="O755" t="e">
            <v>#N/A</v>
          </cell>
          <cell r="P755">
            <v>34.65</v>
          </cell>
          <cell r="Q755" t="str">
            <v/>
          </cell>
          <cell r="R755" t="e">
            <v>#N/A</v>
          </cell>
        </row>
        <row r="756">
          <cell r="A756">
            <v>40248</v>
          </cell>
          <cell r="B756">
            <v>40248</v>
          </cell>
          <cell r="C756" t="str">
            <v>Future</v>
          </cell>
          <cell r="D756" t="e">
            <v>#N/A</v>
          </cell>
          <cell r="E756">
            <v>7.6518577075099836</v>
          </cell>
          <cell r="F756">
            <v>40.355415019763001</v>
          </cell>
          <cell r="G756">
            <v>32.568853754940037</v>
          </cell>
          <cell r="H756">
            <v>32.568853754940037</v>
          </cell>
          <cell r="I756" t="e">
            <v>#N/A</v>
          </cell>
          <cell r="J756" t="e">
            <v>#N/A</v>
          </cell>
          <cell r="K756" t="e">
            <v>#N/A</v>
          </cell>
          <cell r="L756" t="e">
            <v>#N/A</v>
          </cell>
          <cell r="M756" t="e">
            <v>#N/A</v>
          </cell>
          <cell r="N756" t="e">
            <v>#N/A</v>
          </cell>
          <cell r="O756" t="e">
            <v>#N/A</v>
          </cell>
          <cell r="P756">
            <v>34.65</v>
          </cell>
          <cell r="Q756" t="str">
            <v/>
          </cell>
          <cell r="R756" t="e">
            <v>#N/A</v>
          </cell>
        </row>
        <row r="757">
          <cell r="A757">
            <v>40249</v>
          </cell>
          <cell r="B757">
            <v>40249</v>
          </cell>
          <cell r="C757" t="str">
            <v>Future</v>
          </cell>
          <cell r="D757" t="e">
            <v>#N/A</v>
          </cell>
          <cell r="E757">
            <v>7.51521739130445</v>
          </cell>
          <cell r="F757">
            <v>40.384782608695808</v>
          </cell>
          <cell r="G757">
            <v>32.558695652173235</v>
          </cell>
          <cell r="H757">
            <v>32.558695652173235</v>
          </cell>
          <cell r="I757" t="e">
            <v>#N/A</v>
          </cell>
          <cell r="J757" t="e">
            <v>#N/A</v>
          </cell>
          <cell r="K757" t="e">
            <v>#N/A</v>
          </cell>
          <cell r="L757" t="e">
            <v>#N/A</v>
          </cell>
          <cell r="M757" t="e">
            <v>#N/A</v>
          </cell>
          <cell r="N757" t="e">
            <v>#N/A</v>
          </cell>
          <cell r="O757" t="e">
            <v>#N/A</v>
          </cell>
          <cell r="P757">
            <v>34.65</v>
          </cell>
          <cell r="Q757" t="str">
            <v/>
          </cell>
          <cell r="R757" t="e">
            <v>#N/A</v>
          </cell>
        </row>
        <row r="758">
          <cell r="A758">
            <v>40252</v>
          </cell>
          <cell r="B758">
            <v>40252</v>
          </cell>
          <cell r="C758" t="str">
            <v>Future</v>
          </cell>
          <cell r="D758" t="e">
            <v>#N/A</v>
          </cell>
          <cell r="E758">
            <v>7.3785770750989164</v>
          </cell>
          <cell r="F758">
            <v>40.414150197628615</v>
          </cell>
          <cell r="G758">
            <v>32.548537549406433</v>
          </cell>
          <cell r="H758">
            <v>32.548537549406433</v>
          </cell>
          <cell r="I758" t="e">
            <v>#N/A</v>
          </cell>
          <cell r="J758" t="e">
            <v>#N/A</v>
          </cell>
          <cell r="K758" t="e">
            <v>#N/A</v>
          </cell>
          <cell r="L758" t="e">
            <v>#N/A</v>
          </cell>
          <cell r="M758" t="e">
            <v>#N/A</v>
          </cell>
          <cell r="N758" t="e">
            <v>#N/A</v>
          </cell>
          <cell r="O758" t="e">
            <v>#N/A</v>
          </cell>
          <cell r="P758">
            <v>34.65</v>
          </cell>
          <cell r="Q758" t="str">
            <v/>
          </cell>
          <cell r="R758" t="e">
            <v>#N/A</v>
          </cell>
        </row>
        <row r="759">
          <cell r="A759">
            <v>40253</v>
          </cell>
          <cell r="B759">
            <v>40253</v>
          </cell>
          <cell r="C759" t="str">
            <v>Future</v>
          </cell>
          <cell r="D759" t="e">
            <v>#N/A</v>
          </cell>
          <cell r="E759">
            <v>7.2419367588933827</v>
          </cell>
          <cell r="F759">
            <v>40.443517786561422</v>
          </cell>
          <cell r="G759">
            <v>32.538379446639631</v>
          </cell>
          <cell r="H759">
            <v>32.538379446639631</v>
          </cell>
          <cell r="I759" t="e">
            <v>#N/A</v>
          </cell>
          <cell r="J759" t="e">
            <v>#N/A</v>
          </cell>
          <cell r="K759" t="e">
            <v>#N/A</v>
          </cell>
          <cell r="L759" t="e">
            <v>#N/A</v>
          </cell>
          <cell r="M759" t="e">
            <v>#N/A</v>
          </cell>
          <cell r="N759" t="e">
            <v>#N/A</v>
          </cell>
          <cell r="O759" t="e">
            <v>#N/A</v>
          </cell>
          <cell r="P759">
            <v>34.65</v>
          </cell>
          <cell r="Q759" t="str">
            <v/>
          </cell>
          <cell r="R759" t="e">
            <v>#N/A</v>
          </cell>
        </row>
        <row r="760">
          <cell r="A760">
            <v>40254</v>
          </cell>
          <cell r="B760">
            <v>40254</v>
          </cell>
          <cell r="C760" t="str">
            <v>Future</v>
          </cell>
          <cell r="D760" t="e">
            <v>#N/A</v>
          </cell>
          <cell r="E760">
            <v>7.1052964426878491</v>
          </cell>
          <cell r="F760">
            <v>40.472885375494229</v>
          </cell>
          <cell r="G760">
            <v>32.528221343872829</v>
          </cell>
          <cell r="H760">
            <v>32.528221343872829</v>
          </cell>
          <cell r="I760" t="e">
            <v>#N/A</v>
          </cell>
          <cell r="J760" t="e">
            <v>#N/A</v>
          </cell>
          <cell r="K760" t="e">
            <v>#N/A</v>
          </cell>
          <cell r="L760" t="e">
            <v>#N/A</v>
          </cell>
          <cell r="M760" t="e">
            <v>#N/A</v>
          </cell>
          <cell r="N760" t="e">
            <v>#N/A</v>
          </cell>
          <cell r="O760" t="e">
            <v>#N/A</v>
          </cell>
          <cell r="P760">
            <v>34.65</v>
          </cell>
          <cell r="Q760" t="str">
            <v/>
          </cell>
          <cell r="R760" t="e">
            <v>#N/A</v>
          </cell>
        </row>
        <row r="761">
          <cell r="A761">
            <v>40255</v>
          </cell>
          <cell r="B761">
            <v>40255</v>
          </cell>
          <cell r="C761" t="str">
            <v>Future</v>
          </cell>
          <cell r="D761" t="e">
            <v>#N/A</v>
          </cell>
          <cell r="E761">
            <v>6.9686561264823155</v>
          </cell>
          <cell r="F761">
            <v>40.502252964427036</v>
          </cell>
          <cell r="G761">
            <v>32.518063241106027</v>
          </cell>
          <cell r="H761">
            <v>32.518063241106027</v>
          </cell>
          <cell r="I761" t="e">
            <v>#N/A</v>
          </cell>
          <cell r="J761" t="e">
            <v>#N/A</v>
          </cell>
          <cell r="K761" t="e">
            <v>#N/A</v>
          </cell>
          <cell r="L761" t="e">
            <v>#N/A</v>
          </cell>
          <cell r="M761" t="e">
            <v>#N/A</v>
          </cell>
          <cell r="N761" t="e">
            <v>#N/A</v>
          </cell>
          <cell r="O761" t="e">
            <v>#N/A</v>
          </cell>
          <cell r="P761">
            <v>34.65</v>
          </cell>
          <cell r="Q761" t="str">
            <v/>
          </cell>
          <cell r="R761" t="e">
            <v>#N/A</v>
          </cell>
        </row>
        <row r="762">
          <cell r="A762">
            <v>40256</v>
          </cell>
          <cell r="B762">
            <v>40256</v>
          </cell>
          <cell r="C762" t="str">
            <v>Future</v>
          </cell>
          <cell r="D762" t="e">
            <v>#N/A</v>
          </cell>
          <cell r="E762">
            <v>6.8320158102767818</v>
          </cell>
          <cell r="F762">
            <v>40.531620553359843</v>
          </cell>
          <cell r="G762">
            <v>32.507905138339225</v>
          </cell>
          <cell r="H762">
            <v>32.507905138339225</v>
          </cell>
          <cell r="I762" t="e">
            <v>#N/A</v>
          </cell>
          <cell r="J762" t="e">
            <v>#N/A</v>
          </cell>
          <cell r="K762" t="e">
            <v>#N/A</v>
          </cell>
          <cell r="L762" t="e">
            <v>#N/A</v>
          </cell>
          <cell r="M762" t="e">
            <v>#N/A</v>
          </cell>
          <cell r="N762" t="e">
            <v>#N/A</v>
          </cell>
          <cell r="O762" t="e">
            <v>#N/A</v>
          </cell>
          <cell r="P762">
            <v>34.65</v>
          </cell>
          <cell r="Q762" t="str">
            <v/>
          </cell>
          <cell r="R762" t="e">
            <v>#N/A</v>
          </cell>
        </row>
        <row r="763">
          <cell r="A763">
            <v>40259</v>
          </cell>
          <cell r="B763">
            <v>40259</v>
          </cell>
          <cell r="C763" t="str">
            <v>Future</v>
          </cell>
          <cell r="D763" t="e">
            <v>#N/A</v>
          </cell>
          <cell r="E763">
            <v>6.6953754940712482</v>
          </cell>
          <cell r="F763">
            <v>40.560988142292651</v>
          </cell>
          <cell r="G763">
            <v>32.497747035572424</v>
          </cell>
          <cell r="H763">
            <v>32.497747035572424</v>
          </cell>
          <cell r="I763" t="e">
            <v>#N/A</v>
          </cell>
          <cell r="J763" t="e">
            <v>#N/A</v>
          </cell>
          <cell r="K763" t="e">
            <v>#N/A</v>
          </cell>
          <cell r="L763" t="e">
            <v>#N/A</v>
          </cell>
          <cell r="M763" t="e">
            <v>#N/A</v>
          </cell>
          <cell r="N763" t="e">
            <v>#N/A</v>
          </cell>
          <cell r="O763" t="e">
            <v>#N/A</v>
          </cell>
          <cell r="P763">
            <v>34.65</v>
          </cell>
          <cell r="Q763" t="str">
            <v/>
          </cell>
          <cell r="R763" t="e">
            <v>#N/A</v>
          </cell>
        </row>
        <row r="764">
          <cell r="A764">
            <v>40260</v>
          </cell>
          <cell r="B764">
            <v>40260</v>
          </cell>
          <cell r="C764" t="str">
            <v>Future</v>
          </cell>
          <cell r="D764" t="e">
            <v>#N/A</v>
          </cell>
          <cell r="E764">
            <v>6.5587351778657146</v>
          </cell>
          <cell r="F764">
            <v>40.590355731225458</v>
          </cell>
          <cell r="G764">
            <v>32.487588932805622</v>
          </cell>
          <cell r="H764">
            <v>32.487588932805622</v>
          </cell>
          <cell r="I764" t="e">
            <v>#N/A</v>
          </cell>
          <cell r="J764" t="e">
            <v>#N/A</v>
          </cell>
          <cell r="K764" t="e">
            <v>#N/A</v>
          </cell>
          <cell r="L764" t="e">
            <v>#N/A</v>
          </cell>
          <cell r="M764" t="e">
            <v>#N/A</v>
          </cell>
          <cell r="N764" t="e">
            <v>#N/A</v>
          </cell>
          <cell r="O764" t="e">
            <v>#N/A</v>
          </cell>
          <cell r="P764">
            <v>34.65</v>
          </cell>
          <cell r="Q764" t="str">
            <v/>
          </cell>
          <cell r="R764" t="e">
            <v>#N/A</v>
          </cell>
        </row>
        <row r="765">
          <cell r="A765">
            <v>40261</v>
          </cell>
          <cell r="B765">
            <v>40261</v>
          </cell>
          <cell r="C765" t="str">
            <v>Future</v>
          </cell>
          <cell r="D765" t="e">
            <v>#N/A</v>
          </cell>
          <cell r="E765">
            <v>6.422094861660181</v>
          </cell>
          <cell r="F765">
            <v>40.619723320158265</v>
          </cell>
          <cell r="G765">
            <v>32.47743083003882</v>
          </cell>
          <cell r="H765">
            <v>32.47743083003882</v>
          </cell>
          <cell r="I765" t="e">
            <v>#N/A</v>
          </cell>
          <cell r="J765" t="e">
            <v>#N/A</v>
          </cell>
          <cell r="K765" t="e">
            <v>#N/A</v>
          </cell>
          <cell r="L765" t="e">
            <v>#N/A</v>
          </cell>
          <cell r="M765" t="e">
            <v>#N/A</v>
          </cell>
          <cell r="N765" t="e">
            <v>#N/A</v>
          </cell>
          <cell r="O765" t="e">
            <v>#N/A</v>
          </cell>
          <cell r="P765">
            <v>34.65</v>
          </cell>
          <cell r="Q765" t="str">
            <v/>
          </cell>
          <cell r="R765" t="e">
            <v>#N/A</v>
          </cell>
        </row>
        <row r="766">
          <cell r="A766">
            <v>40262</v>
          </cell>
          <cell r="B766">
            <v>40262</v>
          </cell>
          <cell r="C766" t="str">
            <v>Future</v>
          </cell>
          <cell r="D766" t="e">
            <v>#N/A</v>
          </cell>
          <cell r="E766">
            <v>6.2854545454546473</v>
          </cell>
          <cell r="F766">
            <v>40.649090909091072</v>
          </cell>
          <cell r="G766">
            <v>32.467272727272018</v>
          </cell>
          <cell r="H766">
            <v>32.467272727272018</v>
          </cell>
          <cell r="I766" t="e">
            <v>#N/A</v>
          </cell>
          <cell r="J766" t="e">
            <v>#N/A</v>
          </cell>
          <cell r="K766" t="e">
            <v>#N/A</v>
          </cell>
          <cell r="L766" t="e">
            <v>#N/A</v>
          </cell>
          <cell r="M766" t="e">
            <v>#N/A</v>
          </cell>
          <cell r="N766" t="e">
            <v>#N/A</v>
          </cell>
          <cell r="O766" t="e">
            <v>#N/A</v>
          </cell>
          <cell r="P766">
            <v>34.65</v>
          </cell>
          <cell r="Q766" t="str">
            <v/>
          </cell>
          <cell r="R766" t="e">
            <v>#N/A</v>
          </cell>
        </row>
        <row r="767">
          <cell r="A767">
            <v>40263</v>
          </cell>
          <cell r="B767">
            <v>40263</v>
          </cell>
          <cell r="C767" t="str">
            <v>Future</v>
          </cell>
          <cell r="D767" t="e">
            <v>#N/A</v>
          </cell>
          <cell r="E767">
            <v>6.1488142292491137</v>
          </cell>
          <cell r="F767">
            <v>40.678458498023879</v>
          </cell>
          <cell r="G767">
            <v>32.457114624505216</v>
          </cell>
          <cell r="H767">
            <v>32.457114624505216</v>
          </cell>
          <cell r="I767" t="e">
            <v>#N/A</v>
          </cell>
          <cell r="J767" t="e">
            <v>#N/A</v>
          </cell>
          <cell r="K767" t="e">
            <v>#N/A</v>
          </cell>
          <cell r="L767" t="e">
            <v>#N/A</v>
          </cell>
          <cell r="M767" t="e">
            <v>#N/A</v>
          </cell>
          <cell r="N767" t="e">
            <v>#N/A</v>
          </cell>
          <cell r="O767" t="e">
            <v>#N/A</v>
          </cell>
          <cell r="P767">
            <v>34.65</v>
          </cell>
          <cell r="Q767" t="str">
            <v/>
          </cell>
          <cell r="R767" t="e">
            <v>#N/A</v>
          </cell>
        </row>
        <row r="768">
          <cell r="A768">
            <v>40266</v>
          </cell>
          <cell r="B768">
            <v>40266</v>
          </cell>
          <cell r="C768" t="str">
            <v>Future</v>
          </cell>
          <cell r="D768" t="e">
            <v>#N/A</v>
          </cell>
          <cell r="E768">
            <v>6.0121739130435801</v>
          </cell>
          <cell r="F768">
            <v>40.707826086956686</v>
          </cell>
          <cell r="G768">
            <v>32.446956521738414</v>
          </cell>
          <cell r="H768">
            <v>32.446956521738414</v>
          </cell>
          <cell r="I768" t="e">
            <v>#N/A</v>
          </cell>
          <cell r="J768" t="e">
            <v>#N/A</v>
          </cell>
          <cell r="K768" t="e">
            <v>#N/A</v>
          </cell>
          <cell r="L768" t="e">
            <v>#N/A</v>
          </cell>
          <cell r="M768" t="e">
            <v>#N/A</v>
          </cell>
          <cell r="N768" t="e">
            <v>#N/A</v>
          </cell>
          <cell r="O768" t="e">
            <v>#N/A</v>
          </cell>
          <cell r="P768">
            <v>34.65</v>
          </cell>
          <cell r="Q768" t="str">
            <v/>
          </cell>
          <cell r="R768" t="e">
            <v>#N/A</v>
          </cell>
        </row>
        <row r="769">
          <cell r="A769">
            <v>40267</v>
          </cell>
          <cell r="B769">
            <v>40267</v>
          </cell>
          <cell r="C769" t="str">
            <v>Future</v>
          </cell>
          <cell r="D769" t="e">
            <v>#N/A</v>
          </cell>
          <cell r="E769">
            <v>5.8755335968380464</v>
          </cell>
          <cell r="F769">
            <v>40.737193675889493</v>
          </cell>
          <cell r="G769">
            <v>32.436798418971613</v>
          </cell>
          <cell r="H769">
            <v>32.436798418971613</v>
          </cell>
          <cell r="I769" t="e">
            <v>#N/A</v>
          </cell>
          <cell r="J769" t="e">
            <v>#N/A</v>
          </cell>
          <cell r="K769" t="e">
            <v>#N/A</v>
          </cell>
          <cell r="L769" t="e">
            <v>#N/A</v>
          </cell>
          <cell r="M769" t="e">
            <v>#N/A</v>
          </cell>
          <cell r="N769" t="e">
            <v>#N/A</v>
          </cell>
          <cell r="O769" t="e">
            <v>#N/A</v>
          </cell>
          <cell r="P769">
            <v>34.65</v>
          </cell>
          <cell r="Q769" t="str">
            <v/>
          </cell>
          <cell r="R769" t="e">
            <v>#N/A</v>
          </cell>
        </row>
        <row r="770">
          <cell r="A770">
            <v>40268</v>
          </cell>
          <cell r="B770">
            <v>40268</v>
          </cell>
          <cell r="C770" t="str">
            <v>Future</v>
          </cell>
          <cell r="D770" t="e">
            <v>#N/A</v>
          </cell>
          <cell r="E770">
            <v>5.7388932806325128</v>
          </cell>
          <cell r="F770">
            <v>40.7665612648223</v>
          </cell>
          <cell r="G770">
            <v>32.426640316204811</v>
          </cell>
          <cell r="H770">
            <v>32.426640316204811</v>
          </cell>
          <cell r="I770" t="e">
            <v>#N/A</v>
          </cell>
          <cell r="J770" t="e">
            <v>#N/A</v>
          </cell>
          <cell r="K770" t="e">
            <v>#N/A</v>
          </cell>
          <cell r="L770" t="e">
            <v>#N/A</v>
          </cell>
          <cell r="M770" t="e">
            <v>#N/A</v>
          </cell>
          <cell r="N770" t="e">
            <v>#N/A</v>
          </cell>
          <cell r="O770" t="e">
            <v>#N/A</v>
          </cell>
          <cell r="P770">
            <v>34.65</v>
          </cell>
          <cell r="Q770" t="str">
            <v/>
          </cell>
          <cell r="R770" t="e">
            <v>#N/A</v>
          </cell>
        </row>
        <row r="771">
          <cell r="A771">
            <v>40269</v>
          </cell>
          <cell r="B771">
            <v>40269</v>
          </cell>
          <cell r="C771" t="str">
            <v>Future</v>
          </cell>
          <cell r="D771" t="e">
            <v>#N/A</v>
          </cell>
          <cell r="E771">
            <v>5.6022529644269792</v>
          </cell>
          <cell r="F771">
            <v>40.795928853755107</v>
          </cell>
          <cell r="G771">
            <v>32.416482213438009</v>
          </cell>
          <cell r="H771">
            <v>32.416482213438009</v>
          </cell>
          <cell r="I771" t="e">
            <v>#N/A</v>
          </cell>
          <cell r="J771" t="e">
            <v>#N/A</v>
          </cell>
          <cell r="K771" t="e">
            <v>#N/A</v>
          </cell>
          <cell r="L771" t="e">
            <v>#N/A</v>
          </cell>
          <cell r="M771" t="e">
            <v>#N/A</v>
          </cell>
          <cell r="N771" t="e">
            <v>#N/A</v>
          </cell>
          <cell r="O771" t="e">
            <v>#N/A</v>
          </cell>
          <cell r="P771">
            <v>34.65</v>
          </cell>
          <cell r="Q771" t="str">
            <v/>
          </cell>
          <cell r="R771" t="e">
            <v>#N/A</v>
          </cell>
        </row>
        <row r="772">
          <cell r="A772">
            <v>40273</v>
          </cell>
          <cell r="B772">
            <v>40273</v>
          </cell>
          <cell r="C772" t="str">
            <v>Future</v>
          </cell>
          <cell r="D772" t="e">
            <v>#N/A</v>
          </cell>
          <cell r="E772">
            <v>5.4656126482214455</v>
          </cell>
          <cell r="F772">
            <v>40.825296442687915</v>
          </cell>
          <cell r="G772">
            <v>32.406324110671207</v>
          </cell>
          <cell r="H772">
            <v>32.406324110671207</v>
          </cell>
          <cell r="I772" t="e">
            <v>#N/A</v>
          </cell>
          <cell r="J772" t="e">
            <v>#N/A</v>
          </cell>
          <cell r="K772" t="e">
            <v>#N/A</v>
          </cell>
          <cell r="L772" t="e">
            <v>#N/A</v>
          </cell>
          <cell r="M772" t="e">
            <v>#N/A</v>
          </cell>
          <cell r="N772" t="e">
            <v>#N/A</v>
          </cell>
          <cell r="O772" t="e">
            <v>#N/A</v>
          </cell>
          <cell r="P772">
            <v>34.65</v>
          </cell>
          <cell r="Q772" t="str">
            <v/>
          </cell>
          <cell r="R772" t="e">
            <v>#N/A</v>
          </cell>
        </row>
        <row r="773">
          <cell r="A773">
            <v>40274</v>
          </cell>
          <cell r="B773">
            <v>40274</v>
          </cell>
          <cell r="C773" t="str">
            <v>Future</v>
          </cell>
          <cell r="D773" t="e">
            <v>#N/A</v>
          </cell>
          <cell r="E773">
            <v>5.3289723320159119</v>
          </cell>
          <cell r="F773">
            <v>40.854664031620722</v>
          </cell>
          <cell r="G773">
            <v>32.396166007904405</v>
          </cell>
          <cell r="H773">
            <v>32.396166007904405</v>
          </cell>
          <cell r="I773" t="e">
            <v>#N/A</v>
          </cell>
          <cell r="J773" t="e">
            <v>#N/A</v>
          </cell>
          <cell r="K773" t="e">
            <v>#N/A</v>
          </cell>
          <cell r="L773" t="e">
            <v>#N/A</v>
          </cell>
          <cell r="M773" t="e">
            <v>#N/A</v>
          </cell>
          <cell r="N773" t="e">
            <v>#N/A</v>
          </cell>
          <cell r="O773" t="e">
            <v>#N/A</v>
          </cell>
          <cell r="P773">
            <v>34.65</v>
          </cell>
          <cell r="Q773" t="str">
            <v/>
          </cell>
          <cell r="R773" t="e">
            <v>#N/A</v>
          </cell>
        </row>
        <row r="774">
          <cell r="A774">
            <v>40275</v>
          </cell>
          <cell r="B774">
            <v>40275</v>
          </cell>
          <cell r="C774" t="str">
            <v>Future</v>
          </cell>
          <cell r="D774" t="e">
            <v>#N/A</v>
          </cell>
          <cell r="E774">
            <v>5.1923320158103783</v>
          </cell>
          <cell r="F774">
            <v>40.884031620553529</v>
          </cell>
          <cell r="G774">
            <v>32.386007905137603</v>
          </cell>
          <cell r="H774">
            <v>32.386007905137603</v>
          </cell>
          <cell r="I774" t="e">
            <v>#N/A</v>
          </cell>
          <cell r="J774" t="e">
            <v>#N/A</v>
          </cell>
          <cell r="K774" t="e">
            <v>#N/A</v>
          </cell>
          <cell r="L774" t="e">
            <v>#N/A</v>
          </cell>
          <cell r="M774" t="e">
            <v>#N/A</v>
          </cell>
          <cell r="N774" t="e">
            <v>#N/A</v>
          </cell>
          <cell r="O774" t="e">
            <v>#N/A</v>
          </cell>
          <cell r="P774">
            <v>34.65</v>
          </cell>
          <cell r="Q774" t="str">
            <v/>
          </cell>
          <cell r="R774" t="e">
            <v>#N/A</v>
          </cell>
        </row>
        <row r="775">
          <cell r="A775">
            <v>40276</v>
          </cell>
          <cell r="B775">
            <v>40276</v>
          </cell>
          <cell r="C775" t="str">
            <v>Future</v>
          </cell>
          <cell r="D775" t="e">
            <v>#N/A</v>
          </cell>
          <cell r="E775">
            <v>5.0556916996048447</v>
          </cell>
          <cell r="F775">
            <v>40.913399209486336</v>
          </cell>
          <cell r="G775">
            <v>32.375849802370801</v>
          </cell>
          <cell r="H775">
            <v>32.375849802370801</v>
          </cell>
          <cell r="I775" t="e">
            <v>#N/A</v>
          </cell>
          <cell r="J775" t="e">
            <v>#N/A</v>
          </cell>
          <cell r="K775" t="e">
            <v>#N/A</v>
          </cell>
          <cell r="L775" t="e">
            <v>#N/A</v>
          </cell>
          <cell r="M775" t="e">
            <v>#N/A</v>
          </cell>
          <cell r="N775" t="e">
            <v>#N/A</v>
          </cell>
          <cell r="O775" t="e">
            <v>#N/A</v>
          </cell>
          <cell r="P775">
            <v>34.65</v>
          </cell>
          <cell r="Q775" t="str">
            <v/>
          </cell>
          <cell r="R775" t="e">
            <v>#N/A</v>
          </cell>
        </row>
        <row r="776">
          <cell r="A776">
            <v>40277</v>
          </cell>
          <cell r="B776">
            <v>40277</v>
          </cell>
          <cell r="C776" t="str">
            <v>Future</v>
          </cell>
          <cell r="D776" t="e">
            <v>#N/A</v>
          </cell>
          <cell r="E776">
            <v>4.919051383399311</v>
          </cell>
          <cell r="F776">
            <v>40.942766798419143</v>
          </cell>
          <cell r="G776">
            <v>32.365691699604</v>
          </cell>
          <cell r="H776">
            <v>32.365691699604</v>
          </cell>
          <cell r="I776" t="e">
            <v>#N/A</v>
          </cell>
          <cell r="J776" t="e">
            <v>#N/A</v>
          </cell>
          <cell r="K776" t="e">
            <v>#N/A</v>
          </cell>
          <cell r="L776" t="e">
            <v>#N/A</v>
          </cell>
          <cell r="M776" t="e">
            <v>#N/A</v>
          </cell>
          <cell r="N776" t="e">
            <v>#N/A</v>
          </cell>
          <cell r="O776" t="e">
            <v>#N/A</v>
          </cell>
          <cell r="P776">
            <v>34.65</v>
          </cell>
          <cell r="Q776" t="str">
            <v/>
          </cell>
          <cell r="R776" t="e">
            <v>#N/A</v>
          </cell>
        </row>
        <row r="777">
          <cell r="A777">
            <v>40280</v>
          </cell>
          <cell r="B777">
            <v>40280</v>
          </cell>
          <cell r="C777" t="str">
            <v>Future</v>
          </cell>
          <cell r="D777" t="e">
            <v>#N/A</v>
          </cell>
          <cell r="E777">
            <v>4.7824110671937774</v>
          </cell>
          <cell r="F777">
            <v>40.97213438735195</v>
          </cell>
          <cell r="G777">
            <v>32.355533596837198</v>
          </cell>
          <cell r="H777">
            <v>32.355533596837198</v>
          </cell>
          <cell r="I777" t="e">
            <v>#N/A</v>
          </cell>
          <cell r="J777" t="e">
            <v>#N/A</v>
          </cell>
          <cell r="K777" t="e">
            <v>#N/A</v>
          </cell>
          <cell r="L777" t="e">
            <v>#N/A</v>
          </cell>
          <cell r="M777" t="e">
            <v>#N/A</v>
          </cell>
          <cell r="N777" t="e">
            <v>#N/A</v>
          </cell>
          <cell r="O777" t="e">
            <v>#N/A</v>
          </cell>
          <cell r="P777">
            <v>34.65</v>
          </cell>
          <cell r="Q777" t="str">
            <v/>
          </cell>
          <cell r="R777" t="e">
            <v>#N/A</v>
          </cell>
        </row>
        <row r="778">
          <cell r="A778">
            <v>40281</v>
          </cell>
          <cell r="B778">
            <v>40281</v>
          </cell>
          <cell r="C778" t="str">
            <v>Future</v>
          </cell>
          <cell r="D778" t="e">
            <v>#N/A</v>
          </cell>
          <cell r="E778">
            <v>4.6457707509882438</v>
          </cell>
          <cell r="F778">
            <v>41.001501976284757</v>
          </cell>
          <cell r="G778">
            <v>32.345375494070396</v>
          </cell>
          <cell r="H778">
            <v>32.345375494070396</v>
          </cell>
          <cell r="I778" t="e">
            <v>#N/A</v>
          </cell>
          <cell r="J778" t="e">
            <v>#N/A</v>
          </cell>
          <cell r="K778" t="e">
            <v>#N/A</v>
          </cell>
          <cell r="L778" t="e">
            <v>#N/A</v>
          </cell>
          <cell r="M778" t="e">
            <v>#N/A</v>
          </cell>
          <cell r="N778" t="e">
            <v>#N/A</v>
          </cell>
          <cell r="O778" t="e">
            <v>#N/A</v>
          </cell>
          <cell r="P778">
            <v>34.65</v>
          </cell>
          <cell r="Q778" t="str">
            <v/>
          </cell>
          <cell r="R778" t="e">
            <v>#N/A</v>
          </cell>
        </row>
        <row r="779">
          <cell r="A779">
            <v>40282</v>
          </cell>
          <cell r="B779">
            <v>40282</v>
          </cell>
          <cell r="C779" t="str">
            <v>Future</v>
          </cell>
          <cell r="D779" t="e">
            <v>#N/A</v>
          </cell>
          <cell r="E779">
            <v>4.5091304347827101</v>
          </cell>
          <cell r="F779">
            <v>41.030869565217564</v>
          </cell>
          <cell r="G779">
            <v>32.335217391303594</v>
          </cell>
          <cell r="H779">
            <v>32.335217391303594</v>
          </cell>
          <cell r="I779" t="e">
            <v>#N/A</v>
          </cell>
          <cell r="J779" t="e">
            <v>#N/A</v>
          </cell>
          <cell r="K779" t="e">
            <v>#N/A</v>
          </cell>
          <cell r="L779" t="e">
            <v>#N/A</v>
          </cell>
          <cell r="M779" t="e">
            <v>#N/A</v>
          </cell>
          <cell r="N779" t="e">
            <v>#N/A</v>
          </cell>
          <cell r="O779" t="e">
            <v>#N/A</v>
          </cell>
          <cell r="P779">
            <v>34.65</v>
          </cell>
          <cell r="Q779" t="str">
            <v/>
          </cell>
          <cell r="R779" t="e">
            <v>#N/A</v>
          </cell>
        </row>
        <row r="780">
          <cell r="A780">
            <v>40283</v>
          </cell>
          <cell r="B780">
            <v>40283</v>
          </cell>
          <cell r="C780" t="str">
            <v>Future</v>
          </cell>
          <cell r="D780" t="e">
            <v>#N/A</v>
          </cell>
          <cell r="E780">
            <v>4.3724901185771765</v>
          </cell>
          <cell r="F780">
            <v>41.060237154150371</v>
          </cell>
          <cell r="G780">
            <v>32.325059288536792</v>
          </cell>
          <cell r="H780">
            <v>32.325059288536792</v>
          </cell>
          <cell r="I780" t="e">
            <v>#N/A</v>
          </cell>
          <cell r="J780" t="e">
            <v>#N/A</v>
          </cell>
          <cell r="K780" t="e">
            <v>#N/A</v>
          </cell>
          <cell r="L780" t="e">
            <v>#N/A</v>
          </cell>
          <cell r="M780" t="e">
            <v>#N/A</v>
          </cell>
          <cell r="N780" t="e">
            <v>#N/A</v>
          </cell>
          <cell r="O780" t="e">
            <v>#N/A</v>
          </cell>
          <cell r="P780">
            <v>34.65</v>
          </cell>
          <cell r="Q780" t="str">
            <v/>
          </cell>
          <cell r="R780" t="e">
            <v>#N/A</v>
          </cell>
        </row>
        <row r="781">
          <cell r="A781">
            <v>40284</v>
          </cell>
          <cell r="B781">
            <v>40284</v>
          </cell>
          <cell r="C781" t="str">
            <v>Future</v>
          </cell>
          <cell r="D781" t="e">
            <v>#N/A</v>
          </cell>
          <cell r="E781">
            <v>4.2358498023716429</v>
          </cell>
          <cell r="F781">
            <v>41.089604743083179</v>
          </cell>
          <cell r="G781">
            <v>32.31490118576999</v>
          </cell>
          <cell r="H781">
            <v>32.31490118576999</v>
          </cell>
          <cell r="I781" t="e">
            <v>#N/A</v>
          </cell>
          <cell r="J781" t="e">
            <v>#N/A</v>
          </cell>
          <cell r="K781" t="e">
            <v>#N/A</v>
          </cell>
          <cell r="L781" t="e">
            <v>#N/A</v>
          </cell>
          <cell r="M781" t="e">
            <v>#N/A</v>
          </cell>
          <cell r="N781" t="e">
            <v>#N/A</v>
          </cell>
          <cell r="O781" t="e">
            <v>#N/A</v>
          </cell>
          <cell r="P781">
            <v>34.65</v>
          </cell>
          <cell r="Q781" t="str">
            <v/>
          </cell>
          <cell r="R781" t="e">
            <v>#N/A</v>
          </cell>
        </row>
        <row r="782">
          <cell r="A782">
            <v>40287</v>
          </cell>
          <cell r="B782">
            <v>40287</v>
          </cell>
          <cell r="C782" t="str">
            <v>Future</v>
          </cell>
          <cell r="D782" t="e">
            <v>#N/A</v>
          </cell>
          <cell r="E782">
            <v>4.0992094861661093</v>
          </cell>
          <cell r="F782">
            <v>41.118972332015986</v>
          </cell>
          <cell r="G782">
            <v>32.304743083003189</v>
          </cell>
          <cell r="H782">
            <v>32.304743083003189</v>
          </cell>
          <cell r="I782" t="e">
            <v>#N/A</v>
          </cell>
          <cell r="J782" t="e">
            <v>#N/A</v>
          </cell>
          <cell r="K782" t="e">
            <v>#N/A</v>
          </cell>
          <cell r="L782" t="e">
            <v>#N/A</v>
          </cell>
          <cell r="M782" t="e">
            <v>#N/A</v>
          </cell>
          <cell r="N782" t="e">
            <v>#N/A</v>
          </cell>
          <cell r="O782" t="e">
            <v>#N/A</v>
          </cell>
          <cell r="P782">
            <v>34.65</v>
          </cell>
          <cell r="Q782" t="str">
            <v/>
          </cell>
          <cell r="R782" t="e">
            <v>#N/A</v>
          </cell>
        </row>
        <row r="783">
          <cell r="A783">
            <v>40288</v>
          </cell>
          <cell r="B783">
            <v>40288</v>
          </cell>
          <cell r="C783" t="str">
            <v>Future</v>
          </cell>
          <cell r="D783" t="e">
            <v>#N/A</v>
          </cell>
          <cell r="E783">
            <v>3.9625691699605756</v>
          </cell>
          <cell r="F783">
            <v>41.148339920948793</v>
          </cell>
          <cell r="G783">
            <v>32.294584980236387</v>
          </cell>
          <cell r="H783">
            <v>32.294584980236387</v>
          </cell>
          <cell r="I783" t="e">
            <v>#N/A</v>
          </cell>
          <cell r="J783" t="e">
            <v>#N/A</v>
          </cell>
          <cell r="K783" t="e">
            <v>#N/A</v>
          </cell>
          <cell r="L783" t="e">
            <v>#N/A</v>
          </cell>
          <cell r="M783" t="e">
            <v>#N/A</v>
          </cell>
          <cell r="N783" t="e">
            <v>#N/A</v>
          </cell>
          <cell r="O783" t="e">
            <v>#N/A</v>
          </cell>
          <cell r="P783">
            <v>34.65</v>
          </cell>
          <cell r="Q783" t="str">
            <v/>
          </cell>
          <cell r="R783" t="e">
            <v>#N/A</v>
          </cell>
        </row>
        <row r="784">
          <cell r="A784">
            <v>40289</v>
          </cell>
          <cell r="B784">
            <v>40289</v>
          </cell>
          <cell r="C784" t="str">
            <v>Future</v>
          </cell>
          <cell r="D784" t="e">
            <v>#N/A</v>
          </cell>
          <cell r="E784">
            <v>3.825928853755042</v>
          </cell>
          <cell r="F784">
            <v>41.1777075098816</v>
          </cell>
          <cell r="G784">
            <v>32.284426877469585</v>
          </cell>
          <cell r="H784">
            <v>32.284426877469585</v>
          </cell>
          <cell r="I784" t="e">
            <v>#N/A</v>
          </cell>
          <cell r="J784" t="e">
            <v>#N/A</v>
          </cell>
          <cell r="K784" t="e">
            <v>#N/A</v>
          </cell>
          <cell r="L784" t="e">
            <v>#N/A</v>
          </cell>
          <cell r="M784" t="e">
            <v>#N/A</v>
          </cell>
          <cell r="N784" t="e">
            <v>#N/A</v>
          </cell>
          <cell r="O784" t="e">
            <v>#N/A</v>
          </cell>
          <cell r="P784">
            <v>34.65</v>
          </cell>
          <cell r="Q784" t="str">
            <v/>
          </cell>
          <cell r="R784" t="e">
            <v>#N/A</v>
          </cell>
        </row>
        <row r="785">
          <cell r="A785">
            <v>40290</v>
          </cell>
          <cell r="B785">
            <v>40290</v>
          </cell>
          <cell r="C785" t="str">
            <v>Future</v>
          </cell>
          <cell r="D785" t="e">
            <v>#N/A</v>
          </cell>
          <cell r="E785">
            <v>3.6892885375495084</v>
          </cell>
          <cell r="F785">
            <v>41.207075098814407</v>
          </cell>
          <cell r="G785">
            <v>32.274268774702783</v>
          </cell>
          <cell r="H785">
            <v>32.274268774702783</v>
          </cell>
          <cell r="I785" t="e">
            <v>#N/A</v>
          </cell>
          <cell r="J785" t="e">
            <v>#N/A</v>
          </cell>
          <cell r="K785" t="e">
            <v>#N/A</v>
          </cell>
          <cell r="L785" t="e">
            <v>#N/A</v>
          </cell>
          <cell r="M785" t="e">
            <v>#N/A</v>
          </cell>
          <cell r="N785" t="e">
            <v>#N/A</v>
          </cell>
          <cell r="O785" t="e">
            <v>#N/A</v>
          </cell>
          <cell r="P785">
            <v>34.65</v>
          </cell>
          <cell r="Q785" t="str">
            <v/>
          </cell>
          <cell r="R785" t="e">
            <v>#N/A</v>
          </cell>
        </row>
        <row r="786">
          <cell r="A786">
            <v>40291</v>
          </cell>
          <cell r="B786">
            <v>40291</v>
          </cell>
          <cell r="C786" t="str">
            <v>Future</v>
          </cell>
          <cell r="D786" t="e">
            <v>#N/A</v>
          </cell>
          <cell r="E786">
            <v>3.5526482213439747</v>
          </cell>
          <cell r="F786">
            <v>41.236442687747214</v>
          </cell>
          <cell r="G786">
            <v>32.264110671935981</v>
          </cell>
          <cell r="H786">
            <v>32.264110671935981</v>
          </cell>
          <cell r="I786" t="e">
            <v>#N/A</v>
          </cell>
          <cell r="J786" t="e">
            <v>#N/A</v>
          </cell>
          <cell r="K786" t="e">
            <v>#N/A</v>
          </cell>
          <cell r="L786" t="e">
            <v>#N/A</v>
          </cell>
          <cell r="M786" t="e">
            <v>#N/A</v>
          </cell>
          <cell r="N786" t="e">
            <v>#N/A</v>
          </cell>
          <cell r="O786" t="e">
            <v>#N/A</v>
          </cell>
          <cell r="P786">
            <v>34.65</v>
          </cell>
          <cell r="Q786" t="str">
            <v/>
          </cell>
          <cell r="R786" t="e">
            <v>#N/A</v>
          </cell>
        </row>
        <row r="787">
          <cell r="A787">
            <v>40294</v>
          </cell>
          <cell r="B787">
            <v>40294</v>
          </cell>
          <cell r="C787" t="str">
            <v>Future</v>
          </cell>
          <cell r="D787" t="e">
            <v>#N/A</v>
          </cell>
          <cell r="E787">
            <v>3.4160079051384411</v>
          </cell>
          <cell r="F787">
            <v>41.265810276680021</v>
          </cell>
          <cell r="G787">
            <v>32.253952569169179</v>
          </cell>
          <cell r="H787">
            <v>32.253952569169179</v>
          </cell>
          <cell r="I787" t="e">
            <v>#N/A</v>
          </cell>
          <cell r="J787" t="e">
            <v>#N/A</v>
          </cell>
          <cell r="K787" t="e">
            <v>#N/A</v>
          </cell>
          <cell r="L787" t="e">
            <v>#N/A</v>
          </cell>
          <cell r="M787" t="e">
            <v>#N/A</v>
          </cell>
          <cell r="N787" t="e">
            <v>#N/A</v>
          </cell>
          <cell r="O787" t="e">
            <v>#N/A</v>
          </cell>
          <cell r="P787">
            <v>34.65</v>
          </cell>
          <cell r="Q787" t="str">
            <v/>
          </cell>
          <cell r="R787" t="e">
            <v>#N/A</v>
          </cell>
        </row>
        <row r="788">
          <cell r="A788">
            <v>40295</v>
          </cell>
          <cell r="B788">
            <v>40295</v>
          </cell>
          <cell r="C788" t="str">
            <v>Future</v>
          </cell>
          <cell r="D788" t="e">
            <v>#N/A</v>
          </cell>
          <cell r="E788">
            <v>3.2793675889329075</v>
          </cell>
          <cell r="F788">
            <v>41.295177865612828</v>
          </cell>
          <cell r="G788">
            <v>32.243794466402377</v>
          </cell>
          <cell r="H788">
            <v>32.243794466402377</v>
          </cell>
          <cell r="I788" t="e">
            <v>#N/A</v>
          </cell>
          <cell r="J788" t="e">
            <v>#N/A</v>
          </cell>
          <cell r="K788" t="e">
            <v>#N/A</v>
          </cell>
          <cell r="L788" t="e">
            <v>#N/A</v>
          </cell>
          <cell r="M788" t="e">
            <v>#N/A</v>
          </cell>
          <cell r="N788" t="e">
            <v>#N/A</v>
          </cell>
          <cell r="O788" t="e">
            <v>#N/A</v>
          </cell>
          <cell r="P788">
            <v>34.65</v>
          </cell>
          <cell r="Q788" t="str">
            <v/>
          </cell>
          <cell r="R788" t="e">
            <v>#N/A</v>
          </cell>
        </row>
        <row r="789">
          <cell r="A789">
            <v>40296</v>
          </cell>
          <cell r="B789">
            <v>40296</v>
          </cell>
          <cell r="C789" t="str">
            <v>Future</v>
          </cell>
          <cell r="D789" t="e">
            <v>#N/A</v>
          </cell>
          <cell r="E789">
            <v>3.1427272727273738</v>
          </cell>
          <cell r="F789">
            <v>41.324545454545635</v>
          </cell>
          <cell r="G789">
            <v>32.233636363635576</v>
          </cell>
          <cell r="H789">
            <v>32.233636363635576</v>
          </cell>
          <cell r="I789" t="e">
            <v>#N/A</v>
          </cell>
          <cell r="J789" t="e">
            <v>#N/A</v>
          </cell>
          <cell r="K789" t="e">
            <v>#N/A</v>
          </cell>
          <cell r="L789" t="e">
            <v>#N/A</v>
          </cell>
          <cell r="M789" t="e">
            <v>#N/A</v>
          </cell>
          <cell r="N789" t="e">
            <v>#N/A</v>
          </cell>
          <cell r="O789" t="e">
            <v>#N/A</v>
          </cell>
          <cell r="P789">
            <v>34.65</v>
          </cell>
          <cell r="Q789" t="str">
            <v/>
          </cell>
          <cell r="R789" t="e">
            <v>#N/A</v>
          </cell>
        </row>
        <row r="790">
          <cell r="A790">
            <v>40297</v>
          </cell>
          <cell r="B790">
            <v>40297</v>
          </cell>
          <cell r="C790" t="str">
            <v>Future</v>
          </cell>
          <cell r="D790" t="e">
            <v>#N/A</v>
          </cell>
          <cell r="E790">
            <v>3.0060869565218402</v>
          </cell>
          <cell r="F790">
            <v>41.353913043478443</v>
          </cell>
          <cell r="G790">
            <v>32.223478260868774</v>
          </cell>
          <cell r="H790">
            <v>32.223478260868774</v>
          </cell>
          <cell r="I790" t="e">
            <v>#N/A</v>
          </cell>
          <cell r="J790" t="e">
            <v>#N/A</v>
          </cell>
          <cell r="K790" t="e">
            <v>#N/A</v>
          </cell>
          <cell r="L790" t="e">
            <v>#N/A</v>
          </cell>
          <cell r="M790" t="e">
            <v>#N/A</v>
          </cell>
          <cell r="N790" t="e">
            <v>#N/A</v>
          </cell>
          <cell r="O790" t="e">
            <v>#N/A</v>
          </cell>
          <cell r="P790">
            <v>34.65</v>
          </cell>
          <cell r="Q790" t="str">
            <v/>
          </cell>
          <cell r="R790" t="e">
            <v>#N/A</v>
          </cell>
        </row>
        <row r="791">
          <cell r="A791">
            <v>40298</v>
          </cell>
          <cell r="B791">
            <v>40298</v>
          </cell>
          <cell r="C791" t="str">
            <v>Future</v>
          </cell>
          <cell r="D791" t="e">
            <v>#N/A</v>
          </cell>
          <cell r="E791">
            <v>2.8694466403163066</v>
          </cell>
          <cell r="F791">
            <v>41.38328063241125</v>
          </cell>
          <cell r="G791">
            <v>32.213320158101972</v>
          </cell>
          <cell r="H791">
            <v>32.213320158101972</v>
          </cell>
          <cell r="I791" t="e">
            <v>#N/A</v>
          </cell>
          <cell r="J791" t="e">
            <v>#N/A</v>
          </cell>
          <cell r="K791" t="e">
            <v>#N/A</v>
          </cell>
          <cell r="L791" t="e">
            <v>#N/A</v>
          </cell>
          <cell r="M791" t="e">
            <v>#N/A</v>
          </cell>
          <cell r="N791" t="e">
            <v>#N/A</v>
          </cell>
          <cell r="O791" t="e">
            <v>#N/A</v>
          </cell>
          <cell r="P791">
            <v>34.65</v>
          </cell>
          <cell r="Q791" t="str">
            <v/>
          </cell>
          <cell r="R791" t="e">
            <v>#N/A</v>
          </cell>
        </row>
        <row r="792">
          <cell r="A792">
            <v>40301</v>
          </cell>
          <cell r="B792">
            <v>40301</v>
          </cell>
          <cell r="C792" t="str">
            <v>Future</v>
          </cell>
          <cell r="D792" t="e">
            <v>#N/A</v>
          </cell>
          <cell r="E792">
            <v>2.732806324110773</v>
          </cell>
          <cell r="F792">
            <v>41.412648221344057</v>
          </cell>
          <cell r="G792">
            <v>32.20316205533517</v>
          </cell>
          <cell r="H792">
            <v>32.20316205533517</v>
          </cell>
          <cell r="I792" t="e">
            <v>#N/A</v>
          </cell>
          <cell r="J792" t="e">
            <v>#N/A</v>
          </cell>
          <cell r="K792" t="e">
            <v>#N/A</v>
          </cell>
          <cell r="L792" t="e">
            <v>#N/A</v>
          </cell>
          <cell r="M792" t="e">
            <v>#N/A</v>
          </cell>
          <cell r="N792" t="e">
            <v>#N/A</v>
          </cell>
          <cell r="O792" t="e">
            <v>#N/A</v>
          </cell>
          <cell r="P792">
            <v>34.65</v>
          </cell>
          <cell r="Q792" t="str">
            <v/>
          </cell>
          <cell r="R792" t="e">
            <v>#N/A</v>
          </cell>
        </row>
        <row r="793">
          <cell r="A793">
            <v>40302</v>
          </cell>
          <cell r="B793">
            <v>40302</v>
          </cell>
          <cell r="C793" t="str">
            <v>Future</v>
          </cell>
          <cell r="D793" t="e">
            <v>#N/A</v>
          </cell>
          <cell r="E793">
            <v>2.5961660079052393</v>
          </cell>
          <cell r="F793">
            <v>41.442015810276864</v>
          </cell>
          <cell r="G793">
            <v>32.193003952568368</v>
          </cell>
          <cell r="H793">
            <v>32.193003952568368</v>
          </cell>
          <cell r="I793" t="e">
            <v>#N/A</v>
          </cell>
          <cell r="J793" t="e">
            <v>#N/A</v>
          </cell>
          <cell r="K793" t="e">
            <v>#N/A</v>
          </cell>
          <cell r="L793" t="e">
            <v>#N/A</v>
          </cell>
          <cell r="M793" t="e">
            <v>#N/A</v>
          </cell>
          <cell r="N793" t="e">
            <v>#N/A</v>
          </cell>
          <cell r="O793" t="e">
            <v>#N/A</v>
          </cell>
          <cell r="P793">
            <v>34.65</v>
          </cell>
          <cell r="Q793" t="str">
            <v/>
          </cell>
          <cell r="R793" t="e">
            <v>#N/A</v>
          </cell>
        </row>
        <row r="794">
          <cell r="A794">
            <v>40303</v>
          </cell>
          <cell r="B794">
            <v>40303</v>
          </cell>
          <cell r="C794" t="str">
            <v>Future</v>
          </cell>
          <cell r="D794" t="e">
            <v>#N/A</v>
          </cell>
          <cell r="E794">
            <v>2.4595256916997057</v>
          </cell>
          <cell r="F794">
            <v>41.471383399209671</v>
          </cell>
          <cell r="G794">
            <v>32.182845849801566</v>
          </cell>
          <cell r="H794">
            <v>32.182845849801566</v>
          </cell>
          <cell r="I794" t="e">
            <v>#N/A</v>
          </cell>
          <cell r="J794" t="e">
            <v>#N/A</v>
          </cell>
          <cell r="K794" t="e">
            <v>#N/A</v>
          </cell>
          <cell r="L794" t="e">
            <v>#N/A</v>
          </cell>
          <cell r="M794" t="e">
            <v>#N/A</v>
          </cell>
          <cell r="N794" t="e">
            <v>#N/A</v>
          </cell>
          <cell r="O794" t="e">
            <v>#N/A</v>
          </cell>
          <cell r="P794">
            <v>34.65</v>
          </cell>
          <cell r="Q794" t="str">
            <v/>
          </cell>
          <cell r="R794" t="e">
            <v>#N/A</v>
          </cell>
        </row>
        <row r="795">
          <cell r="A795">
            <v>40304</v>
          </cell>
          <cell r="B795">
            <v>40304</v>
          </cell>
          <cell r="C795" t="str">
            <v>Future</v>
          </cell>
          <cell r="D795" t="e">
            <v>#N/A</v>
          </cell>
          <cell r="E795">
            <v>2.3228853754941721</v>
          </cell>
          <cell r="F795">
            <v>41.500750988142478</v>
          </cell>
          <cell r="G795">
            <v>32.172687747034765</v>
          </cell>
          <cell r="H795">
            <v>32.172687747034765</v>
          </cell>
          <cell r="I795" t="e">
            <v>#N/A</v>
          </cell>
          <cell r="J795" t="e">
            <v>#N/A</v>
          </cell>
          <cell r="K795" t="e">
            <v>#N/A</v>
          </cell>
          <cell r="L795" t="e">
            <v>#N/A</v>
          </cell>
          <cell r="M795" t="e">
            <v>#N/A</v>
          </cell>
          <cell r="N795" t="e">
            <v>#N/A</v>
          </cell>
          <cell r="O795" t="e">
            <v>#N/A</v>
          </cell>
          <cell r="P795">
            <v>34.65</v>
          </cell>
          <cell r="Q795" t="str">
            <v/>
          </cell>
          <cell r="R795" t="e">
            <v>#N/A</v>
          </cell>
        </row>
        <row r="796">
          <cell r="A796">
            <v>40305</v>
          </cell>
          <cell r="B796">
            <v>40305</v>
          </cell>
          <cell r="C796" t="str">
            <v>Future</v>
          </cell>
          <cell r="D796" t="e">
            <v>#N/A</v>
          </cell>
          <cell r="E796">
            <v>2.1862450592886384</v>
          </cell>
          <cell r="F796">
            <v>41.530118577075285</v>
          </cell>
          <cell r="G796">
            <v>32.162529644267963</v>
          </cell>
          <cell r="H796">
            <v>32.162529644267963</v>
          </cell>
          <cell r="I796" t="e">
            <v>#N/A</v>
          </cell>
          <cell r="J796" t="e">
            <v>#N/A</v>
          </cell>
          <cell r="K796" t="e">
            <v>#N/A</v>
          </cell>
          <cell r="L796" t="e">
            <v>#N/A</v>
          </cell>
          <cell r="M796" t="e">
            <v>#N/A</v>
          </cell>
          <cell r="N796" t="e">
            <v>#N/A</v>
          </cell>
          <cell r="O796" t="e">
            <v>#N/A</v>
          </cell>
          <cell r="P796">
            <v>34.65</v>
          </cell>
          <cell r="Q796" t="str">
            <v/>
          </cell>
          <cell r="R796" t="e">
            <v>#N/A</v>
          </cell>
        </row>
        <row r="797">
          <cell r="A797">
            <v>40308</v>
          </cell>
          <cell r="B797">
            <v>40308</v>
          </cell>
          <cell r="C797" t="str">
            <v>Future</v>
          </cell>
          <cell r="D797" t="e">
            <v>#N/A</v>
          </cell>
          <cell r="E797">
            <v>2.0496047430831048</v>
          </cell>
          <cell r="F797">
            <v>41.559486166008092</v>
          </cell>
          <cell r="G797">
            <v>32.152371541501161</v>
          </cell>
          <cell r="H797">
            <v>32.152371541501161</v>
          </cell>
          <cell r="I797" t="e">
            <v>#N/A</v>
          </cell>
          <cell r="J797" t="e">
            <v>#N/A</v>
          </cell>
          <cell r="K797" t="e">
            <v>#N/A</v>
          </cell>
          <cell r="L797" t="e">
            <v>#N/A</v>
          </cell>
          <cell r="M797" t="e">
            <v>#N/A</v>
          </cell>
          <cell r="N797" t="e">
            <v>#N/A</v>
          </cell>
          <cell r="O797" t="e">
            <v>#N/A</v>
          </cell>
          <cell r="P797">
            <v>34.65</v>
          </cell>
          <cell r="Q797" t="str">
            <v/>
          </cell>
          <cell r="R797" t="e">
            <v>#N/A</v>
          </cell>
        </row>
        <row r="798">
          <cell r="A798">
            <v>40309</v>
          </cell>
          <cell r="B798">
            <v>40309</v>
          </cell>
          <cell r="C798" t="str">
            <v>Future</v>
          </cell>
          <cell r="D798" t="e">
            <v>#N/A</v>
          </cell>
          <cell r="E798">
            <v>1.9129644268775712</v>
          </cell>
          <cell r="F798">
            <v>41.588853754940899</v>
          </cell>
          <cell r="G798">
            <v>32.142213438734359</v>
          </cell>
          <cell r="H798">
            <v>32.142213438734359</v>
          </cell>
          <cell r="I798" t="e">
            <v>#N/A</v>
          </cell>
          <cell r="J798" t="e">
            <v>#N/A</v>
          </cell>
          <cell r="K798" t="e">
            <v>#N/A</v>
          </cell>
          <cell r="L798" t="e">
            <v>#N/A</v>
          </cell>
          <cell r="M798" t="e">
            <v>#N/A</v>
          </cell>
          <cell r="N798" t="e">
            <v>#N/A</v>
          </cell>
          <cell r="O798" t="e">
            <v>#N/A</v>
          </cell>
          <cell r="P798">
            <v>34.65</v>
          </cell>
          <cell r="Q798" t="str">
            <v/>
          </cell>
          <cell r="R798" t="e">
            <v>#N/A</v>
          </cell>
        </row>
        <row r="799">
          <cell r="A799">
            <v>40310</v>
          </cell>
          <cell r="B799">
            <v>40310</v>
          </cell>
          <cell r="C799" t="str">
            <v>Future</v>
          </cell>
          <cell r="D799" t="e">
            <v>#N/A</v>
          </cell>
          <cell r="E799">
            <v>1.7763241106720375</v>
          </cell>
          <cell r="F799">
            <v>41.618221343873707</v>
          </cell>
          <cell r="G799">
            <v>32.132055335967557</v>
          </cell>
          <cell r="H799">
            <v>32.132055335967557</v>
          </cell>
          <cell r="I799" t="e">
            <v>#N/A</v>
          </cell>
          <cell r="J799" t="e">
            <v>#N/A</v>
          </cell>
          <cell r="K799" t="e">
            <v>#N/A</v>
          </cell>
          <cell r="L799" t="e">
            <v>#N/A</v>
          </cell>
          <cell r="M799" t="e">
            <v>#N/A</v>
          </cell>
          <cell r="N799" t="e">
            <v>#N/A</v>
          </cell>
          <cell r="O799" t="e">
            <v>#N/A</v>
          </cell>
          <cell r="P799">
            <v>34.65</v>
          </cell>
          <cell r="Q799" t="str">
            <v/>
          </cell>
          <cell r="R799" t="e">
            <v>#N/A</v>
          </cell>
        </row>
        <row r="800">
          <cell r="A800">
            <v>40311</v>
          </cell>
          <cell r="B800">
            <v>40311</v>
          </cell>
          <cell r="C800" t="str">
            <v>Future</v>
          </cell>
          <cell r="D800" t="e">
            <v>#N/A</v>
          </cell>
          <cell r="E800">
            <v>1.6396837944665039</v>
          </cell>
          <cell r="F800">
            <v>41.647588932806514</v>
          </cell>
          <cell r="G800">
            <v>32.121897233200755</v>
          </cell>
          <cell r="H800">
            <v>32.121897233200755</v>
          </cell>
          <cell r="I800" t="e">
            <v>#N/A</v>
          </cell>
          <cell r="J800" t="e">
            <v>#N/A</v>
          </cell>
          <cell r="K800" t="e">
            <v>#N/A</v>
          </cell>
          <cell r="L800" t="e">
            <v>#N/A</v>
          </cell>
          <cell r="M800" t="e">
            <v>#N/A</v>
          </cell>
          <cell r="N800" t="e">
            <v>#N/A</v>
          </cell>
          <cell r="O800" t="e">
            <v>#N/A</v>
          </cell>
          <cell r="P800">
            <v>34.65</v>
          </cell>
          <cell r="Q800" t="str">
            <v/>
          </cell>
          <cell r="R800" t="e">
            <v>#N/A</v>
          </cell>
        </row>
        <row r="801">
          <cell r="A801">
            <v>40312</v>
          </cell>
          <cell r="B801">
            <v>40312</v>
          </cell>
          <cell r="C801" t="str">
            <v>Future</v>
          </cell>
          <cell r="D801" t="e">
            <v>#N/A</v>
          </cell>
          <cell r="E801">
            <v>1.5030434782609703</v>
          </cell>
          <cell r="F801">
            <v>41.676956521739321</v>
          </cell>
          <cell r="G801">
            <v>32.111739130433953</v>
          </cell>
          <cell r="H801">
            <v>32.111739130433953</v>
          </cell>
          <cell r="I801" t="e">
            <v>#N/A</v>
          </cell>
          <cell r="J801" t="e">
            <v>#N/A</v>
          </cell>
          <cell r="K801" t="e">
            <v>#N/A</v>
          </cell>
          <cell r="L801" t="e">
            <v>#N/A</v>
          </cell>
          <cell r="M801" t="e">
            <v>#N/A</v>
          </cell>
          <cell r="N801" t="e">
            <v>#N/A</v>
          </cell>
          <cell r="O801" t="e">
            <v>#N/A</v>
          </cell>
          <cell r="P801">
            <v>34.65</v>
          </cell>
          <cell r="Q801" t="str">
            <v/>
          </cell>
          <cell r="R801" t="e">
            <v>#N/A</v>
          </cell>
        </row>
        <row r="802">
          <cell r="A802">
            <v>40315</v>
          </cell>
          <cell r="B802">
            <v>40315</v>
          </cell>
          <cell r="C802" t="str">
            <v>Future</v>
          </cell>
          <cell r="D802" t="e">
            <v>#N/A</v>
          </cell>
          <cell r="E802">
            <v>1.3664031620554367</v>
          </cell>
          <cell r="F802">
            <v>41.706324110672128</v>
          </cell>
          <cell r="G802">
            <v>32.101581027667152</v>
          </cell>
          <cell r="H802">
            <v>32.101581027667152</v>
          </cell>
          <cell r="I802" t="e">
            <v>#N/A</v>
          </cell>
          <cell r="J802" t="e">
            <v>#N/A</v>
          </cell>
          <cell r="K802" t="e">
            <v>#N/A</v>
          </cell>
          <cell r="L802" t="e">
            <v>#N/A</v>
          </cell>
          <cell r="M802" t="e">
            <v>#N/A</v>
          </cell>
          <cell r="N802" t="e">
            <v>#N/A</v>
          </cell>
          <cell r="O802" t="e">
            <v>#N/A</v>
          </cell>
          <cell r="P802">
            <v>34.65</v>
          </cell>
          <cell r="Q802" t="str">
            <v/>
          </cell>
          <cell r="R802" t="e">
            <v>#N/A</v>
          </cell>
        </row>
        <row r="803">
          <cell r="A803">
            <v>40316</v>
          </cell>
          <cell r="B803">
            <v>40316</v>
          </cell>
          <cell r="C803" t="str">
            <v>Future</v>
          </cell>
          <cell r="D803" t="e">
            <v>#N/A</v>
          </cell>
          <cell r="E803">
            <v>1.229762845849903</v>
          </cell>
          <cell r="F803">
            <v>41.735691699604935</v>
          </cell>
          <cell r="G803">
            <v>32.09142292490035</v>
          </cell>
          <cell r="H803">
            <v>32.09142292490035</v>
          </cell>
          <cell r="I803" t="e">
            <v>#N/A</v>
          </cell>
          <cell r="J803" t="e">
            <v>#N/A</v>
          </cell>
          <cell r="K803" t="e">
            <v>#N/A</v>
          </cell>
          <cell r="L803" t="e">
            <v>#N/A</v>
          </cell>
          <cell r="M803" t="e">
            <v>#N/A</v>
          </cell>
          <cell r="N803" t="e">
            <v>#N/A</v>
          </cell>
          <cell r="O803" t="e">
            <v>#N/A</v>
          </cell>
          <cell r="P803">
            <v>34.65</v>
          </cell>
          <cell r="Q803" t="str">
            <v/>
          </cell>
          <cell r="R803" t="e">
            <v>#N/A</v>
          </cell>
        </row>
        <row r="804">
          <cell r="A804">
            <v>40317</v>
          </cell>
          <cell r="B804">
            <v>40317</v>
          </cell>
          <cell r="C804" t="str">
            <v>Future</v>
          </cell>
          <cell r="D804" t="e">
            <v>#N/A</v>
          </cell>
          <cell r="E804">
            <v>1.0931225296443694</v>
          </cell>
          <cell r="F804">
            <v>41.765059288537742</v>
          </cell>
          <cell r="G804">
            <v>32.081264822133548</v>
          </cell>
          <cell r="H804">
            <v>32.081264822133548</v>
          </cell>
          <cell r="I804" t="e">
            <v>#N/A</v>
          </cell>
          <cell r="J804" t="e">
            <v>#N/A</v>
          </cell>
          <cell r="K804" t="e">
            <v>#N/A</v>
          </cell>
          <cell r="L804" t="e">
            <v>#N/A</v>
          </cell>
          <cell r="M804" t="e">
            <v>#N/A</v>
          </cell>
          <cell r="N804" t="e">
            <v>#N/A</v>
          </cell>
          <cell r="O804" t="e">
            <v>#N/A</v>
          </cell>
          <cell r="P804">
            <v>34.65</v>
          </cell>
          <cell r="Q804" t="str">
            <v/>
          </cell>
          <cell r="R804" t="e">
            <v>#N/A</v>
          </cell>
        </row>
        <row r="805">
          <cell r="A805">
            <v>40318</v>
          </cell>
          <cell r="B805">
            <v>40318</v>
          </cell>
          <cell r="C805" t="str">
            <v>Future</v>
          </cell>
          <cell r="D805" t="e">
            <v>#N/A</v>
          </cell>
          <cell r="E805">
            <v>0.95648221343883577</v>
          </cell>
          <cell r="F805">
            <v>41.794426877470549</v>
          </cell>
          <cell r="G805">
            <v>32.071106719366746</v>
          </cell>
          <cell r="H805">
            <v>32.071106719366746</v>
          </cell>
          <cell r="I805" t="e">
            <v>#N/A</v>
          </cell>
          <cell r="J805" t="e">
            <v>#N/A</v>
          </cell>
          <cell r="K805" t="e">
            <v>#N/A</v>
          </cell>
          <cell r="L805" t="e">
            <v>#N/A</v>
          </cell>
          <cell r="M805" t="e">
            <v>#N/A</v>
          </cell>
          <cell r="N805" t="e">
            <v>#N/A</v>
          </cell>
          <cell r="O805" t="e">
            <v>#N/A</v>
          </cell>
          <cell r="P805">
            <v>34.65</v>
          </cell>
          <cell r="Q805" t="str">
            <v/>
          </cell>
          <cell r="R805" t="e">
            <v>#N/A</v>
          </cell>
        </row>
        <row r="806">
          <cell r="A806">
            <v>40319</v>
          </cell>
          <cell r="B806">
            <v>40319</v>
          </cell>
          <cell r="C806" t="str">
            <v>Future</v>
          </cell>
          <cell r="D806" t="e">
            <v>#N/A</v>
          </cell>
          <cell r="E806">
            <v>0.81984189723330214</v>
          </cell>
          <cell r="F806">
            <v>41.823794466403356</v>
          </cell>
          <cell r="G806">
            <v>32.060948616599944</v>
          </cell>
          <cell r="H806">
            <v>32.060948616599944</v>
          </cell>
          <cell r="I806" t="e">
            <v>#N/A</v>
          </cell>
          <cell r="J806" t="e">
            <v>#N/A</v>
          </cell>
          <cell r="K806" t="e">
            <v>#N/A</v>
          </cell>
          <cell r="L806" t="e">
            <v>#N/A</v>
          </cell>
          <cell r="M806" t="e">
            <v>#N/A</v>
          </cell>
          <cell r="N806" t="e">
            <v>#N/A</v>
          </cell>
          <cell r="O806" t="e">
            <v>#N/A</v>
          </cell>
          <cell r="P806">
            <v>34.65</v>
          </cell>
          <cell r="Q806" t="str">
            <v/>
          </cell>
          <cell r="R806" t="e">
            <v>#N/A</v>
          </cell>
        </row>
        <row r="807">
          <cell r="A807">
            <v>40322</v>
          </cell>
          <cell r="B807">
            <v>40322</v>
          </cell>
          <cell r="C807" t="str">
            <v>Future</v>
          </cell>
          <cell r="D807" t="e">
            <v>#N/A</v>
          </cell>
          <cell r="E807">
            <v>0.68320158102776851</v>
          </cell>
          <cell r="F807">
            <v>41.853162055336163</v>
          </cell>
          <cell r="G807">
            <v>32.050790513833142</v>
          </cell>
          <cell r="H807">
            <v>32.050790513833142</v>
          </cell>
          <cell r="I807" t="e">
            <v>#N/A</v>
          </cell>
          <cell r="J807" t="e">
            <v>#N/A</v>
          </cell>
          <cell r="K807" t="e">
            <v>#N/A</v>
          </cell>
          <cell r="L807" t="e">
            <v>#N/A</v>
          </cell>
          <cell r="M807" t="e">
            <v>#N/A</v>
          </cell>
          <cell r="N807" t="e">
            <v>#N/A</v>
          </cell>
          <cell r="O807" t="e">
            <v>#N/A</v>
          </cell>
          <cell r="P807">
            <v>34.65</v>
          </cell>
          <cell r="Q807" t="str">
            <v/>
          </cell>
          <cell r="R807" t="e">
            <v>#N/A</v>
          </cell>
        </row>
        <row r="808">
          <cell r="A808">
            <v>40323</v>
          </cell>
          <cell r="B808">
            <v>40323</v>
          </cell>
          <cell r="C808" t="str">
            <v>Future</v>
          </cell>
          <cell r="D808" t="e">
            <v>#N/A</v>
          </cell>
          <cell r="E808">
            <v>0.54656126482223488</v>
          </cell>
          <cell r="F808">
            <v>41.882529644268971</v>
          </cell>
          <cell r="G808">
            <v>32.040632411066341</v>
          </cell>
          <cell r="H808">
            <v>32.040632411066341</v>
          </cell>
          <cell r="I808" t="e">
            <v>#N/A</v>
          </cell>
          <cell r="J808" t="e">
            <v>#N/A</v>
          </cell>
          <cell r="K808" t="e">
            <v>#N/A</v>
          </cell>
          <cell r="L808" t="e">
            <v>#N/A</v>
          </cell>
          <cell r="M808" t="e">
            <v>#N/A</v>
          </cell>
          <cell r="N808" t="e">
            <v>#N/A</v>
          </cell>
          <cell r="O808" t="e">
            <v>#N/A</v>
          </cell>
          <cell r="P808">
            <v>34.65</v>
          </cell>
          <cell r="Q808" t="str">
            <v/>
          </cell>
          <cell r="R808" t="e">
            <v>#N/A</v>
          </cell>
        </row>
        <row r="809">
          <cell r="A809">
            <v>40324</v>
          </cell>
          <cell r="B809">
            <v>40324</v>
          </cell>
          <cell r="C809" t="str">
            <v>Future</v>
          </cell>
          <cell r="D809" t="e">
            <v>#N/A</v>
          </cell>
          <cell r="E809">
            <v>0.40992094861670125</v>
          </cell>
          <cell r="F809">
            <v>41.911897233201778</v>
          </cell>
          <cell r="G809">
            <v>32.030474308299539</v>
          </cell>
          <cell r="H809">
            <v>32.030474308299539</v>
          </cell>
          <cell r="I809" t="e">
            <v>#N/A</v>
          </cell>
          <cell r="J809" t="e">
            <v>#N/A</v>
          </cell>
          <cell r="K809" t="e">
            <v>#N/A</v>
          </cell>
          <cell r="L809" t="e">
            <v>#N/A</v>
          </cell>
          <cell r="M809" t="e">
            <v>#N/A</v>
          </cell>
          <cell r="N809" t="e">
            <v>#N/A</v>
          </cell>
          <cell r="O809" t="e">
            <v>#N/A</v>
          </cell>
          <cell r="P809">
            <v>34.65</v>
          </cell>
          <cell r="Q809" t="str">
            <v/>
          </cell>
          <cell r="R809" t="e">
            <v>#N/A</v>
          </cell>
        </row>
        <row r="810">
          <cell r="A810">
            <v>40325</v>
          </cell>
          <cell r="B810">
            <v>40325</v>
          </cell>
          <cell r="C810" t="str">
            <v>Future</v>
          </cell>
          <cell r="D810" t="e">
            <v>#N/A</v>
          </cell>
          <cell r="E810">
            <v>0.27328063241116762</v>
          </cell>
          <cell r="F810">
            <v>41.941264822134585</v>
          </cell>
          <cell r="G810">
            <v>32.020316205532737</v>
          </cell>
          <cell r="H810">
            <v>32.020316205532737</v>
          </cell>
          <cell r="I810" t="e">
            <v>#N/A</v>
          </cell>
          <cell r="J810" t="e">
            <v>#N/A</v>
          </cell>
          <cell r="K810" t="e">
            <v>#N/A</v>
          </cell>
          <cell r="L810" t="e">
            <v>#N/A</v>
          </cell>
          <cell r="M810" t="e">
            <v>#N/A</v>
          </cell>
          <cell r="N810" t="e">
            <v>#N/A</v>
          </cell>
          <cell r="O810" t="e">
            <v>#N/A</v>
          </cell>
          <cell r="P810">
            <v>34.65</v>
          </cell>
          <cell r="Q810" t="str">
            <v/>
          </cell>
          <cell r="R810" t="e">
            <v>#N/A</v>
          </cell>
        </row>
        <row r="811">
          <cell r="A811">
            <v>40326</v>
          </cell>
          <cell r="B811">
            <v>40326</v>
          </cell>
          <cell r="C811" t="str">
            <v>Future</v>
          </cell>
          <cell r="D811" t="e">
            <v>#N/A</v>
          </cell>
          <cell r="E811">
            <v>0.13664031620563402</v>
          </cell>
          <cell r="F811">
            <v>41.970632411067392</v>
          </cell>
          <cell r="G811">
            <v>32.010158102765935</v>
          </cell>
          <cell r="H811">
            <v>32.010158102765935</v>
          </cell>
          <cell r="I811" t="e">
            <v>#N/A</v>
          </cell>
          <cell r="J811" t="e">
            <v>#N/A</v>
          </cell>
          <cell r="K811">
            <v>42</v>
          </cell>
          <cell r="L811">
            <v>32</v>
          </cell>
          <cell r="M811" t="e">
            <v>#N/A</v>
          </cell>
          <cell r="N811">
            <v>37</v>
          </cell>
          <cell r="O811" t="e">
            <v>#N/A</v>
          </cell>
          <cell r="P811">
            <v>34.65</v>
          </cell>
          <cell r="Q811" t="str">
            <v/>
          </cell>
          <cell r="R811" t="e">
            <v>#N/A</v>
          </cell>
        </row>
        <row r="812">
          <cell r="A812" t="str">
            <v/>
          </cell>
          <cell r="B812" t="str">
            <v/>
          </cell>
          <cell r="C812" t="str">
            <v>Future</v>
          </cell>
          <cell r="D812" t="e">
            <v>#N/A</v>
          </cell>
          <cell r="E812">
            <v>1.0041967257734541E-13</v>
          </cell>
          <cell r="F812">
            <v>42.000000000000199</v>
          </cell>
          <cell r="G812">
            <v>31.999999999999137</v>
          </cell>
          <cell r="H812">
            <v>31.999999999999137</v>
          </cell>
          <cell r="I812" t="e">
            <v>#N/A</v>
          </cell>
          <cell r="J812" t="e">
            <v>#N/A</v>
          </cell>
          <cell r="K812">
            <v>42</v>
          </cell>
          <cell r="L812">
            <v>32</v>
          </cell>
          <cell r="M812" t="e">
            <v>#N/A</v>
          </cell>
          <cell r="N812">
            <v>37</v>
          </cell>
          <cell r="O812" t="e">
            <v>#N/A</v>
          </cell>
          <cell r="P812" t="str">
            <v/>
          </cell>
          <cell r="Q812" t="str">
            <v/>
          </cell>
          <cell r="R812" t="e">
            <v>#N/A</v>
          </cell>
        </row>
        <row r="813">
          <cell r="A813" t="str">
            <v/>
          </cell>
          <cell r="B813" t="str">
            <v/>
          </cell>
          <cell r="C813" t="str">
            <v>Future</v>
          </cell>
          <cell r="D813" t="e">
            <v>#N/A</v>
          </cell>
          <cell r="E813">
            <v>-0.13664031620543318</v>
          </cell>
          <cell r="F813">
            <v>42.029367588933006</v>
          </cell>
          <cell r="G813">
            <v>31.989841897232338</v>
          </cell>
          <cell r="H813">
            <v>31.989841897232338</v>
          </cell>
          <cell r="I813" t="e">
            <v>#N/A</v>
          </cell>
          <cell r="J813" t="e">
            <v>#N/A</v>
          </cell>
          <cell r="K813">
            <v>42</v>
          </cell>
          <cell r="L813">
            <v>32</v>
          </cell>
          <cell r="M813" t="e">
            <v>#N/A</v>
          </cell>
          <cell r="N813">
            <v>37</v>
          </cell>
          <cell r="O813" t="e">
            <v>#N/A</v>
          </cell>
          <cell r="P813" t="str">
            <v/>
          </cell>
          <cell r="Q813" t="str">
            <v/>
          </cell>
          <cell r="R813" t="e">
            <v>#N/A</v>
          </cell>
        </row>
        <row r="814">
          <cell r="A814" t="str">
            <v/>
          </cell>
          <cell r="B814" t="str">
            <v/>
          </cell>
          <cell r="C814" t="str">
            <v>Future</v>
          </cell>
          <cell r="D814" t="e">
            <v>#N/A</v>
          </cell>
          <cell r="E814">
            <v>-0.27328063241096678</v>
          </cell>
          <cell r="F814">
            <v>42.058735177865813</v>
          </cell>
          <cell r="G814">
            <v>31.97968379446554</v>
          </cell>
          <cell r="H814">
            <v>31.97968379446554</v>
          </cell>
          <cell r="I814" t="e">
            <v>#N/A</v>
          </cell>
          <cell r="J814" t="e">
            <v>#N/A</v>
          </cell>
          <cell r="K814">
            <v>42</v>
          </cell>
          <cell r="L814">
            <v>32</v>
          </cell>
          <cell r="M814" t="e">
            <v>#N/A</v>
          </cell>
          <cell r="N814">
            <v>37</v>
          </cell>
          <cell r="O814" t="e">
            <v>#N/A</v>
          </cell>
          <cell r="P814" t="str">
            <v/>
          </cell>
          <cell r="Q814" t="str">
            <v/>
          </cell>
          <cell r="R814" t="e">
            <v>#N/A</v>
          </cell>
        </row>
        <row r="815">
          <cell r="A815" t="str">
            <v/>
          </cell>
          <cell r="B815" t="str">
            <v/>
          </cell>
          <cell r="C815" t="str">
            <v>Future</v>
          </cell>
          <cell r="D815" t="e">
            <v>#N/A</v>
          </cell>
          <cell r="E815">
            <v>-0.40992094861650041</v>
          </cell>
          <cell r="F815">
            <v>42.08810276679862</v>
          </cell>
          <cell r="G815">
            <v>31.969525691698742</v>
          </cell>
          <cell r="H815">
            <v>31.969525691698742</v>
          </cell>
          <cell r="I815" t="e">
            <v>#N/A</v>
          </cell>
          <cell r="J815" t="e">
            <v>#N/A</v>
          </cell>
          <cell r="K815">
            <v>42</v>
          </cell>
          <cell r="L815">
            <v>32</v>
          </cell>
          <cell r="M815" t="e">
            <v>#N/A</v>
          </cell>
          <cell r="N815">
            <v>37</v>
          </cell>
          <cell r="O815" t="e">
            <v>#N/A</v>
          </cell>
          <cell r="P815" t="str">
            <v/>
          </cell>
          <cell r="Q815" t="str">
            <v/>
          </cell>
          <cell r="R815" t="e">
            <v>#N/A</v>
          </cell>
        </row>
        <row r="816">
          <cell r="A816" t="str">
            <v/>
          </cell>
          <cell r="B816" t="str">
            <v/>
          </cell>
          <cell r="C816" t="str">
            <v>Future</v>
          </cell>
          <cell r="D816" t="e">
            <v>#N/A</v>
          </cell>
          <cell r="E816">
            <v>-0.54656126482203404</v>
          </cell>
          <cell r="F816">
            <v>42.117470355731427</v>
          </cell>
          <cell r="G816">
            <v>31.959367588931944</v>
          </cell>
          <cell r="H816">
            <v>31.959367588931944</v>
          </cell>
          <cell r="I816" t="e">
            <v>#N/A</v>
          </cell>
          <cell r="J816" t="e">
            <v>#N/A</v>
          </cell>
          <cell r="K816">
            <v>42</v>
          </cell>
          <cell r="L816">
            <v>32</v>
          </cell>
          <cell r="M816" t="e">
            <v>#N/A</v>
          </cell>
          <cell r="N816">
            <v>37</v>
          </cell>
          <cell r="O816" t="e">
            <v>#N/A</v>
          </cell>
          <cell r="P816" t="str">
            <v/>
          </cell>
          <cell r="Q816" t="str">
            <v/>
          </cell>
          <cell r="R816" t="e">
            <v>#N/A</v>
          </cell>
        </row>
        <row r="817">
          <cell r="A817" t="str">
            <v/>
          </cell>
          <cell r="B817" t="str">
            <v/>
          </cell>
          <cell r="C817" t="str">
            <v>Future</v>
          </cell>
          <cell r="D817" t="e">
            <v>#N/A</v>
          </cell>
          <cell r="E817">
            <v>-0.68320158102756767</v>
          </cell>
          <cell r="F817">
            <v>42.146837944664234</v>
          </cell>
          <cell r="G817">
            <v>31.949209486165145</v>
          </cell>
          <cell r="H817">
            <v>31.949209486165145</v>
          </cell>
          <cell r="I817" t="e">
            <v>#N/A</v>
          </cell>
          <cell r="J817" t="e">
            <v>#N/A</v>
          </cell>
          <cell r="K817">
            <v>42</v>
          </cell>
          <cell r="L817">
            <v>32</v>
          </cell>
          <cell r="M817" t="e">
            <v>#N/A</v>
          </cell>
          <cell r="N817">
            <v>37</v>
          </cell>
          <cell r="O817" t="e">
            <v>#N/A</v>
          </cell>
          <cell r="P817" t="str">
            <v/>
          </cell>
          <cell r="Q817" t="str">
            <v/>
          </cell>
          <cell r="R817" t="e">
            <v>#N/A</v>
          </cell>
        </row>
        <row r="818">
          <cell r="A818" t="str">
            <v/>
          </cell>
          <cell r="B818" t="str">
            <v/>
          </cell>
          <cell r="C818" t="str">
            <v>Future</v>
          </cell>
          <cell r="D818" t="e">
            <v>#N/A</v>
          </cell>
          <cell r="E818">
            <v>-0.8198418972331013</v>
          </cell>
          <cell r="F818">
            <v>42.176205533597042</v>
          </cell>
          <cell r="G818">
            <v>31.939051383398347</v>
          </cell>
          <cell r="H818">
            <v>31.939051383398347</v>
          </cell>
          <cell r="I818" t="e">
            <v>#N/A</v>
          </cell>
          <cell r="J818" t="e">
            <v>#N/A</v>
          </cell>
          <cell r="K818">
            <v>42</v>
          </cell>
          <cell r="L818">
            <v>32</v>
          </cell>
          <cell r="M818" t="e">
            <v>#N/A</v>
          </cell>
          <cell r="N818">
            <v>37</v>
          </cell>
          <cell r="O818" t="e">
            <v>#N/A</v>
          </cell>
          <cell r="P818" t="str">
            <v/>
          </cell>
          <cell r="Q818" t="str">
            <v/>
          </cell>
          <cell r="R818" t="e">
            <v>#N/A</v>
          </cell>
        </row>
        <row r="819">
          <cell r="A819" t="str">
            <v/>
          </cell>
          <cell r="B819" t="str">
            <v/>
          </cell>
          <cell r="C819" t="str">
            <v>Future</v>
          </cell>
          <cell r="D819" t="e">
            <v>#N/A</v>
          </cell>
          <cell r="E819">
            <v>-0.95648221343863493</v>
          </cell>
          <cell r="F819">
            <v>42.205573122529849</v>
          </cell>
          <cell r="G819">
            <v>31.928893280631549</v>
          </cell>
          <cell r="H819">
            <v>31.928893280631549</v>
          </cell>
          <cell r="I819" t="e">
            <v>#N/A</v>
          </cell>
          <cell r="J819" t="e">
            <v>#N/A</v>
          </cell>
          <cell r="K819">
            <v>42</v>
          </cell>
          <cell r="L819">
            <v>32</v>
          </cell>
          <cell r="M819" t="e">
            <v>#N/A</v>
          </cell>
          <cell r="N819">
            <v>37</v>
          </cell>
          <cell r="O819" t="e">
            <v>#N/A</v>
          </cell>
          <cell r="P819" t="str">
            <v/>
          </cell>
          <cell r="Q819" t="str">
            <v/>
          </cell>
          <cell r="R819" t="e">
            <v>#N/A</v>
          </cell>
        </row>
        <row r="820">
          <cell r="A820" t="str">
            <v/>
          </cell>
          <cell r="B820" t="str">
            <v/>
          </cell>
          <cell r="C820" t="str">
            <v>Future</v>
          </cell>
          <cell r="D820" t="e">
            <v>#N/A</v>
          </cell>
          <cell r="E820">
            <v>-1.0931225296441685</v>
          </cell>
          <cell r="F820">
            <v>42.234940711462656</v>
          </cell>
          <cell r="G820">
            <v>31.91873517786475</v>
          </cell>
          <cell r="H820">
            <v>31.91873517786475</v>
          </cell>
          <cell r="I820" t="e">
            <v>#N/A</v>
          </cell>
          <cell r="J820" t="e">
            <v>#N/A</v>
          </cell>
          <cell r="K820">
            <v>42</v>
          </cell>
          <cell r="L820">
            <v>32</v>
          </cell>
          <cell r="M820" t="e">
            <v>#N/A</v>
          </cell>
          <cell r="N820">
            <v>37</v>
          </cell>
          <cell r="O820" t="e">
            <v>#N/A</v>
          </cell>
          <cell r="P820" t="str">
            <v/>
          </cell>
          <cell r="Q820" t="str">
            <v/>
          </cell>
          <cell r="R820" t="e">
            <v>#N/A</v>
          </cell>
        </row>
        <row r="821">
          <cell r="A821" t="str">
            <v/>
          </cell>
          <cell r="B821" t="str">
            <v/>
          </cell>
          <cell r="C821" t="str">
            <v>Future</v>
          </cell>
          <cell r="D821" t="e">
            <v>#N/A</v>
          </cell>
          <cell r="E821">
            <v>-1.2297628458497021</v>
          </cell>
          <cell r="F821">
            <v>42.264308300395463</v>
          </cell>
          <cell r="G821">
            <v>31.908577075097952</v>
          </cell>
          <cell r="H821">
            <v>31.908577075097952</v>
          </cell>
          <cell r="I821" t="e">
            <v>#N/A</v>
          </cell>
          <cell r="J821" t="e">
            <v>#N/A</v>
          </cell>
          <cell r="K821">
            <v>42</v>
          </cell>
          <cell r="L821">
            <v>32</v>
          </cell>
          <cell r="M821" t="e">
            <v>#N/A</v>
          </cell>
          <cell r="N821">
            <v>37</v>
          </cell>
          <cell r="O821" t="e">
            <v>#N/A</v>
          </cell>
          <cell r="P821" t="str">
            <v/>
          </cell>
          <cell r="Q821" t="str">
            <v/>
          </cell>
          <cell r="R821" t="e">
            <v>#N/A</v>
          </cell>
        </row>
        <row r="822">
          <cell r="A822" t="str">
            <v/>
          </cell>
          <cell r="B822" t="str">
            <v/>
          </cell>
          <cell r="C822" t="str">
            <v>Future</v>
          </cell>
          <cell r="D822" t="e">
            <v>#N/A</v>
          </cell>
          <cell r="E822">
            <v>-1.3664031620552357</v>
          </cell>
          <cell r="F822">
            <v>42.29367588932827</v>
          </cell>
          <cell r="G822">
            <v>31.898418972331154</v>
          </cell>
          <cell r="H822">
            <v>31.898418972331154</v>
          </cell>
          <cell r="I822" t="e">
            <v>#N/A</v>
          </cell>
          <cell r="J822" t="e">
            <v>#N/A</v>
          </cell>
          <cell r="K822">
            <v>42</v>
          </cell>
          <cell r="L822">
            <v>32</v>
          </cell>
          <cell r="M822" t="e">
            <v>#N/A</v>
          </cell>
          <cell r="N822">
            <v>37</v>
          </cell>
          <cell r="O822" t="e">
            <v>#N/A</v>
          </cell>
          <cell r="P822" t="str">
            <v/>
          </cell>
          <cell r="Q822" t="str">
            <v/>
          </cell>
          <cell r="R822" t="e">
            <v>#N/A</v>
          </cell>
        </row>
        <row r="823">
          <cell r="A823" t="str">
            <v/>
          </cell>
          <cell r="B823" t="str">
            <v/>
          </cell>
          <cell r="C823" t="str">
            <v>Future</v>
          </cell>
          <cell r="D823" t="e">
            <v>#N/A</v>
          </cell>
          <cell r="E823">
            <v>-1.5030434782607693</v>
          </cell>
          <cell r="F823">
            <v>42.323043478261077</v>
          </cell>
          <cell r="G823">
            <v>31.888260869564355</v>
          </cell>
          <cell r="H823">
            <v>31.888260869564355</v>
          </cell>
          <cell r="I823" t="e">
            <v>#N/A</v>
          </cell>
          <cell r="J823" t="e">
            <v>#N/A</v>
          </cell>
          <cell r="K823">
            <v>42</v>
          </cell>
          <cell r="L823">
            <v>32</v>
          </cell>
          <cell r="M823" t="e">
            <v>#N/A</v>
          </cell>
          <cell r="N823">
            <v>37</v>
          </cell>
          <cell r="O823" t="e">
            <v>#N/A</v>
          </cell>
          <cell r="P823" t="str">
            <v/>
          </cell>
          <cell r="Q823" t="str">
            <v/>
          </cell>
          <cell r="R823" t="e">
            <v>#N/A</v>
          </cell>
        </row>
        <row r="824">
          <cell r="A824" t="str">
            <v/>
          </cell>
          <cell r="B824" t="str">
            <v/>
          </cell>
          <cell r="C824" t="str">
            <v>Future</v>
          </cell>
          <cell r="D824" t="e">
            <v>#N/A</v>
          </cell>
          <cell r="E824">
            <v>-1.639683794466303</v>
          </cell>
          <cell r="F824">
            <v>42.352411067193884</v>
          </cell>
          <cell r="G824">
            <v>31.878102766797557</v>
          </cell>
          <cell r="H824">
            <v>31.878102766797557</v>
          </cell>
          <cell r="I824" t="e">
            <v>#N/A</v>
          </cell>
          <cell r="J824" t="e">
            <v>#N/A</v>
          </cell>
          <cell r="K824">
            <v>42</v>
          </cell>
          <cell r="L824">
            <v>32</v>
          </cell>
          <cell r="M824" t="e">
            <v>#N/A</v>
          </cell>
          <cell r="N824">
            <v>37</v>
          </cell>
          <cell r="O824" t="e">
            <v>#N/A</v>
          </cell>
          <cell r="P824" t="str">
            <v/>
          </cell>
          <cell r="Q824" t="str">
            <v/>
          </cell>
          <cell r="R824" t="e">
            <v>#N/A</v>
          </cell>
        </row>
        <row r="825">
          <cell r="A825" t="str">
            <v/>
          </cell>
          <cell r="B825" t="str">
            <v/>
          </cell>
          <cell r="C825" t="str">
            <v>Future</v>
          </cell>
          <cell r="D825" t="e">
            <v>#N/A</v>
          </cell>
          <cell r="E825">
            <v>-1.7763241106718366</v>
          </cell>
          <cell r="F825">
            <v>42.381778656126691</v>
          </cell>
          <cell r="G825">
            <v>31.867944664030759</v>
          </cell>
          <cell r="H825">
            <v>31.867944664030759</v>
          </cell>
          <cell r="I825" t="e">
            <v>#N/A</v>
          </cell>
          <cell r="J825" t="e">
            <v>#N/A</v>
          </cell>
          <cell r="K825">
            <v>42</v>
          </cell>
          <cell r="L825">
            <v>32</v>
          </cell>
          <cell r="M825" t="e">
            <v>#N/A</v>
          </cell>
          <cell r="N825">
            <v>37</v>
          </cell>
          <cell r="O825" t="e">
            <v>#N/A</v>
          </cell>
          <cell r="P825" t="str">
            <v/>
          </cell>
          <cell r="Q825" t="str">
            <v/>
          </cell>
          <cell r="R825" t="e">
            <v>#N/A</v>
          </cell>
        </row>
        <row r="826">
          <cell r="A826" t="str">
            <v/>
          </cell>
          <cell r="B826" t="str">
            <v/>
          </cell>
          <cell r="C826" t="str">
            <v>Future</v>
          </cell>
          <cell r="D826" t="e">
            <v>#N/A</v>
          </cell>
          <cell r="E826">
            <v>-1.9129644268773702</v>
          </cell>
          <cell r="F826">
            <v>42.411146245059498</v>
          </cell>
          <cell r="G826">
            <v>31.857786561263961</v>
          </cell>
          <cell r="H826">
            <v>31.857786561263961</v>
          </cell>
          <cell r="I826" t="e">
            <v>#N/A</v>
          </cell>
          <cell r="J826" t="e">
            <v>#N/A</v>
          </cell>
          <cell r="K826">
            <v>42</v>
          </cell>
          <cell r="L826">
            <v>32</v>
          </cell>
          <cell r="M826" t="e">
            <v>#N/A</v>
          </cell>
          <cell r="N826">
            <v>37</v>
          </cell>
          <cell r="O826" t="e">
            <v>#N/A</v>
          </cell>
          <cell r="P826" t="str">
            <v/>
          </cell>
          <cell r="Q826" t="str">
            <v/>
          </cell>
          <cell r="R826" t="e">
            <v>#N/A</v>
          </cell>
        </row>
        <row r="827">
          <cell r="A827" t="str">
            <v/>
          </cell>
          <cell r="B827" t="str">
            <v/>
          </cell>
          <cell r="C827" t="str">
            <v>Future</v>
          </cell>
          <cell r="D827" t="e">
            <v>#N/A</v>
          </cell>
          <cell r="E827">
            <v>-2.0496047430829036</v>
          </cell>
          <cell r="F827">
            <v>42.440513833992306</v>
          </cell>
          <cell r="G827">
            <v>31.847628458497162</v>
          </cell>
          <cell r="H827">
            <v>31.847628458497162</v>
          </cell>
          <cell r="I827" t="e">
            <v>#N/A</v>
          </cell>
          <cell r="J827" t="e">
            <v>#N/A</v>
          </cell>
          <cell r="K827">
            <v>42</v>
          </cell>
          <cell r="L827">
            <v>32</v>
          </cell>
          <cell r="M827" t="e">
            <v>#N/A</v>
          </cell>
          <cell r="N827">
            <v>37</v>
          </cell>
          <cell r="O827" t="e">
            <v>#N/A</v>
          </cell>
          <cell r="P827" t="str">
            <v/>
          </cell>
          <cell r="Q827" t="str">
            <v/>
          </cell>
          <cell r="R827" t="e">
            <v>#N/A</v>
          </cell>
        </row>
        <row r="828">
          <cell r="A828" t="str">
            <v/>
          </cell>
          <cell r="B828" t="str">
            <v/>
          </cell>
          <cell r="C828" t="str">
            <v>Future</v>
          </cell>
          <cell r="D828" t="e">
            <v>#N/A</v>
          </cell>
          <cell r="E828">
            <v>-2.1862450592884373</v>
          </cell>
          <cell r="F828">
            <v>42.469881422925113</v>
          </cell>
          <cell r="G828">
            <v>31.837470355730364</v>
          </cell>
          <cell r="H828">
            <v>31.837470355730364</v>
          </cell>
          <cell r="I828" t="e">
            <v>#N/A</v>
          </cell>
          <cell r="J828" t="e">
            <v>#N/A</v>
          </cell>
          <cell r="K828">
            <v>42</v>
          </cell>
          <cell r="L828">
            <v>32</v>
          </cell>
          <cell r="M828" t="e">
            <v>#N/A</v>
          </cell>
          <cell r="N828">
            <v>37</v>
          </cell>
          <cell r="O828" t="e">
            <v>#N/A</v>
          </cell>
          <cell r="P828" t="str">
            <v/>
          </cell>
          <cell r="Q828" t="str">
            <v/>
          </cell>
          <cell r="R828" t="e">
            <v>#N/A</v>
          </cell>
        </row>
        <row r="829">
          <cell r="A829" t="str">
            <v/>
          </cell>
          <cell r="B829" t="str">
            <v/>
          </cell>
          <cell r="C829" t="str">
            <v>Future</v>
          </cell>
          <cell r="D829" t="e">
            <v>#N/A</v>
          </cell>
          <cell r="E829">
            <v>-2.3228853754939709</v>
          </cell>
          <cell r="F829">
            <v>42.49924901185792</v>
          </cell>
          <cell r="G829">
            <v>31.827312252963566</v>
          </cell>
          <cell r="H829">
            <v>31.827312252963566</v>
          </cell>
          <cell r="I829" t="e">
            <v>#N/A</v>
          </cell>
          <cell r="J829" t="e">
            <v>#N/A</v>
          </cell>
          <cell r="K829">
            <v>42</v>
          </cell>
          <cell r="L829">
            <v>32</v>
          </cell>
          <cell r="M829" t="e">
            <v>#N/A</v>
          </cell>
          <cell r="N829">
            <v>37</v>
          </cell>
          <cell r="O829" t="e">
            <v>#N/A</v>
          </cell>
          <cell r="P829" t="str">
            <v/>
          </cell>
          <cell r="Q829" t="str">
            <v/>
          </cell>
          <cell r="R829" t="e">
            <v>#N/A</v>
          </cell>
        </row>
        <row r="830">
          <cell r="A830" t="str">
            <v/>
          </cell>
          <cell r="B830" t="str">
            <v/>
          </cell>
          <cell r="C830" t="str">
            <v>Future</v>
          </cell>
          <cell r="D830" t="e">
            <v>#N/A</v>
          </cell>
          <cell r="E830">
            <v>-2.4595256916995045</v>
          </cell>
          <cell r="F830">
            <v>42.528616600790727</v>
          </cell>
          <cell r="G830">
            <v>31.817154150196767</v>
          </cell>
          <cell r="H830">
            <v>31.817154150196767</v>
          </cell>
          <cell r="I830" t="e">
            <v>#N/A</v>
          </cell>
          <cell r="J830" t="e">
            <v>#N/A</v>
          </cell>
          <cell r="K830">
            <v>42</v>
          </cell>
          <cell r="L830">
            <v>32</v>
          </cell>
          <cell r="M830" t="e">
            <v>#N/A</v>
          </cell>
          <cell r="N830">
            <v>37</v>
          </cell>
          <cell r="O830" t="e">
            <v>#N/A</v>
          </cell>
          <cell r="P830" t="str">
            <v/>
          </cell>
          <cell r="Q830" t="str">
            <v/>
          </cell>
          <cell r="R830" t="e">
            <v>#N/A</v>
          </cell>
        </row>
        <row r="831">
          <cell r="A831" t="str">
            <v/>
          </cell>
          <cell r="B831" t="str">
            <v/>
          </cell>
          <cell r="C831" t="str">
            <v>Future</v>
          </cell>
          <cell r="D831" t="e">
            <v>#N/A</v>
          </cell>
          <cell r="E831">
            <v>-2.5961660079050382</v>
          </cell>
          <cell r="F831">
            <v>42.557984189723534</v>
          </cell>
          <cell r="G831">
            <v>31.806996047429969</v>
          </cell>
          <cell r="H831">
            <v>31.806996047429969</v>
          </cell>
          <cell r="I831" t="e">
            <v>#N/A</v>
          </cell>
          <cell r="J831" t="e">
            <v>#N/A</v>
          </cell>
          <cell r="K831">
            <v>42</v>
          </cell>
          <cell r="L831">
            <v>32</v>
          </cell>
          <cell r="M831" t="e">
            <v>#N/A</v>
          </cell>
          <cell r="N831">
            <v>37</v>
          </cell>
          <cell r="O831" t="e">
            <v>#N/A</v>
          </cell>
          <cell r="P831" t="str">
            <v/>
          </cell>
          <cell r="Q831" t="str">
            <v/>
          </cell>
          <cell r="R831" t="e">
            <v>#N/A</v>
          </cell>
        </row>
        <row r="832">
          <cell r="A832" t="str">
            <v/>
          </cell>
          <cell r="B832" t="str">
            <v/>
          </cell>
          <cell r="C832" t="str">
            <v>Future</v>
          </cell>
          <cell r="D832" t="e">
            <v>#N/A</v>
          </cell>
          <cell r="E832">
            <v>-2.7328063241105718</v>
          </cell>
          <cell r="F832">
            <v>42.587351778656341</v>
          </cell>
          <cell r="G832">
            <v>31.796837944663171</v>
          </cell>
          <cell r="H832">
            <v>31.796837944663171</v>
          </cell>
          <cell r="I832" t="e">
            <v>#N/A</v>
          </cell>
          <cell r="J832" t="e">
            <v>#N/A</v>
          </cell>
          <cell r="K832">
            <v>42</v>
          </cell>
          <cell r="L832">
            <v>32</v>
          </cell>
          <cell r="M832" t="e">
            <v>#N/A</v>
          </cell>
          <cell r="N832">
            <v>37</v>
          </cell>
          <cell r="O832" t="e">
            <v>#N/A</v>
          </cell>
          <cell r="P832" t="str">
            <v/>
          </cell>
          <cell r="Q832" t="str">
            <v/>
          </cell>
          <cell r="R832" t="e">
            <v>#N/A</v>
          </cell>
        </row>
        <row r="833">
          <cell r="A833" t="str">
            <v/>
          </cell>
          <cell r="B833" t="str">
            <v/>
          </cell>
          <cell r="C833" t="str">
            <v>Future</v>
          </cell>
          <cell r="D833" t="e">
            <v>#N/A</v>
          </cell>
          <cell r="E833">
            <v>-2.8694466403161054</v>
          </cell>
          <cell r="F833">
            <v>42.616719367589148</v>
          </cell>
          <cell r="G833">
            <v>31.786679841896373</v>
          </cell>
          <cell r="H833">
            <v>31.786679841896373</v>
          </cell>
          <cell r="I833" t="e">
            <v>#N/A</v>
          </cell>
          <cell r="J833" t="e">
            <v>#N/A</v>
          </cell>
          <cell r="K833">
            <v>42</v>
          </cell>
          <cell r="L833">
            <v>32</v>
          </cell>
          <cell r="M833" t="e">
            <v>#N/A</v>
          </cell>
          <cell r="N833">
            <v>37</v>
          </cell>
          <cell r="O833" t="e">
            <v>#N/A</v>
          </cell>
          <cell r="P833" t="str">
            <v/>
          </cell>
          <cell r="Q833" t="str">
            <v/>
          </cell>
          <cell r="R833" t="e">
            <v>#N/A</v>
          </cell>
        </row>
        <row r="834">
          <cell r="A834" t="str">
            <v/>
          </cell>
          <cell r="B834" t="str">
            <v/>
          </cell>
          <cell r="C834" t="str">
            <v>Future</v>
          </cell>
          <cell r="D834" t="e">
            <v>#N/A</v>
          </cell>
          <cell r="E834">
            <v>-3.006086956521639</v>
          </cell>
          <cell r="F834">
            <v>42.646086956521955</v>
          </cell>
          <cell r="G834">
            <v>31.776521739129574</v>
          </cell>
          <cell r="H834">
            <v>31.776521739129574</v>
          </cell>
          <cell r="I834" t="e">
            <v>#N/A</v>
          </cell>
          <cell r="J834" t="e">
            <v>#N/A</v>
          </cell>
          <cell r="K834">
            <v>42</v>
          </cell>
          <cell r="L834">
            <v>32</v>
          </cell>
          <cell r="M834" t="e">
            <v>#N/A</v>
          </cell>
          <cell r="N834">
            <v>37</v>
          </cell>
          <cell r="O834" t="e">
            <v>#N/A</v>
          </cell>
          <cell r="P834" t="str">
            <v/>
          </cell>
          <cell r="Q834" t="str">
            <v/>
          </cell>
          <cell r="R834" t="e">
            <v>#N/A</v>
          </cell>
        </row>
        <row r="835">
          <cell r="A835" t="str">
            <v/>
          </cell>
          <cell r="B835" t="str">
            <v/>
          </cell>
          <cell r="C835" t="str">
            <v>Future</v>
          </cell>
          <cell r="D835" t="e">
            <v>#N/A</v>
          </cell>
          <cell r="E835">
            <v>-3.1427272727271727</v>
          </cell>
          <cell r="F835">
            <v>42.675454545454762</v>
          </cell>
          <cell r="G835">
            <v>31.766363636362776</v>
          </cell>
          <cell r="H835">
            <v>31.766363636362776</v>
          </cell>
          <cell r="I835" t="e">
            <v>#N/A</v>
          </cell>
          <cell r="J835" t="e">
            <v>#N/A</v>
          </cell>
          <cell r="K835">
            <v>42</v>
          </cell>
          <cell r="L835">
            <v>32</v>
          </cell>
          <cell r="M835" t="e">
            <v>#N/A</v>
          </cell>
          <cell r="N835">
            <v>37</v>
          </cell>
          <cell r="O835" t="e">
            <v>#N/A</v>
          </cell>
          <cell r="P835" t="str">
            <v/>
          </cell>
          <cell r="Q835" t="str">
            <v/>
          </cell>
          <cell r="R835" t="e">
            <v>#N/A</v>
          </cell>
        </row>
        <row r="836">
          <cell r="A836" t="str">
            <v/>
          </cell>
          <cell r="B836" t="str">
            <v/>
          </cell>
          <cell r="C836" t="str">
            <v>Future</v>
          </cell>
          <cell r="D836" t="e">
            <v>#N/A</v>
          </cell>
          <cell r="E836">
            <v>-3.2793675889327063</v>
          </cell>
          <cell r="F836">
            <v>42.70482213438757</v>
          </cell>
          <cell r="G836">
            <v>31.756205533595978</v>
          </cell>
          <cell r="H836">
            <v>31.756205533595978</v>
          </cell>
          <cell r="I836" t="e">
            <v>#N/A</v>
          </cell>
          <cell r="J836" t="e">
            <v>#N/A</v>
          </cell>
          <cell r="K836">
            <v>42</v>
          </cell>
          <cell r="L836">
            <v>32</v>
          </cell>
          <cell r="M836" t="e">
            <v>#N/A</v>
          </cell>
          <cell r="N836">
            <v>37</v>
          </cell>
          <cell r="O836" t="e">
            <v>#N/A</v>
          </cell>
          <cell r="P836" t="str">
            <v/>
          </cell>
          <cell r="Q836" t="str">
            <v/>
          </cell>
          <cell r="R836" t="e">
            <v>#N/A</v>
          </cell>
        </row>
        <row r="837">
          <cell r="A837" t="str">
            <v/>
          </cell>
          <cell r="B837" t="str">
            <v/>
          </cell>
          <cell r="C837" t="str">
            <v>Future</v>
          </cell>
          <cell r="D837" t="e">
            <v>#N/A</v>
          </cell>
          <cell r="E837">
            <v>-3.4160079051382399</v>
          </cell>
          <cell r="F837">
            <v>42.734189723320377</v>
          </cell>
          <cell r="G837">
            <v>31.746047430829179</v>
          </cell>
          <cell r="H837">
            <v>31.746047430829179</v>
          </cell>
          <cell r="I837" t="e">
            <v>#N/A</v>
          </cell>
          <cell r="J837" t="e">
            <v>#N/A</v>
          </cell>
          <cell r="K837">
            <v>42</v>
          </cell>
          <cell r="L837">
            <v>32</v>
          </cell>
          <cell r="M837" t="e">
            <v>#N/A</v>
          </cell>
          <cell r="N837">
            <v>37</v>
          </cell>
          <cell r="O837" t="e">
            <v>#N/A</v>
          </cell>
          <cell r="P837" t="str">
            <v/>
          </cell>
          <cell r="Q837" t="str">
            <v/>
          </cell>
          <cell r="R837" t="e">
            <v>#N/A</v>
          </cell>
        </row>
        <row r="838">
          <cell r="A838" t="str">
            <v/>
          </cell>
          <cell r="B838" t="str">
            <v/>
          </cell>
          <cell r="C838" t="str">
            <v>Future</v>
          </cell>
          <cell r="D838" t="e">
            <v>#N/A</v>
          </cell>
          <cell r="E838">
            <v>-3.5526482213437736</v>
          </cell>
          <cell r="F838">
            <v>42.763557312253184</v>
          </cell>
          <cell r="G838">
            <v>31.735889328062381</v>
          </cell>
          <cell r="H838">
            <v>31.735889328062381</v>
          </cell>
          <cell r="I838" t="e">
            <v>#N/A</v>
          </cell>
          <cell r="J838" t="e">
            <v>#N/A</v>
          </cell>
          <cell r="K838">
            <v>42</v>
          </cell>
          <cell r="L838">
            <v>32</v>
          </cell>
          <cell r="M838" t="e">
            <v>#N/A</v>
          </cell>
          <cell r="N838">
            <v>37</v>
          </cell>
          <cell r="O838" t="e">
            <v>#N/A</v>
          </cell>
          <cell r="P838" t="str">
            <v/>
          </cell>
          <cell r="Q838" t="str">
            <v/>
          </cell>
          <cell r="R838" t="e">
            <v>#N/A</v>
          </cell>
        </row>
        <row r="839">
          <cell r="A839" t="str">
            <v/>
          </cell>
          <cell r="B839" t="str">
            <v/>
          </cell>
          <cell r="C839" t="str">
            <v>Future</v>
          </cell>
          <cell r="D839" t="e">
            <v>#N/A</v>
          </cell>
          <cell r="E839">
            <v>-3.6892885375493072</v>
          </cell>
          <cell r="F839">
            <v>42.792924901185991</v>
          </cell>
          <cell r="G839">
            <v>31.725731225295583</v>
          </cell>
          <cell r="H839">
            <v>31.725731225295583</v>
          </cell>
          <cell r="I839" t="e">
            <v>#N/A</v>
          </cell>
          <cell r="J839" t="e">
            <v>#N/A</v>
          </cell>
          <cell r="K839">
            <v>42</v>
          </cell>
          <cell r="L839">
            <v>32</v>
          </cell>
          <cell r="M839" t="e">
            <v>#N/A</v>
          </cell>
          <cell r="N839">
            <v>37</v>
          </cell>
          <cell r="O839" t="e">
            <v>#N/A</v>
          </cell>
          <cell r="P839" t="str">
            <v/>
          </cell>
          <cell r="Q839" t="str">
            <v/>
          </cell>
          <cell r="R839" t="e">
            <v>#N/A</v>
          </cell>
        </row>
        <row r="840">
          <cell r="A840" t="str">
            <v/>
          </cell>
          <cell r="B840" t="str">
            <v/>
          </cell>
          <cell r="C840" t="str">
            <v>Future</v>
          </cell>
          <cell r="D840" t="e">
            <v>#N/A</v>
          </cell>
          <cell r="E840">
            <v>-3.8259288537548408</v>
          </cell>
          <cell r="F840">
            <v>42.822292490118798</v>
          </cell>
          <cell r="G840">
            <v>31.715573122528784</v>
          </cell>
          <cell r="H840">
            <v>31.715573122528784</v>
          </cell>
          <cell r="I840" t="e">
            <v>#N/A</v>
          </cell>
          <cell r="J840" t="e">
            <v>#N/A</v>
          </cell>
          <cell r="K840">
            <v>42</v>
          </cell>
          <cell r="L840">
            <v>32</v>
          </cell>
          <cell r="M840" t="e">
            <v>#N/A</v>
          </cell>
          <cell r="N840">
            <v>37</v>
          </cell>
          <cell r="O840" t="e">
            <v>#N/A</v>
          </cell>
          <cell r="P840" t="str">
            <v/>
          </cell>
          <cell r="Q840" t="str">
            <v/>
          </cell>
          <cell r="R840" t="e">
            <v>#N/A</v>
          </cell>
        </row>
        <row r="841">
          <cell r="A841" t="str">
            <v/>
          </cell>
          <cell r="B841" t="str">
            <v/>
          </cell>
          <cell r="C841" t="str">
            <v>Future</v>
          </cell>
          <cell r="D841" t="e">
            <v>#N/A</v>
          </cell>
          <cell r="E841">
            <v>-3.9625691699603744</v>
          </cell>
          <cell r="F841">
            <v>42.851660079051605</v>
          </cell>
          <cell r="G841">
            <v>31.705415019761986</v>
          </cell>
          <cell r="H841">
            <v>31.705415019761986</v>
          </cell>
          <cell r="I841" t="e">
            <v>#N/A</v>
          </cell>
          <cell r="J841" t="e">
            <v>#N/A</v>
          </cell>
          <cell r="K841">
            <v>42</v>
          </cell>
          <cell r="L841">
            <v>32</v>
          </cell>
          <cell r="M841" t="e">
            <v>#N/A</v>
          </cell>
          <cell r="N841">
            <v>37</v>
          </cell>
          <cell r="O841" t="e">
            <v>#N/A</v>
          </cell>
          <cell r="P841" t="str">
            <v/>
          </cell>
          <cell r="Q841" t="str">
            <v/>
          </cell>
          <cell r="R841" t="e">
            <v>#N/A</v>
          </cell>
        </row>
        <row r="842">
          <cell r="A842" t="str">
            <v/>
          </cell>
          <cell r="B842" t="str">
            <v/>
          </cell>
          <cell r="C842" t="str">
            <v>Future</v>
          </cell>
          <cell r="D842" t="e">
            <v>#N/A</v>
          </cell>
          <cell r="E842">
            <v>-4.0992094861659076</v>
          </cell>
          <cell r="F842">
            <v>42.881027667984412</v>
          </cell>
          <cell r="G842">
            <v>31.695256916995188</v>
          </cell>
          <cell r="H842">
            <v>31.695256916995188</v>
          </cell>
          <cell r="I842" t="e">
            <v>#N/A</v>
          </cell>
          <cell r="J842" t="e">
            <v>#N/A</v>
          </cell>
          <cell r="K842">
            <v>42</v>
          </cell>
          <cell r="L842">
            <v>32</v>
          </cell>
          <cell r="M842" t="e">
            <v>#N/A</v>
          </cell>
          <cell r="N842">
            <v>37</v>
          </cell>
          <cell r="O842" t="e">
            <v>#N/A</v>
          </cell>
          <cell r="P842" t="str">
            <v/>
          </cell>
          <cell r="Q842" t="str">
            <v/>
          </cell>
          <cell r="R842" t="e">
            <v>#N/A</v>
          </cell>
        </row>
        <row r="843">
          <cell r="A843" t="str">
            <v/>
          </cell>
          <cell r="B843" t="str">
            <v/>
          </cell>
          <cell r="C843" t="str">
            <v>Future</v>
          </cell>
          <cell r="D843" t="e">
            <v>#N/A</v>
          </cell>
          <cell r="E843">
            <v>-4.2358498023714413</v>
          </cell>
          <cell r="F843">
            <v>42.910395256917219</v>
          </cell>
          <cell r="G843">
            <v>31.68509881422839</v>
          </cell>
          <cell r="H843">
            <v>31.68509881422839</v>
          </cell>
          <cell r="I843" t="e">
            <v>#N/A</v>
          </cell>
          <cell r="J843" t="e">
            <v>#N/A</v>
          </cell>
          <cell r="K843">
            <v>42</v>
          </cell>
          <cell r="L843">
            <v>32</v>
          </cell>
          <cell r="M843" t="e">
            <v>#N/A</v>
          </cell>
          <cell r="N843">
            <v>37</v>
          </cell>
          <cell r="O843" t="e">
            <v>#N/A</v>
          </cell>
          <cell r="P843" t="str">
            <v/>
          </cell>
          <cell r="Q843" t="str">
            <v/>
          </cell>
          <cell r="R843" t="e">
            <v>#N/A</v>
          </cell>
        </row>
        <row r="844">
          <cell r="A844" t="str">
            <v/>
          </cell>
          <cell r="B844" t="str">
            <v/>
          </cell>
          <cell r="C844" t="str">
            <v>Future</v>
          </cell>
          <cell r="D844" t="e">
            <v>#N/A</v>
          </cell>
          <cell r="E844">
            <v>-4.3724901185769749</v>
          </cell>
          <cell r="F844">
            <v>42.939762845850026</v>
          </cell>
          <cell r="G844">
            <v>31.674940711461591</v>
          </cell>
          <cell r="H844">
            <v>31.674940711461591</v>
          </cell>
          <cell r="I844" t="e">
            <v>#N/A</v>
          </cell>
          <cell r="J844" t="e">
            <v>#N/A</v>
          </cell>
          <cell r="K844">
            <v>42</v>
          </cell>
          <cell r="L844">
            <v>32</v>
          </cell>
          <cell r="M844" t="e">
            <v>#N/A</v>
          </cell>
          <cell r="N844">
            <v>37</v>
          </cell>
          <cell r="O844" t="e">
            <v>#N/A</v>
          </cell>
          <cell r="P844" t="str">
            <v/>
          </cell>
          <cell r="Q844" t="str">
            <v/>
          </cell>
          <cell r="R844" t="e">
            <v>#N/A</v>
          </cell>
        </row>
        <row r="845">
          <cell r="A845" t="str">
            <v/>
          </cell>
          <cell r="B845" t="str">
            <v/>
          </cell>
          <cell r="C845" t="str">
            <v>Future</v>
          </cell>
          <cell r="D845" t="e">
            <v>#N/A</v>
          </cell>
          <cell r="E845">
            <v>-4.5091304347825085</v>
          </cell>
          <cell r="F845">
            <v>42.969130434782834</v>
          </cell>
          <cell r="G845">
            <v>31.664782608694793</v>
          </cell>
          <cell r="H845">
            <v>31.664782608694793</v>
          </cell>
          <cell r="I845" t="e">
            <v>#N/A</v>
          </cell>
          <cell r="J845" t="e">
            <v>#N/A</v>
          </cell>
          <cell r="K845">
            <v>42</v>
          </cell>
          <cell r="L845">
            <v>32</v>
          </cell>
          <cell r="M845" t="e">
            <v>#N/A</v>
          </cell>
          <cell r="N845">
            <v>37</v>
          </cell>
          <cell r="O845" t="e">
            <v>#N/A</v>
          </cell>
          <cell r="P845" t="str">
            <v/>
          </cell>
          <cell r="Q845" t="str">
            <v/>
          </cell>
          <cell r="R845" t="e">
            <v>#N/A</v>
          </cell>
        </row>
        <row r="846">
          <cell r="A846" t="str">
            <v/>
          </cell>
          <cell r="B846" t="str">
            <v/>
          </cell>
          <cell r="C846" t="str">
            <v>Future</v>
          </cell>
          <cell r="D846" t="e">
            <v>#N/A</v>
          </cell>
          <cell r="E846">
            <v>-4.6457707509880422</v>
          </cell>
          <cell r="F846">
            <v>42.998498023715641</v>
          </cell>
          <cell r="G846">
            <v>31.654624505927995</v>
          </cell>
          <cell r="H846">
            <v>31.654624505927995</v>
          </cell>
          <cell r="I846" t="e">
            <v>#N/A</v>
          </cell>
          <cell r="J846" t="e">
            <v>#N/A</v>
          </cell>
          <cell r="K846">
            <v>42</v>
          </cell>
          <cell r="L846">
            <v>32</v>
          </cell>
          <cell r="M846" t="e">
            <v>#N/A</v>
          </cell>
          <cell r="N846">
            <v>37</v>
          </cell>
          <cell r="O846" t="e">
            <v>#N/A</v>
          </cell>
          <cell r="P846" t="str">
            <v/>
          </cell>
          <cell r="Q846" t="str">
            <v/>
          </cell>
          <cell r="R846" t="e">
            <v>#N/A</v>
          </cell>
        </row>
        <row r="847">
          <cell r="A847" t="str">
            <v/>
          </cell>
          <cell r="B847" t="str">
            <v/>
          </cell>
          <cell r="C847" t="str">
            <v>Future</v>
          </cell>
          <cell r="D847" t="e">
            <v>#N/A</v>
          </cell>
          <cell r="E847">
            <v>-4.7824110671935758</v>
          </cell>
          <cell r="F847">
            <v>43.027865612648448</v>
          </cell>
          <cell r="G847">
            <v>31.644466403161196</v>
          </cell>
          <cell r="H847">
            <v>31.644466403161196</v>
          </cell>
          <cell r="I847" t="e">
            <v>#N/A</v>
          </cell>
          <cell r="J847" t="e">
            <v>#N/A</v>
          </cell>
          <cell r="K847">
            <v>42</v>
          </cell>
          <cell r="L847">
            <v>32</v>
          </cell>
          <cell r="M847" t="e">
            <v>#N/A</v>
          </cell>
          <cell r="N847">
            <v>37</v>
          </cell>
          <cell r="O847" t="e">
            <v>#N/A</v>
          </cell>
          <cell r="P847" t="str">
            <v/>
          </cell>
          <cell r="Q847" t="str">
            <v/>
          </cell>
          <cell r="R847" t="e">
            <v>#N/A</v>
          </cell>
        </row>
        <row r="848">
          <cell r="A848" t="str">
            <v/>
          </cell>
          <cell r="B848" t="str">
            <v/>
          </cell>
          <cell r="C848" t="str">
            <v>Future</v>
          </cell>
          <cell r="D848" t="e">
            <v>#N/A</v>
          </cell>
          <cell r="E848">
            <v>-4.9190513833991094</v>
          </cell>
          <cell r="F848">
            <v>43.057233201581255</v>
          </cell>
          <cell r="G848">
            <v>31.634308300394398</v>
          </cell>
          <cell r="H848">
            <v>31.634308300394398</v>
          </cell>
          <cell r="I848" t="e">
            <v>#N/A</v>
          </cell>
          <cell r="J848" t="e">
            <v>#N/A</v>
          </cell>
          <cell r="K848">
            <v>42</v>
          </cell>
          <cell r="L848">
            <v>32</v>
          </cell>
          <cell r="M848" t="e">
            <v>#N/A</v>
          </cell>
          <cell r="N848">
            <v>37</v>
          </cell>
          <cell r="O848" t="e">
            <v>#N/A</v>
          </cell>
          <cell r="P848" t="str">
            <v/>
          </cell>
          <cell r="Q848" t="str">
            <v/>
          </cell>
          <cell r="R848" t="e">
            <v>#N/A</v>
          </cell>
        </row>
        <row r="849">
          <cell r="A849" t="str">
            <v/>
          </cell>
          <cell r="B849" t="str">
            <v/>
          </cell>
          <cell r="C849" t="str">
            <v>Future</v>
          </cell>
          <cell r="D849" t="e">
            <v>#N/A</v>
          </cell>
          <cell r="E849">
            <v>-5.055691699604643</v>
          </cell>
          <cell r="F849">
            <v>43.086600790514062</v>
          </cell>
          <cell r="G849">
            <v>31.6241501976276</v>
          </cell>
          <cell r="H849">
            <v>31.6241501976276</v>
          </cell>
          <cell r="I849" t="e">
            <v>#N/A</v>
          </cell>
          <cell r="J849" t="e">
            <v>#N/A</v>
          </cell>
          <cell r="K849">
            <v>42</v>
          </cell>
          <cell r="L849">
            <v>32</v>
          </cell>
          <cell r="M849" t="e">
            <v>#N/A</v>
          </cell>
          <cell r="N849">
            <v>37</v>
          </cell>
          <cell r="O849" t="e">
            <v>#N/A</v>
          </cell>
          <cell r="P849" t="str">
            <v/>
          </cell>
          <cell r="Q849" t="str">
            <v/>
          </cell>
          <cell r="R849" t="e">
            <v>#N/A</v>
          </cell>
        </row>
        <row r="850">
          <cell r="A850" t="str">
            <v/>
          </cell>
          <cell r="B850" t="str">
            <v/>
          </cell>
          <cell r="C850" t="str">
            <v>Future</v>
          </cell>
          <cell r="D850" t="e">
            <v>#N/A</v>
          </cell>
          <cell r="E850">
            <v>-5.1923320158101767</v>
          </cell>
          <cell r="F850">
            <v>43.115968379446869</v>
          </cell>
          <cell r="G850">
            <v>31.613992094860802</v>
          </cell>
          <cell r="H850">
            <v>31.613992094860802</v>
          </cell>
          <cell r="I850" t="e">
            <v>#N/A</v>
          </cell>
          <cell r="J850" t="e">
            <v>#N/A</v>
          </cell>
          <cell r="K850">
            <v>42</v>
          </cell>
          <cell r="L850">
            <v>32</v>
          </cell>
          <cell r="M850" t="e">
            <v>#N/A</v>
          </cell>
          <cell r="N850">
            <v>37</v>
          </cell>
          <cell r="O850" t="e">
            <v>#N/A</v>
          </cell>
          <cell r="P850" t="str">
            <v/>
          </cell>
          <cell r="Q850" t="str">
            <v/>
          </cell>
          <cell r="R850" t="e">
            <v>#N/A</v>
          </cell>
        </row>
        <row r="851">
          <cell r="A851" t="str">
            <v/>
          </cell>
          <cell r="B851" t="str">
            <v/>
          </cell>
          <cell r="C851" t="str">
            <v>Future</v>
          </cell>
          <cell r="D851" t="e">
            <v>#N/A</v>
          </cell>
          <cell r="E851">
            <v>-5.3289723320157103</v>
          </cell>
          <cell r="F851">
            <v>43.145335968379676</v>
          </cell>
          <cell r="G851">
            <v>31.603833992094003</v>
          </cell>
          <cell r="H851">
            <v>31.603833992094003</v>
          </cell>
          <cell r="I851" t="e">
            <v>#N/A</v>
          </cell>
          <cell r="J851" t="e">
            <v>#N/A</v>
          </cell>
          <cell r="K851">
            <v>42</v>
          </cell>
          <cell r="L851">
            <v>32</v>
          </cell>
          <cell r="M851" t="e">
            <v>#N/A</v>
          </cell>
          <cell r="N851">
            <v>37</v>
          </cell>
          <cell r="O851" t="e">
            <v>#N/A</v>
          </cell>
          <cell r="P851" t="str">
            <v/>
          </cell>
          <cell r="Q851" t="str">
            <v/>
          </cell>
          <cell r="R851" t="e">
            <v>#N/A</v>
          </cell>
        </row>
        <row r="852">
          <cell r="A852" t="str">
            <v/>
          </cell>
          <cell r="B852" t="str">
            <v/>
          </cell>
          <cell r="C852" t="str">
            <v>Future</v>
          </cell>
          <cell r="D852" t="e">
            <v>#N/A</v>
          </cell>
          <cell r="E852">
            <v>-5.4656126482212439</v>
          </cell>
          <cell r="F852">
            <v>43.174703557312483</v>
          </cell>
          <cell r="G852">
            <v>31.593675889327205</v>
          </cell>
          <cell r="H852">
            <v>31.593675889327205</v>
          </cell>
          <cell r="I852" t="e">
            <v>#N/A</v>
          </cell>
          <cell r="J852" t="e">
            <v>#N/A</v>
          </cell>
          <cell r="K852">
            <v>42</v>
          </cell>
          <cell r="L852">
            <v>32</v>
          </cell>
          <cell r="M852" t="e">
            <v>#N/A</v>
          </cell>
          <cell r="N852">
            <v>37</v>
          </cell>
          <cell r="O852" t="e">
            <v>#N/A</v>
          </cell>
          <cell r="P852" t="str">
            <v/>
          </cell>
          <cell r="Q852" t="str">
            <v/>
          </cell>
          <cell r="R852" t="e">
            <v>#N/A</v>
          </cell>
        </row>
        <row r="853">
          <cell r="A853" t="str">
            <v/>
          </cell>
          <cell r="B853" t="str">
            <v/>
          </cell>
          <cell r="C853" t="str">
            <v>Future</v>
          </cell>
          <cell r="D853" t="e">
            <v>#N/A</v>
          </cell>
          <cell r="E853">
            <v>-5.6022529644267776</v>
          </cell>
          <cell r="F853">
            <v>43.20407114624529</v>
          </cell>
          <cell r="G853">
            <v>31.583517786560407</v>
          </cell>
          <cell r="H853">
            <v>31.583517786560407</v>
          </cell>
          <cell r="I853" t="e">
            <v>#N/A</v>
          </cell>
          <cell r="J853" t="e">
            <v>#N/A</v>
          </cell>
          <cell r="K853">
            <v>42</v>
          </cell>
          <cell r="L853">
            <v>32</v>
          </cell>
          <cell r="M853" t="e">
            <v>#N/A</v>
          </cell>
          <cell r="N853">
            <v>37</v>
          </cell>
          <cell r="O853" t="e">
            <v>#N/A</v>
          </cell>
          <cell r="P853" t="str">
            <v/>
          </cell>
          <cell r="Q853" t="str">
            <v/>
          </cell>
          <cell r="R853" t="e">
            <v>#N/A</v>
          </cell>
        </row>
        <row r="854">
          <cell r="A854" t="str">
            <v/>
          </cell>
          <cell r="B854" t="str">
            <v/>
          </cell>
          <cell r="C854" t="str">
            <v>Future</v>
          </cell>
          <cell r="D854" t="e">
            <v>#N/A</v>
          </cell>
          <cell r="E854">
            <v>-5.7388932806323112</v>
          </cell>
          <cell r="F854">
            <v>43.233438735178098</v>
          </cell>
          <cell r="G854">
            <v>31.573359683793608</v>
          </cell>
          <cell r="H854">
            <v>31.573359683793608</v>
          </cell>
          <cell r="I854" t="e">
            <v>#N/A</v>
          </cell>
          <cell r="J854" t="e">
            <v>#N/A</v>
          </cell>
          <cell r="K854">
            <v>42</v>
          </cell>
          <cell r="L854">
            <v>32</v>
          </cell>
          <cell r="M854" t="e">
            <v>#N/A</v>
          </cell>
          <cell r="N854">
            <v>37</v>
          </cell>
          <cell r="O854" t="e">
            <v>#N/A</v>
          </cell>
          <cell r="P854" t="str">
            <v/>
          </cell>
          <cell r="Q854" t="str">
            <v/>
          </cell>
          <cell r="R854" t="e">
            <v>#N/A</v>
          </cell>
        </row>
        <row r="855">
          <cell r="A855" t="str">
            <v/>
          </cell>
          <cell r="B855" t="str">
            <v/>
          </cell>
          <cell r="C855" t="str">
            <v>Future</v>
          </cell>
          <cell r="D855" t="e">
            <v>#N/A</v>
          </cell>
          <cell r="E855">
            <v>-5.8755335968378448</v>
          </cell>
          <cell r="F855">
            <v>43.262806324110905</v>
          </cell>
          <cell r="G855">
            <v>31.56320158102681</v>
          </cell>
          <cell r="H855">
            <v>31.56320158102681</v>
          </cell>
          <cell r="I855" t="e">
            <v>#N/A</v>
          </cell>
          <cell r="J855" t="e">
            <v>#N/A</v>
          </cell>
          <cell r="K855">
            <v>42</v>
          </cell>
          <cell r="L855">
            <v>32</v>
          </cell>
          <cell r="M855" t="e">
            <v>#N/A</v>
          </cell>
          <cell r="N855">
            <v>37</v>
          </cell>
          <cell r="O855" t="e">
            <v>#N/A</v>
          </cell>
          <cell r="P855" t="str">
            <v/>
          </cell>
          <cell r="Q855" t="str">
            <v/>
          </cell>
          <cell r="R855" t="e">
            <v>#N/A</v>
          </cell>
        </row>
        <row r="856">
          <cell r="A856" t="str">
            <v/>
          </cell>
          <cell r="B856" t="str">
            <v/>
          </cell>
          <cell r="C856" t="str">
            <v>Future</v>
          </cell>
          <cell r="D856" t="e">
            <v>#N/A</v>
          </cell>
          <cell r="E856">
            <v>-6.0121739130433784</v>
          </cell>
          <cell r="F856">
            <v>43.292173913043712</v>
          </cell>
          <cell r="G856">
            <v>31.553043478260012</v>
          </cell>
          <cell r="H856">
            <v>31.553043478260012</v>
          </cell>
          <cell r="I856" t="e">
            <v>#N/A</v>
          </cell>
          <cell r="J856" t="e">
            <v>#N/A</v>
          </cell>
          <cell r="K856">
            <v>42</v>
          </cell>
          <cell r="L856">
            <v>32</v>
          </cell>
          <cell r="M856" t="e">
            <v>#N/A</v>
          </cell>
          <cell r="N856">
            <v>37</v>
          </cell>
          <cell r="O856" t="e">
            <v>#N/A</v>
          </cell>
          <cell r="P856" t="str">
            <v/>
          </cell>
          <cell r="Q856" t="str">
            <v/>
          </cell>
          <cell r="R856" t="e">
            <v>#N/A</v>
          </cell>
        </row>
        <row r="857">
          <cell r="A857" t="str">
            <v/>
          </cell>
          <cell r="B857" t="str">
            <v/>
          </cell>
          <cell r="C857" t="str">
            <v>Future</v>
          </cell>
          <cell r="D857" t="e">
            <v>#N/A</v>
          </cell>
          <cell r="E857">
            <v>-6.1488142292489121</v>
          </cell>
          <cell r="F857">
            <v>43.321541501976519</v>
          </cell>
          <cell r="G857">
            <v>31.542885375493213</v>
          </cell>
          <cell r="H857">
            <v>31.542885375493213</v>
          </cell>
          <cell r="I857" t="e">
            <v>#N/A</v>
          </cell>
          <cell r="J857" t="e">
            <v>#N/A</v>
          </cell>
          <cell r="K857">
            <v>42</v>
          </cell>
          <cell r="L857">
            <v>32</v>
          </cell>
          <cell r="M857" t="e">
            <v>#N/A</v>
          </cell>
          <cell r="N857">
            <v>37</v>
          </cell>
          <cell r="O857" t="e">
            <v>#N/A</v>
          </cell>
          <cell r="P857" t="str">
            <v/>
          </cell>
          <cell r="Q857" t="str">
            <v/>
          </cell>
          <cell r="R857" t="e">
            <v>#N/A</v>
          </cell>
        </row>
        <row r="858">
          <cell r="A858" t="str">
            <v/>
          </cell>
          <cell r="B858" t="str">
            <v/>
          </cell>
          <cell r="C858" t="str">
            <v>Future</v>
          </cell>
          <cell r="D858" t="e">
            <v>#N/A</v>
          </cell>
          <cell r="E858">
            <v>-6.2854545454544457</v>
          </cell>
          <cell r="F858">
            <v>43.350909090909326</v>
          </cell>
          <cell r="G858">
            <v>31.532727272726415</v>
          </cell>
          <cell r="H858">
            <v>31.532727272726415</v>
          </cell>
          <cell r="I858" t="e">
            <v>#N/A</v>
          </cell>
          <cell r="J858" t="e">
            <v>#N/A</v>
          </cell>
          <cell r="K858">
            <v>42</v>
          </cell>
          <cell r="L858">
            <v>32</v>
          </cell>
          <cell r="M858" t="e">
            <v>#N/A</v>
          </cell>
          <cell r="N858">
            <v>37</v>
          </cell>
          <cell r="O858" t="e">
            <v>#N/A</v>
          </cell>
          <cell r="P858" t="str">
            <v/>
          </cell>
          <cell r="Q858" t="str">
            <v/>
          </cell>
          <cell r="R858" t="e">
            <v>#N/A</v>
          </cell>
        </row>
        <row r="859">
          <cell r="A859" t="str">
            <v/>
          </cell>
          <cell r="B859" t="str">
            <v/>
          </cell>
          <cell r="C859" t="str">
            <v>Future</v>
          </cell>
          <cell r="D859" t="e">
            <v>#N/A</v>
          </cell>
          <cell r="E859">
            <v>-6.4220948616599793</v>
          </cell>
          <cell r="F859">
            <v>43.380276679842133</v>
          </cell>
          <cell r="G859">
            <v>31.522569169959617</v>
          </cell>
          <cell r="H859">
            <v>31.522569169959617</v>
          </cell>
          <cell r="I859" t="e">
            <v>#N/A</v>
          </cell>
          <cell r="J859" t="e">
            <v>#N/A</v>
          </cell>
          <cell r="K859">
            <v>42</v>
          </cell>
          <cell r="L859">
            <v>32</v>
          </cell>
          <cell r="M859" t="e">
            <v>#N/A</v>
          </cell>
          <cell r="N859">
            <v>37</v>
          </cell>
          <cell r="O859" t="e">
            <v>#N/A</v>
          </cell>
          <cell r="P859" t="str">
            <v/>
          </cell>
          <cell r="Q859" t="str">
            <v/>
          </cell>
          <cell r="R859" t="e">
            <v>#N/A</v>
          </cell>
        </row>
        <row r="860">
          <cell r="A860" t="str">
            <v/>
          </cell>
          <cell r="B860" t="str">
            <v/>
          </cell>
          <cell r="C860" t="str">
            <v>Future</v>
          </cell>
          <cell r="D860" t="e">
            <v>#N/A</v>
          </cell>
          <cell r="E860">
            <v>-6.558735177865513</v>
          </cell>
          <cell r="F860">
            <v>43.40964426877494</v>
          </cell>
          <cell r="G860">
            <v>31.512411067192819</v>
          </cell>
          <cell r="H860">
            <v>31.512411067192819</v>
          </cell>
          <cell r="I860" t="e">
            <v>#N/A</v>
          </cell>
          <cell r="J860" t="e">
            <v>#N/A</v>
          </cell>
          <cell r="K860">
            <v>42</v>
          </cell>
          <cell r="L860">
            <v>32</v>
          </cell>
          <cell r="M860" t="e">
            <v>#N/A</v>
          </cell>
          <cell r="N860">
            <v>37</v>
          </cell>
          <cell r="O860" t="e">
            <v>#N/A</v>
          </cell>
          <cell r="P860" t="str">
            <v/>
          </cell>
          <cell r="Q860" t="str">
            <v/>
          </cell>
          <cell r="R860" t="e">
            <v>#N/A</v>
          </cell>
        </row>
        <row r="861">
          <cell r="A861" t="str">
            <v/>
          </cell>
          <cell r="B861" t="str">
            <v/>
          </cell>
          <cell r="C861" t="str">
            <v>Future</v>
          </cell>
          <cell r="D861" t="e">
            <v>#N/A</v>
          </cell>
          <cell r="E861">
            <v>-6.6953754940710466</v>
          </cell>
          <cell r="F861">
            <v>43.439011857707747</v>
          </cell>
          <cell r="G861">
            <v>31.50225296442602</v>
          </cell>
          <cell r="H861">
            <v>31.50225296442602</v>
          </cell>
          <cell r="I861" t="e">
            <v>#N/A</v>
          </cell>
          <cell r="J861" t="e">
            <v>#N/A</v>
          </cell>
          <cell r="K861">
            <v>42</v>
          </cell>
          <cell r="L861">
            <v>32</v>
          </cell>
          <cell r="M861" t="e">
            <v>#N/A</v>
          </cell>
          <cell r="N861">
            <v>37</v>
          </cell>
          <cell r="O861" t="e">
            <v>#N/A</v>
          </cell>
          <cell r="P861" t="str">
            <v/>
          </cell>
          <cell r="Q861" t="str">
            <v/>
          </cell>
          <cell r="R861" t="e">
            <v>#N/A</v>
          </cell>
        </row>
        <row r="862">
          <cell r="A862" t="str">
            <v/>
          </cell>
          <cell r="B862" t="str">
            <v/>
          </cell>
          <cell r="C862" t="str">
            <v>Future</v>
          </cell>
          <cell r="D862" t="e">
            <v>#N/A</v>
          </cell>
          <cell r="E862">
            <v>-6.8320158102765802</v>
          </cell>
          <cell r="F862">
            <v>43.468379446640554</v>
          </cell>
          <cell r="G862">
            <v>31.492094861659222</v>
          </cell>
          <cell r="H862">
            <v>31.492094861659222</v>
          </cell>
          <cell r="I862" t="e">
            <v>#N/A</v>
          </cell>
          <cell r="J862" t="e">
            <v>#N/A</v>
          </cell>
          <cell r="K862">
            <v>42</v>
          </cell>
          <cell r="L862">
            <v>32</v>
          </cell>
          <cell r="M862" t="e">
            <v>#N/A</v>
          </cell>
          <cell r="N862">
            <v>37</v>
          </cell>
          <cell r="O862" t="e">
            <v>#N/A</v>
          </cell>
          <cell r="P862" t="str">
            <v/>
          </cell>
          <cell r="Q862" t="str">
            <v/>
          </cell>
          <cell r="R862" t="e">
            <v>#N/A</v>
          </cell>
        </row>
        <row r="863">
          <cell r="A863" t="str">
            <v/>
          </cell>
          <cell r="B863" t="str">
            <v/>
          </cell>
          <cell r="C863" t="str">
            <v>Future</v>
          </cell>
          <cell r="D863" t="e">
            <v>#N/A</v>
          </cell>
          <cell r="E863">
            <v>-6.9686561264821139</v>
          </cell>
          <cell r="F863">
            <v>43.497747035573362</v>
          </cell>
          <cell r="G863">
            <v>31.481936758892424</v>
          </cell>
          <cell r="H863">
            <v>31.481936758892424</v>
          </cell>
          <cell r="I863" t="e">
            <v>#N/A</v>
          </cell>
          <cell r="J863" t="e">
            <v>#N/A</v>
          </cell>
          <cell r="K863">
            <v>42</v>
          </cell>
          <cell r="L863">
            <v>32</v>
          </cell>
          <cell r="M863" t="e">
            <v>#N/A</v>
          </cell>
          <cell r="N863">
            <v>37</v>
          </cell>
          <cell r="O863" t="e">
            <v>#N/A</v>
          </cell>
          <cell r="P863" t="str">
            <v/>
          </cell>
          <cell r="Q863" t="str">
            <v/>
          </cell>
          <cell r="R863" t="e">
            <v>#N/A</v>
          </cell>
        </row>
        <row r="864">
          <cell r="A864" t="str">
            <v/>
          </cell>
          <cell r="B864" t="str">
            <v/>
          </cell>
          <cell r="C864" t="str">
            <v>Future</v>
          </cell>
          <cell r="D864" t="e">
            <v>#N/A</v>
          </cell>
          <cell r="E864">
            <v>-7.1052964426876475</v>
          </cell>
          <cell r="F864">
            <v>43.527114624506169</v>
          </cell>
          <cell r="G864">
            <v>31.471778656125625</v>
          </cell>
          <cell r="H864">
            <v>31.471778656125625</v>
          </cell>
          <cell r="I864" t="e">
            <v>#N/A</v>
          </cell>
          <cell r="J864" t="e">
            <v>#N/A</v>
          </cell>
          <cell r="K864">
            <v>42</v>
          </cell>
          <cell r="L864">
            <v>32</v>
          </cell>
          <cell r="M864" t="e">
            <v>#N/A</v>
          </cell>
          <cell r="N864">
            <v>37</v>
          </cell>
          <cell r="O864" t="e">
            <v>#N/A</v>
          </cell>
          <cell r="P864" t="str">
            <v/>
          </cell>
          <cell r="Q864" t="str">
            <v/>
          </cell>
          <cell r="R864" t="e">
            <v>#N/A</v>
          </cell>
        </row>
        <row r="865">
          <cell r="A865" t="str">
            <v/>
          </cell>
          <cell r="B865" t="str">
            <v/>
          </cell>
          <cell r="C865" t="str">
            <v>Future</v>
          </cell>
          <cell r="D865" t="e">
            <v>#N/A</v>
          </cell>
          <cell r="E865">
            <v>-7.2419367588931811</v>
          </cell>
          <cell r="F865">
            <v>43.556482213438976</v>
          </cell>
          <cell r="G865">
            <v>31.461620553358827</v>
          </cell>
          <cell r="H865">
            <v>31.461620553358827</v>
          </cell>
          <cell r="I865" t="e">
            <v>#N/A</v>
          </cell>
          <cell r="J865" t="e">
            <v>#N/A</v>
          </cell>
          <cell r="K865">
            <v>42</v>
          </cell>
          <cell r="L865">
            <v>32</v>
          </cell>
          <cell r="M865" t="e">
            <v>#N/A</v>
          </cell>
          <cell r="N865">
            <v>37</v>
          </cell>
          <cell r="O865" t="e">
            <v>#N/A</v>
          </cell>
          <cell r="P865" t="str">
            <v/>
          </cell>
          <cell r="Q865" t="str">
            <v/>
          </cell>
          <cell r="R865" t="e">
            <v>#N/A</v>
          </cell>
        </row>
        <row r="866">
          <cell r="A866" t="str">
            <v/>
          </cell>
          <cell r="B866" t="str">
            <v/>
          </cell>
          <cell r="C866" t="str">
            <v>Future</v>
          </cell>
          <cell r="D866" t="e">
            <v>#N/A</v>
          </cell>
          <cell r="E866">
            <v>-7.3785770750987147</v>
          </cell>
          <cell r="F866">
            <v>43.585849802371783</v>
          </cell>
          <cell r="G866">
            <v>31.451462450592029</v>
          </cell>
          <cell r="H866">
            <v>31.451462450592029</v>
          </cell>
          <cell r="I866" t="e">
            <v>#N/A</v>
          </cell>
          <cell r="J866" t="e">
            <v>#N/A</v>
          </cell>
          <cell r="K866">
            <v>42</v>
          </cell>
          <cell r="L866">
            <v>32</v>
          </cell>
          <cell r="M866" t="e">
            <v>#N/A</v>
          </cell>
          <cell r="N866">
            <v>37</v>
          </cell>
          <cell r="O866" t="e">
            <v>#N/A</v>
          </cell>
          <cell r="P866" t="str">
            <v/>
          </cell>
          <cell r="Q866" t="str">
            <v/>
          </cell>
          <cell r="R866" t="e">
            <v>#N/A</v>
          </cell>
        </row>
        <row r="867">
          <cell r="A867" t="str">
            <v/>
          </cell>
          <cell r="B867" t="str">
            <v/>
          </cell>
          <cell r="C867" t="str">
            <v>Future</v>
          </cell>
          <cell r="D867" t="e">
            <v>#N/A</v>
          </cell>
          <cell r="E867">
            <v>-7.5152173913042484</v>
          </cell>
          <cell r="F867">
            <v>43.61521739130459</v>
          </cell>
          <cell r="G867">
            <v>31.441304347825231</v>
          </cell>
          <cell r="H867">
            <v>31.441304347825231</v>
          </cell>
          <cell r="I867" t="e">
            <v>#N/A</v>
          </cell>
          <cell r="J867" t="e">
            <v>#N/A</v>
          </cell>
          <cell r="K867">
            <v>42</v>
          </cell>
          <cell r="L867">
            <v>32</v>
          </cell>
          <cell r="M867" t="e">
            <v>#N/A</v>
          </cell>
          <cell r="N867">
            <v>37</v>
          </cell>
          <cell r="O867" t="e">
            <v>#N/A</v>
          </cell>
          <cell r="P867" t="str">
            <v/>
          </cell>
          <cell r="Q867" t="str">
            <v/>
          </cell>
          <cell r="R867" t="e">
            <v>#N/A</v>
          </cell>
        </row>
        <row r="868">
          <cell r="A868" t="str">
            <v/>
          </cell>
          <cell r="B868" t="str">
            <v/>
          </cell>
          <cell r="C868" t="str">
            <v>Future</v>
          </cell>
          <cell r="D868" t="e">
            <v>#N/A</v>
          </cell>
          <cell r="E868">
            <v>-7.651857707509782</v>
          </cell>
          <cell r="F868">
            <v>43.644584980237397</v>
          </cell>
          <cell r="G868">
            <v>31.431146245058432</v>
          </cell>
          <cell r="H868">
            <v>31.431146245058432</v>
          </cell>
          <cell r="I868" t="e">
            <v>#N/A</v>
          </cell>
          <cell r="J868" t="e">
            <v>#N/A</v>
          </cell>
          <cell r="K868">
            <v>42</v>
          </cell>
          <cell r="L868">
            <v>32</v>
          </cell>
          <cell r="M868" t="e">
            <v>#N/A</v>
          </cell>
          <cell r="N868">
            <v>37</v>
          </cell>
          <cell r="O868" t="e">
            <v>#N/A</v>
          </cell>
          <cell r="P868" t="str">
            <v/>
          </cell>
          <cell r="Q868" t="str">
            <v/>
          </cell>
          <cell r="R868" t="e">
            <v>#N/A</v>
          </cell>
        </row>
        <row r="869">
          <cell r="A869" t="str">
            <v/>
          </cell>
          <cell r="B869" t="str">
            <v/>
          </cell>
          <cell r="C869" t="str">
            <v>Future</v>
          </cell>
          <cell r="D869" t="e">
            <v>#N/A</v>
          </cell>
          <cell r="E869">
            <v>-7.7884980237153156</v>
          </cell>
          <cell r="F869">
            <v>43.673952569170204</v>
          </cell>
          <cell r="G869">
            <v>31.420988142291634</v>
          </cell>
          <cell r="H869">
            <v>31.420988142291634</v>
          </cell>
          <cell r="I869" t="e">
            <v>#N/A</v>
          </cell>
          <cell r="J869" t="e">
            <v>#N/A</v>
          </cell>
          <cell r="K869">
            <v>42</v>
          </cell>
          <cell r="L869">
            <v>32</v>
          </cell>
          <cell r="M869" t="e">
            <v>#N/A</v>
          </cell>
          <cell r="N869">
            <v>37</v>
          </cell>
          <cell r="O869" t="e">
            <v>#N/A</v>
          </cell>
          <cell r="P869" t="str">
            <v/>
          </cell>
          <cell r="Q869" t="str">
            <v/>
          </cell>
          <cell r="R869" t="e">
            <v>#N/A</v>
          </cell>
        </row>
        <row r="870">
          <cell r="A870" t="str">
            <v/>
          </cell>
          <cell r="B870" t="str">
            <v/>
          </cell>
          <cell r="C870" t="str">
            <v>Future</v>
          </cell>
          <cell r="D870" t="e">
            <v>#N/A</v>
          </cell>
          <cell r="E870">
            <v>-7.9251383399208493</v>
          </cell>
          <cell r="F870">
            <v>43.703320158103011</v>
          </cell>
          <cell r="G870">
            <v>31.410830039524836</v>
          </cell>
          <cell r="H870">
            <v>31.410830039524836</v>
          </cell>
          <cell r="I870" t="e">
            <v>#N/A</v>
          </cell>
          <cell r="J870" t="e">
            <v>#N/A</v>
          </cell>
          <cell r="K870">
            <v>42</v>
          </cell>
          <cell r="L870">
            <v>32</v>
          </cell>
          <cell r="M870" t="e">
            <v>#N/A</v>
          </cell>
          <cell r="N870">
            <v>37</v>
          </cell>
          <cell r="O870" t="e">
            <v>#N/A</v>
          </cell>
          <cell r="P870" t="str">
            <v/>
          </cell>
          <cell r="Q870" t="str">
            <v/>
          </cell>
          <cell r="R870" t="e">
            <v>#N/A</v>
          </cell>
        </row>
        <row r="871">
          <cell r="A871" t="str">
            <v/>
          </cell>
          <cell r="B871" t="str">
            <v/>
          </cell>
          <cell r="C871" t="str">
            <v>Future</v>
          </cell>
          <cell r="D871" t="e">
            <v>#N/A</v>
          </cell>
          <cell r="E871">
            <v>-8.061778656126382</v>
          </cell>
          <cell r="F871">
            <v>43.732687747035818</v>
          </cell>
          <cell r="G871">
            <v>31.400671936758037</v>
          </cell>
          <cell r="H871">
            <v>31.400671936758037</v>
          </cell>
          <cell r="I871" t="e">
            <v>#N/A</v>
          </cell>
          <cell r="J871" t="e">
            <v>#N/A</v>
          </cell>
          <cell r="K871">
            <v>42</v>
          </cell>
          <cell r="L871">
            <v>32</v>
          </cell>
          <cell r="M871" t="e">
            <v>#N/A</v>
          </cell>
          <cell r="N871">
            <v>37</v>
          </cell>
          <cell r="O871" t="e">
            <v>#N/A</v>
          </cell>
          <cell r="P871" t="str">
            <v/>
          </cell>
          <cell r="Q871" t="str">
            <v/>
          </cell>
          <cell r="R871" t="e">
            <v>#N/A</v>
          </cell>
        </row>
        <row r="872">
          <cell r="A872" t="str">
            <v/>
          </cell>
          <cell r="B872" t="str">
            <v/>
          </cell>
          <cell r="C872" t="str">
            <v>Future</v>
          </cell>
          <cell r="D872" t="e">
            <v>#N/A</v>
          </cell>
          <cell r="E872">
            <v>-8.1984189723319147</v>
          </cell>
          <cell r="F872">
            <v>43.762055335968626</v>
          </cell>
          <cell r="G872">
            <v>31.390513833991239</v>
          </cell>
          <cell r="H872">
            <v>31.390513833991239</v>
          </cell>
          <cell r="I872" t="e">
            <v>#N/A</v>
          </cell>
          <cell r="J872" t="e">
            <v>#N/A</v>
          </cell>
          <cell r="K872">
            <v>42</v>
          </cell>
          <cell r="L872">
            <v>32</v>
          </cell>
          <cell r="M872" t="e">
            <v>#N/A</v>
          </cell>
          <cell r="N872">
            <v>37</v>
          </cell>
          <cell r="O872" t="e">
            <v>#N/A</v>
          </cell>
          <cell r="P872" t="str">
            <v/>
          </cell>
          <cell r="Q872" t="str">
            <v/>
          </cell>
          <cell r="R872" t="e">
            <v>#N/A</v>
          </cell>
        </row>
        <row r="873">
          <cell r="A873" t="str">
            <v/>
          </cell>
          <cell r="B873" t="str">
            <v/>
          </cell>
          <cell r="C873" t="str">
            <v>Future</v>
          </cell>
          <cell r="D873" t="e">
            <v>#N/A</v>
          </cell>
          <cell r="E873">
            <v>-8.3350592885374475</v>
          </cell>
          <cell r="F873">
            <v>43.791422924901433</v>
          </cell>
          <cell r="G873">
            <v>31.380355731224441</v>
          </cell>
          <cell r="H873">
            <v>31.380355731224441</v>
          </cell>
          <cell r="I873" t="e">
            <v>#N/A</v>
          </cell>
          <cell r="J873" t="e">
            <v>#N/A</v>
          </cell>
          <cell r="K873">
            <v>42</v>
          </cell>
          <cell r="L873">
            <v>32</v>
          </cell>
          <cell r="M873" t="e">
            <v>#N/A</v>
          </cell>
          <cell r="N873">
            <v>37</v>
          </cell>
          <cell r="O873" t="e">
            <v>#N/A</v>
          </cell>
          <cell r="P873" t="str">
            <v/>
          </cell>
          <cell r="Q873" t="str">
            <v/>
          </cell>
          <cell r="R873" t="e">
            <v>#N/A</v>
          </cell>
        </row>
        <row r="874">
          <cell r="A874" t="str">
            <v/>
          </cell>
          <cell r="B874" t="str">
            <v/>
          </cell>
          <cell r="C874" t="str">
            <v>Future</v>
          </cell>
          <cell r="D874" t="e">
            <v>#N/A</v>
          </cell>
          <cell r="E874">
            <v>-8.4716996047429802</v>
          </cell>
          <cell r="F874">
            <v>43.82079051383424</v>
          </cell>
          <cell r="G874">
            <v>31.370197628457642</v>
          </cell>
          <cell r="H874">
            <v>31.370197628457642</v>
          </cell>
          <cell r="I874" t="e">
            <v>#N/A</v>
          </cell>
          <cell r="J874" t="e">
            <v>#N/A</v>
          </cell>
          <cell r="K874">
            <v>42</v>
          </cell>
          <cell r="L874">
            <v>32</v>
          </cell>
          <cell r="M874" t="e">
            <v>#N/A</v>
          </cell>
          <cell r="N874">
            <v>37</v>
          </cell>
          <cell r="O874" t="e">
            <v>#N/A</v>
          </cell>
          <cell r="P874" t="str">
            <v/>
          </cell>
          <cell r="Q874" t="str">
            <v/>
          </cell>
          <cell r="R874" t="e">
            <v>#N/A</v>
          </cell>
        </row>
        <row r="875">
          <cell r="A875" t="str">
            <v/>
          </cell>
          <cell r="B875" t="str">
            <v/>
          </cell>
          <cell r="C875" t="str">
            <v>Future</v>
          </cell>
          <cell r="D875" t="e">
            <v>#N/A</v>
          </cell>
          <cell r="E875">
            <v>-8.608339920948513</v>
          </cell>
          <cell r="F875">
            <v>43.850158102767047</v>
          </cell>
          <cell r="G875">
            <v>31.360039525690844</v>
          </cell>
          <cell r="H875">
            <v>31.360039525690844</v>
          </cell>
          <cell r="I875" t="e">
            <v>#N/A</v>
          </cell>
          <cell r="J875" t="e">
            <v>#N/A</v>
          </cell>
          <cell r="K875">
            <v>42</v>
          </cell>
          <cell r="L875">
            <v>32</v>
          </cell>
          <cell r="M875" t="e">
            <v>#N/A</v>
          </cell>
          <cell r="N875">
            <v>37</v>
          </cell>
          <cell r="O875" t="e">
            <v>#N/A</v>
          </cell>
          <cell r="P875" t="str">
            <v/>
          </cell>
          <cell r="Q875" t="str">
            <v/>
          </cell>
          <cell r="R875" t="e">
            <v>#N/A</v>
          </cell>
        </row>
        <row r="876">
          <cell r="A876" t="str">
            <v/>
          </cell>
          <cell r="B876" t="str">
            <v/>
          </cell>
          <cell r="C876" t="str">
            <v>Future</v>
          </cell>
          <cell r="D876" t="e">
            <v>#N/A</v>
          </cell>
          <cell r="E876">
            <v>-8.7449802371540457</v>
          </cell>
          <cell r="F876">
            <v>43.879525691699854</v>
          </cell>
          <cell r="G876">
            <v>31.349881422924046</v>
          </cell>
          <cell r="H876">
            <v>31.349881422924046</v>
          </cell>
          <cell r="I876" t="e">
            <v>#N/A</v>
          </cell>
          <cell r="J876" t="e">
            <v>#N/A</v>
          </cell>
          <cell r="K876">
            <v>42</v>
          </cell>
          <cell r="L876">
            <v>32</v>
          </cell>
          <cell r="M876" t="e">
            <v>#N/A</v>
          </cell>
          <cell r="N876">
            <v>37</v>
          </cell>
          <cell r="O876" t="e">
            <v>#N/A</v>
          </cell>
          <cell r="P876" t="str">
            <v/>
          </cell>
          <cell r="Q876" t="str">
            <v/>
          </cell>
          <cell r="R876" t="e">
            <v>#N/A</v>
          </cell>
        </row>
        <row r="877">
          <cell r="A877" t="str">
            <v/>
          </cell>
          <cell r="B877" t="str">
            <v/>
          </cell>
          <cell r="C877" t="str">
            <v>Future</v>
          </cell>
          <cell r="D877" t="e">
            <v>#N/A</v>
          </cell>
          <cell r="E877">
            <v>-8.8816205533595785</v>
          </cell>
          <cell r="F877">
            <v>43.908893280632661</v>
          </cell>
          <cell r="G877">
            <v>31.339723320157248</v>
          </cell>
          <cell r="H877">
            <v>31.339723320157248</v>
          </cell>
          <cell r="I877" t="e">
            <v>#N/A</v>
          </cell>
          <cell r="J877" t="e">
            <v>#N/A</v>
          </cell>
          <cell r="K877">
            <v>42</v>
          </cell>
          <cell r="L877">
            <v>32</v>
          </cell>
          <cell r="M877" t="e">
            <v>#N/A</v>
          </cell>
          <cell r="N877">
            <v>37</v>
          </cell>
          <cell r="O877" t="e">
            <v>#N/A</v>
          </cell>
          <cell r="P877" t="str">
            <v/>
          </cell>
          <cell r="Q877" t="str">
            <v/>
          </cell>
          <cell r="R877" t="e">
            <v>#N/A</v>
          </cell>
        </row>
        <row r="878">
          <cell r="A878" t="str">
            <v/>
          </cell>
          <cell r="B878" t="str">
            <v/>
          </cell>
          <cell r="C878" t="str">
            <v>Future</v>
          </cell>
          <cell r="D878" t="e">
            <v>#N/A</v>
          </cell>
          <cell r="E878">
            <v>-9.0182608695651112</v>
          </cell>
          <cell r="F878">
            <v>43.938260869565468</v>
          </cell>
          <cell r="G878">
            <v>31.329565217390449</v>
          </cell>
          <cell r="H878">
            <v>31.329565217390449</v>
          </cell>
          <cell r="I878" t="e">
            <v>#N/A</v>
          </cell>
          <cell r="J878" t="e">
            <v>#N/A</v>
          </cell>
          <cell r="K878">
            <v>42</v>
          </cell>
          <cell r="L878">
            <v>32</v>
          </cell>
          <cell r="M878" t="e">
            <v>#N/A</v>
          </cell>
          <cell r="N878">
            <v>37</v>
          </cell>
          <cell r="O878" t="e">
            <v>#N/A</v>
          </cell>
          <cell r="P878" t="str">
            <v/>
          </cell>
          <cell r="Q878" t="str">
            <v/>
          </cell>
          <cell r="R878" t="e">
            <v>#N/A</v>
          </cell>
        </row>
        <row r="879">
          <cell r="A879" t="str">
            <v/>
          </cell>
          <cell r="B879" t="str">
            <v/>
          </cell>
          <cell r="C879" t="str">
            <v>Future</v>
          </cell>
          <cell r="D879" t="e">
            <v>#N/A</v>
          </cell>
          <cell r="E879">
            <v>-9.1549011857706439</v>
          </cell>
          <cell r="F879">
            <v>43.967628458498275</v>
          </cell>
          <cell r="G879">
            <v>31.319407114623651</v>
          </cell>
          <cell r="H879">
            <v>31.319407114623651</v>
          </cell>
          <cell r="I879" t="e">
            <v>#N/A</v>
          </cell>
          <cell r="J879" t="e">
            <v>#N/A</v>
          </cell>
          <cell r="K879">
            <v>42</v>
          </cell>
          <cell r="L879">
            <v>32</v>
          </cell>
          <cell r="M879" t="e">
            <v>#N/A</v>
          </cell>
          <cell r="N879">
            <v>37</v>
          </cell>
          <cell r="O879" t="e">
            <v>#N/A</v>
          </cell>
          <cell r="P879" t="str">
            <v/>
          </cell>
          <cell r="Q879" t="str">
            <v/>
          </cell>
          <cell r="R879" t="e">
            <v>#N/A</v>
          </cell>
        </row>
        <row r="880">
          <cell r="A880" t="str">
            <v/>
          </cell>
          <cell r="B880" t="str">
            <v/>
          </cell>
          <cell r="C880" t="str">
            <v>Future</v>
          </cell>
          <cell r="D880" t="e">
            <v>#N/A</v>
          </cell>
          <cell r="E880">
            <v>-9.2915415019761767</v>
          </cell>
          <cell r="F880">
            <v>43.996996047431082</v>
          </cell>
          <cell r="G880">
            <v>31.309249011856853</v>
          </cell>
          <cell r="H880">
            <v>31.309249011856853</v>
          </cell>
          <cell r="I880" t="e">
            <v>#N/A</v>
          </cell>
          <cell r="J880" t="e">
            <v>#N/A</v>
          </cell>
          <cell r="K880">
            <v>42</v>
          </cell>
          <cell r="L880">
            <v>32</v>
          </cell>
          <cell r="M880" t="e">
            <v>#N/A</v>
          </cell>
          <cell r="N880">
            <v>37</v>
          </cell>
          <cell r="O880" t="e">
            <v>#N/A</v>
          </cell>
          <cell r="P880" t="str">
            <v/>
          </cell>
          <cell r="Q880" t="str">
            <v/>
          </cell>
          <cell r="R880" t="e">
            <v>#N/A</v>
          </cell>
        </row>
        <row r="881">
          <cell r="A881" t="str">
            <v/>
          </cell>
          <cell r="B881" t="str">
            <v/>
          </cell>
          <cell r="C881" t="str">
            <v>Future</v>
          </cell>
          <cell r="D881" t="e">
            <v>#N/A</v>
          </cell>
          <cell r="E881">
            <v>-9.4281818181817094</v>
          </cell>
          <cell r="F881">
            <v>44.026363636363889</v>
          </cell>
          <cell r="G881">
            <v>31.299090909090054</v>
          </cell>
          <cell r="H881">
            <v>31.299090909090054</v>
          </cell>
          <cell r="I881" t="e">
            <v>#N/A</v>
          </cell>
          <cell r="J881" t="e">
            <v>#N/A</v>
          </cell>
          <cell r="K881">
            <v>42</v>
          </cell>
          <cell r="L881">
            <v>32</v>
          </cell>
          <cell r="M881" t="e">
            <v>#N/A</v>
          </cell>
          <cell r="N881">
            <v>37</v>
          </cell>
          <cell r="O881" t="e">
            <v>#N/A</v>
          </cell>
          <cell r="P881" t="str">
            <v/>
          </cell>
          <cell r="Q881" t="str">
            <v/>
          </cell>
          <cell r="R881" t="e">
            <v>#N/A</v>
          </cell>
        </row>
        <row r="882">
          <cell r="A882" t="str">
            <v/>
          </cell>
          <cell r="B882" t="str">
            <v/>
          </cell>
          <cell r="C882" t="str">
            <v>Future</v>
          </cell>
          <cell r="D882" t="e">
            <v>#N/A</v>
          </cell>
          <cell r="E882">
            <v>-9.5648221343872422</v>
          </cell>
          <cell r="F882">
            <v>44.055731225296697</v>
          </cell>
          <cell r="G882">
            <v>31.288932806323256</v>
          </cell>
          <cell r="H882">
            <v>31.288932806323256</v>
          </cell>
          <cell r="I882" t="e">
            <v>#N/A</v>
          </cell>
          <cell r="J882" t="e">
            <v>#N/A</v>
          </cell>
          <cell r="K882">
            <v>42</v>
          </cell>
          <cell r="L882">
            <v>32</v>
          </cell>
          <cell r="M882" t="e">
            <v>#N/A</v>
          </cell>
          <cell r="N882">
            <v>37</v>
          </cell>
          <cell r="O882" t="e">
            <v>#N/A</v>
          </cell>
          <cell r="P882" t="str">
            <v/>
          </cell>
          <cell r="Q882" t="str">
            <v/>
          </cell>
          <cell r="R882" t="e">
            <v>#N/A</v>
          </cell>
        </row>
        <row r="883">
          <cell r="A883" t="str">
            <v/>
          </cell>
          <cell r="B883" t="str">
            <v/>
          </cell>
          <cell r="C883" t="str">
            <v>Future</v>
          </cell>
          <cell r="D883" t="e">
            <v>#N/A</v>
          </cell>
          <cell r="E883">
            <v>-9.7014624505927749</v>
          </cell>
          <cell r="F883">
            <v>44.085098814229504</v>
          </cell>
          <cell r="G883">
            <v>31.278774703556458</v>
          </cell>
          <cell r="H883">
            <v>31.278774703556458</v>
          </cell>
          <cell r="I883" t="e">
            <v>#N/A</v>
          </cell>
          <cell r="J883" t="e">
            <v>#N/A</v>
          </cell>
          <cell r="K883">
            <v>42</v>
          </cell>
          <cell r="L883">
            <v>32</v>
          </cell>
          <cell r="M883" t="e">
            <v>#N/A</v>
          </cell>
          <cell r="N883">
            <v>37</v>
          </cell>
          <cell r="O883" t="e">
            <v>#N/A</v>
          </cell>
          <cell r="P883" t="str">
            <v/>
          </cell>
          <cell r="Q883" t="str">
            <v/>
          </cell>
          <cell r="R883" t="e">
            <v>#N/A</v>
          </cell>
        </row>
        <row r="884">
          <cell r="A884" t="str">
            <v/>
          </cell>
          <cell r="B884" t="str">
            <v/>
          </cell>
          <cell r="C884" t="str">
            <v>Future</v>
          </cell>
          <cell r="D884" t="e">
            <v>#N/A</v>
          </cell>
          <cell r="E884">
            <v>-9.8381027667983076</v>
          </cell>
          <cell r="F884">
            <v>44.114466403162311</v>
          </cell>
          <cell r="G884">
            <v>31.26861660078966</v>
          </cell>
          <cell r="H884">
            <v>31.26861660078966</v>
          </cell>
          <cell r="I884" t="e">
            <v>#N/A</v>
          </cell>
          <cell r="J884" t="e">
            <v>#N/A</v>
          </cell>
          <cell r="K884">
            <v>42</v>
          </cell>
          <cell r="L884">
            <v>32</v>
          </cell>
          <cell r="M884" t="e">
            <v>#N/A</v>
          </cell>
          <cell r="N884">
            <v>37</v>
          </cell>
          <cell r="O884" t="e">
            <v>#N/A</v>
          </cell>
          <cell r="P884" t="str">
            <v/>
          </cell>
          <cell r="Q884" t="str">
            <v/>
          </cell>
          <cell r="R884" t="e">
            <v>#N/A</v>
          </cell>
        </row>
        <row r="885">
          <cell r="A885" t="str">
            <v/>
          </cell>
          <cell r="B885" t="str">
            <v/>
          </cell>
          <cell r="C885" t="str">
            <v>Future</v>
          </cell>
          <cell r="D885" t="e">
            <v>#N/A</v>
          </cell>
          <cell r="E885">
            <v>-9.9747430830038404</v>
          </cell>
          <cell r="F885">
            <v>44.143833992095118</v>
          </cell>
          <cell r="G885">
            <v>31.258458498022861</v>
          </cell>
          <cell r="H885">
            <v>31.258458498022861</v>
          </cell>
          <cell r="I885" t="e">
            <v>#N/A</v>
          </cell>
          <cell r="J885" t="e">
            <v>#N/A</v>
          </cell>
          <cell r="K885">
            <v>42</v>
          </cell>
          <cell r="L885">
            <v>32</v>
          </cell>
          <cell r="M885" t="e">
            <v>#N/A</v>
          </cell>
          <cell r="N885">
            <v>37</v>
          </cell>
          <cell r="O885" t="e">
            <v>#N/A</v>
          </cell>
          <cell r="P885" t="str">
            <v/>
          </cell>
          <cell r="Q885" t="str">
            <v/>
          </cell>
          <cell r="R885" t="e">
            <v>#N/A</v>
          </cell>
        </row>
        <row r="886">
          <cell r="A886" t="str">
            <v/>
          </cell>
          <cell r="B886" t="str">
            <v/>
          </cell>
          <cell r="C886" t="str">
            <v>Future</v>
          </cell>
          <cell r="D886" t="e">
            <v>#N/A</v>
          </cell>
          <cell r="E886">
            <v>-10.111383399209373</v>
          </cell>
          <cell r="F886">
            <v>44.173201581027925</v>
          </cell>
          <cell r="G886">
            <v>31.248300395256063</v>
          </cell>
          <cell r="H886">
            <v>31.248300395256063</v>
          </cell>
          <cell r="I886" t="e">
            <v>#N/A</v>
          </cell>
          <cell r="J886" t="e">
            <v>#N/A</v>
          </cell>
          <cell r="K886">
            <v>42</v>
          </cell>
          <cell r="L886">
            <v>32</v>
          </cell>
          <cell r="M886" t="e">
            <v>#N/A</v>
          </cell>
          <cell r="N886">
            <v>37</v>
          </cell>
          <cell r="O886" t="e">
            <v>#N/A</v>
          </cell>
          <cell r="P886" t="str">
            <v/>
          </cell>
          <cell r="Q886" t="str">
            <v/>
          </cell>
          <cell r="R886" t="e">
            <v>#N/A</v>
          </cell>
        </row>
        <row r="887">
          <cell r="A887" t="str">
            <v/>
          </cell>
          <cell r="B887" t="str">
            <v/>
          </cell>
          <cell r="C887" t="str">
            <v>Future</v>
          </cell>
          <cell r="D887" t="e">
            <v>#N/A</v>
          </cell>
          <cell r="E887">
            <v>-10.248023715414906</v>
          </cell>
          <cell r="F887">
            <v>44.202569169960732</v>
          </cell>
          <cell r="G887">
            <v>31.238142292489265</v>
          </cell>
          <cell r="H887">
            <v>31.238142292489265</v>
          </cell>
          <cell r="I887" t="e">
            <v>#N/A</v>
          </cell>
          <cell r="J887" t="e">
            <v>#N/A</v>
          </cell>
          <cell r="K887">
            <v>42</v>
          </cell>
          <cell r="L887">
            <v>32</v>
          </cell>
          <cell r="M887" t="e">
            <v>#N/A</v>
          </cell>
          <cell r="N887">
            <v>37</v>
          </cell>
          <cell r="O887" t="e">
            <v>#N/A</v>
          </cell>
          <cell r="P887" t="str">
            <v/>
          </cell>
          <cell r="Q887" t="str">
            <v/>
          </cell>
          <cell r="R887" t="e">
            <v>#N/A</v>
          </cell>
        </row>
        <row r="888">
          <cell r="A888" t="str">
            <v/>
          </cell>
          <cell r="B888" t="str">
            <v/>
          </cell>
          <cell r="C888" t="str">
            <v>Future</v>
          </cell>
          <cell r="D888" t="e">
            <v>#N/A</v>
          </cell>
          <cell r="E888">
            <v>-10.384664031620439</v>
          </cell>
          <cell r="F888">
            <v>44.231936758893539</v>
          </cell>
          <cell r="G888">
            <v>31.227984189722466</v>
          </cell>
          <cell r="H888">
            <v>31.227984189722466</v>
          </cell>
          <cell r="I888" t="e">
            <v>#N/A</v>
          </cell>
          <cell r="J888" t="e">
            <v>#N/A</v>
          </cell>
          <cell r="K888">
            <v>42</v>
          </cell>
          <cell r="L888">
            <v>32</v>
          </cell>
          <cell r="M888" t="e">
            <v>#N/A</v>
          </cell>
          <cell r="N888">
            <v>37</v>
          </cell>
          <cell r="O888" t="e">
            <v>#N/A</v>
          </cell>
          <cell r="P888" t="str">
            <v/>
          </cell>
          <cell r="Q888" t="str">
            <v/>
          </cell>
          <cell r="R888" t="e">
            <v>#N/A</v>
          </cell>
        </row>
        <row r="889">
          <cell r="A889" t="str">
            <v/>
          </cell>
          <cell r="B889" t="str">
            <v/>
          </cell>
          <cell r="C889" t="str">
            <v>Future</v>
          </cell>
          <cell r="D889" t="e">
            <v>#N/A</v>
          </cell>
          <cell r="E889">
            <v>-10.521304347825971</v>
          </cell>
          <cell r="F889">
            <v>44.261304347826346</v>
          </cell>
          <cell r="G889">
            <v>31.217826086955668</v>
          </cell>
          <cell r="H889">
            <v>31.217826086955668</v>
          </cell>
          <cell r="I889" t="e">
            <v>#N/A</v>
          </cell>
          <cell r="J889" t="e">
            <v>#N/A</v>
          </cell>
          <cell r="K889">
            <v>42</v>
          </cell>
          <cell r="L889">
            <v>32</v>
          </cell>
          <cell r="M889" t="e">
            <v>#N/A</v>
          </cell>
          <cell r="N889">
            <v>37</v>
          </cell>
          <cell r="O889" t="e">
            <v>#N/A</v>
          </cell>
          <cell r="P889" t="str">
            <v/>
          </cell>
          <cell r="Q889" t="str">
            <v/>
          </cell>
          <cell r="R889" t="e">
            <v>#N/A</v>
          </cell>
        </row>
        <row r="890">
          <cell r="A890" t="str">
            <v/>
          </cell>
          <cell r="B890" t="str">
            <v/>
          </cell>
          <cell r="C890" t="str">
            <v>Future</v>
          </cell>
          <cell r="D890" t="e">
            <v>#N/A</v>
          </cell>
          <cell r="E890">
            <v>-10.657944664031504</v>
          </cell>
          <cell r="F890">
            <v>44.290671936759153</v>
          </cell>
          <cell r="G890">
            <v>31.20766798418887</v>
          </cell>
          <cell r="H890">
            <v>31.20766798418887</v>
          </cell>
          <cell r="I890" t="e">
            <v>#N/A</v>
          </cell>
          <cell r="J890" t="e">
            <v>#N/A</v>
          </cell>
          <cell r="K890">
            <v>42</v>
          </cell>
          <cell r="L890">
            <v>32</v>
          </cell>
          <cell r="M890" t="e">
            <v>#N/A</v>
          </cell>
          <cell r="N890">
            <v>37</v>
          </cell>
          <cell r="O890" t="e">
            <v>#N/A</v>
          </cell>
          <cell r="P890" t="str">
            <v/>
          </cell>
          <cell r="Q890" t="str">
            <v/>
          </cell>
          <cell r="R890" t="e">
            <v>#N/A</v>
          </cell>
        </row>
        <row r="891">
          <cell r="A891" t="str">
            <v/>
          </cell>
          <cell r="B891" t="str">
            <v/>
          </cell>
          <cell r="C891" t="str">
            <v>Future</v>
          </cell>
          <cell r="D891" t="e">
            <v>#N/A</v>
          </cell>
          <cell r="E891">
            <v>-10.794584980237037</v>
          </cell>
          <cell r="F891">
            <v>44.320039525691961</v>
          </cell>
          <cell r="G891">
            <v>31.197509881422071</v>
          </cell>
          <cell r="H891">
            <v>31.197509881422071</v>
          </cell>
          <cell r="I891" t="e">
            <v>#N/A</v>
          </cell>
          <cell r="J891" t="e">
            <v>#N/A</v>
          </cell>
          <cell r="K891">
            <v>42</v>
          </cell>
          <cell r="L891">
            <v>32</v>
          </cell>
          <cell r="M891" t="e">
            <v>#N/A</v>
          </cell>
          <cell r="N891">
            <v>37</v>
          </cell>
          <cell r="O891" t="e">
            <v>#N/A</v>
          </cell>
          <cell r="P891" t="str">
            <v/>
          </cell>
          <cell r="Q891" t="str">
            <v/>
          </cell>
          <cell r="R891" t="e">
            <v>#N/A</v>
          </cell>
        </row>
        <row r="892">
          <cell r="A892" t="str">
            <v/>
          </cell>
          <cell r="B892" t="str">
            <v/>
          </cell>
          <cell r="C892" t="str">
            <v>Future</v>
          </cell>
          <cell r="D892" t="e">
            <v>#N/A</v>
          </cell>
          <cell r="E892">
            <v>-10.93122529644257</v>
          </cell>
          <cell r="F892">
            <v>44.349407114624768</v>
          </cell>
          <cell r="G892">
            <v>31.187351778655273</v>
          </cell>
          <cell r="H892">
            <v>31.187351778655273</v>
          </cell>
          <cell r="I892" t="e">
            <v>#N/A</v>
          </cell>
          <cell r="J892" t="e">
            <v>#N/A</v>
          </cell>
          <cell r="K892">
            <v>42</v>
          </cell>
          <cell r="L892">
            <v>32</v>
          </cell>
          <cell r="M892" t="e">
            <v>#N/A</v>
          </cell>
          <cell r="N892">
            <v>37</v>
          </cell>
          <cell r="O892" t="e">
            <v>#N/A</v>
          </cell>
          <cell r="P892" t="str">
            <v/>
          </cell>
          <cell r="Q892" t="str">
            <v/>
          </cell>
          <cell r="R892" t="e">
            <v>#N/A</v>
          </cell>
        </row>
        <row r="893">
          <cell r="A893" t="str">
            <v/>
          </cell>
          <cell r="B893" t="str">
            <v/>
          </cell>
          <cell r="C893" t="str">
            <v>Future</v>
          </cell>
          <cell r="D893" t="e">
            <v>#N/A</v>
          </cell>
          <cell r="E893">
            <v>-11.067865612648102</v>
          </cell>
          <cell r="F893">
            <v>44.378774703557575</v>
          </cell>
          <cell r="G893">
            <v>31.177193675888475</v>
          </cell>
          <cell r="H893">
            <v>31.177193675888475</v>
          </cell>
          <cell r="I893" t="e">
            <v>#N/A</v>
          </cell>
          <cell r="J893" t="e">
            <v>#N/A</v>
          </cell>
          <cell r="K893">
            <v>42</v>
          </cell>
          <cell r="L893">
            <v>32</v>
          </cell>
          <cell r="M893" t="e">
            <v>#N/A</v>
          </cell>
          <cell r="N893">
            <v>37</v>
          </cell>
          <cell r="O893" t="e">
            <v>#N/A</v>
          </cell>
          <cell r="P893" t="str">
            <v/>
          </cell>
          <cell r="Q893" t="str">
            <v/>
          </cell>
          <cell r="R893" t="e">
            <v>#N/A</v>
          </cell>
        </row>
        <row r="894">
          <cell r="A894" t="str">
            <v/>
          </cell>
          <cell r="B894" t="str">
            <v/>
          </cell>
          <cell r="C894" t="str">
            <v>Future</v>
          </cell>
          <cell r="D894" t="e">
            <v>#N/A</v>
          </cell>
          <cell r="E894">
            <v>-11.204505928853635</v>
          </cell>
          <cell r="F894">
            <v>44.408142292490382</v>
          </cell>
          <cell r="G894">
            <v>31.167035573121677</v>
          </cell>
          <cell r="H894">
            <v>31.167035573121677</v>
          </cell>
          <cell r="I894" t="e">
            <v>#N/A</v>
          </cell>
          <cell r="J894" t="e">
            <v>#N/A</v>
          </cell>
          <cell r="K894">
            <v>42</v>
          </cell>
          <cell r="L894">
            <v>32</v>
          </cell>
          <cell r="M894" t="e">
            <v>#N/A</v>
          </cell>
          <cell r="N894">
            <v>37</v>
          </cell>
          <cell r="O894" t="e">
            <v>#N/A</v>
          </cell>
          <cell r="P894" t="str">
            <v/>
          </cell>
          <cell r="Q894" t="str">
            <v/>
          </cell>
          <cell r="R894" t="e">
            <v>#N/A</v>
          </cell>
        </row>
        <row r="895">
          <cell r="A895" t="str">
            <v/>
          </cell>
          <cell r="B895" t="str">
            <v/>
          </cell>
          <cell r="C895" t="str">
            <v>Future</v>
          </cell>
          <cell r="D895" t="e">
            <v>#N/A</v>
          </cell>
          <cell r="E895">
            <v>-11.341146245059168</v>
          </cell>
          <cell r="F895">
            <v>44.437509881423189</v>
          </cell>
          <cell r="G895">
            <v>31.156877470354878</v>
          </cell>
          <cell r="H895">
            <v>31.156877470354878</v>
          </cell>
          <cell r="I895" t="e">
            <v>#N/A</v>
          </cell>
          <cell r="J895" t="e">
            <v>#N/A</v>
          </cell>
          <cell r="K895">
            <v>42</v>
          </cell>
          <cell r="L895">
            <v>32</v>
          </cell>
          <cell r="M895" t="e">
            <v>#N/A</v>
          </cell>
          <cell r="N895">
            <v>37</v>
          </cell>
          <cell r="O895" t="e">
            <v>#N/A</v>
          </cell>
          <cell r="P895" t="str">
            <v/>
          </cell>
          <cell r="Q895" t="str">
            <v/>
          </cell>
          <cell r="R895" t="e">
            <v>#N/A</v>
          </cell>
        </row>
        <row r="896">
          <cell r="A896" t="str">
            <v/>
          </cell>
          <cell r="B896" t="str">
            <v/>
          </cell>
          <cell r="C896" t="str">
            <v>Future</v>
          </cell>
          <cell r="D896" t="e">
            <v>#N/A</v>
          </cell>
          <cell r="E896">
            <v>-11.477786561264701</v>
          </cell>
          <cell r="F896">
            <v>44.466877470355996</v>
          </cell>
          <cell r="G896">
            <v>31.14671936758808</v>
          </cell>
          <cell r="H896">
            <v>31.14671936758808</v>
          </cell>
          <cell r="I896" t="e">
            <v>#N/A</v>
          </cell>
          <cell r="J896" t="e">
            <v>#N/A</v>
          </cell>
          <cell r="K896">
            <v>42</v>
          </cell>
          <cell r="L896">
            <v>32</v>
          </cell>
          <cell r="M896" t="e">
            <v>#N/A</v>
          </cell>
          <cell r="N896">
            <v>37</v>
          </cell>
          <cell r="O896" t="e">
            <v>#N/A</v>
          </cell>
          <cell r="P896" t="str">
            <v/>
          </cell>
          <cell r="Q896" t="str">
            <v/>
          </cell>
          <cell r="R896" t="e">
            <v>#N/A</v>
          </cell>
        </row>
        <row r="897">
          <cell r="A897" t="str">
            <v/>
          </cell>
          <cell r="B897" t="str">
            <v/>
          </cell>
          <cell r="C897" t="str">
            <v>Future</v>
          </cell>
          <cell r="D897" t="e">
            <v>#N/A</v>
          </cell>
          <cell r="E897">
            <v>-11.614426877470233</v>
          </cell>
          <cell r="F897">
            <v>44.496245059288803</v>
          </cell>
          <cell r="G897">
            <v>31.136561264821282</v>
          </cell>
          <cell r="H897">
            <v>31.136561264821282</v>
          </cell>
          <cell r="I897" t="e">
            <v>#N/A</v>
          </cell>
          <cell r="J897" t="e">
            <v>#N/A</v>
          </cell>
          <cell r="K897">
            <v>42</v>
          </cell>
          <cell r="L897">
            <v>32</v>
          </cell>
          <cell r="M897" t="e">
            <v>#N/A</v>
          </cell>
          <cell r="N897">
            <v>37</v>
          </cell>
          <cell r="O897" t="e">
            <v>#N/A</v>
          </cell>
          <cell r="P897" t="str">
            <v/>
          </cell>
          <cell r="Q897" t="str">
            <v/>
          </cell>
          <cell r="R897" t="e">
            <v>#N/A</v>
          </cell>
        </row>
        <row r="898">
          <cell r="A898" t="str">
            <v/>
          </cell>
          <cell r="B898" t="str">
            <v/>
          </cell>
          <cell r="C898" t="str">
            <v>Future</v>
          </cell>
          <cell r="D898" t="e">
            <v>#N/A</v>
          </cell>
          <cell r="E898">
            <v>-11.751067193675766</v>
          </cell>
          <cell r="F898">
            <v>44.52561264822161</v>
          </cell>
          <cell r="G898">
            <v>31.126403162054483</v>
          </cell>
          <cell r="H898">
            <v>31.126403162054483</v>
          </cell>
          <cell r="I898" t="e">
            <v>#N/A</v>
          </cell>
          <cell r="J898" t="e">
            <v>#N/A</v>
          </cell>
          <cell r="K898">
            <v>42</v>
          </cell>
          <cell r="L898">
            <v>32</v>
          </cell>
          <cell r="M898" t="e">
            <v>#N/A</v>
          </cell>
          <cell r="N898">
            <v>37</v>
          </cell>
          <cell r="O898" t="e">
            <v>#N/A</v>
          </cell>
          <cell r="P898" t="str">
            <v/>
          </cell>
          <cell r="Q898" t="str">
            <v/>
          </cell>
          <cell r="R898" t="e">
            <v>#N/A</v>
          </cell>
        </row>
        <row r="899">
          <cell r="A899" t="str">
            <v/>
          </cell>
          <cell r="B899" t="str">
            <v/>
          </cell>
          <cell r="C899" t="str">
            <v>Future</v>
          </cell>
          <cell r="D899" t="e">
            <v>#N/A</v>
          </cell>
          <cell r="E899">
            <v>-11.887707509881299</v>
          </cell>
          <cell r="F899">
            <v>44.554980237154417</v>
          </cell>
          <cell r="G899">
            <v>31.116245059287685</v>
          </cell>
          <cell r="H899">
            <v>31.116245059287685</v>
          </cell>
          <cell r="I899" t="e">
            <v>#N/A</v>
          </cell>
          <cell r="J899" t="e">
            <v>#N/A</v>
          </cell>
          <cell r="K899">
            <v>42</v>
          </cell>
          <cell r="L899">
            <v>32</v>
          </cell>
          <cell r="M899" t="e">
            <v>#N/A</v>
          </cell>
          <cell r="N899">
            <v>37</v>
          </cell>
          <cell r="O899" t="e">
            <v>#N/A</v>
          </cell>
          <cell r="P899" t="str">
            <v/>
          </cell>
          <cell r="Q899" t="str">
            <v/>
          </cell>
          <cell r="R899" t="e">
            <v>#N/A</v>
          </cell>
        </row>
        <row r="900">
          <cell r="A900" t="str">
            <v/>
          </cell>
          <cell r="B900" t="str">
            <v/>
          </cell>
          <cell r="C900" t="str">
            <v>Future</v>
          </cell>
          <cell r="D900" t="e">
            <v>#N/A</v>
          </cell>
          <cell r="E900">
            <v>-12.024347826086832</v>
          </cell>
          <cell r="F900">
            <v>44.584347826087225</v>
          </cell>
          <cell r="G900">
            <v>31.106086956520887</v>
          </cell>
          <cell r="H900">
            <v>31.106086956520887</v>
          </cell>
          <cell r="I900" t="e">
            <v>#N/A</v>
          </cell>
          <cell r="J900" t="e">
            <v>#N/A</v>
          </cell>
          <cell r="K900">
            <v>42</v>
          </cell>
          <cell r="L900">
            <v>32</v>
          </cell>
          <cell r="M900" t="e">
            <v>#N/A</v>
          </cell>
          <cell r="N900">
            <v>37</v>
          </cell>
          <cell r="O900" t="e">
            <v>#N/A</v>
          </cell>
          <cell r="P900" t="str">
            <v/>
          </cell>
          <cell r="Q900" t="str">
            <v/>
          </cell>
          <cell r="R900" t="e">
            <v>#N/A</v>
          </cell>
        </row>
        <row r="901">
          <cell r="A901" t="str">
            <v/>
          </cell>
          <cell r="B901" t="str">
            <v/>
          </cell>
          <cell r="C901" t="str">
            <v>Future</v>
          </cell>
          <cell r="D901" t="e">
            <v>#N/A</v>
          </cell>
          <cell r="E901">
            <v>-12.160988142292364</v>
          </cell>
          <cell r="F901">
            <v>44.613715415020032</v>
          </cell>
          <cell r="G901">
            <v>31.095928853754089</v>
          </cell>
          <cell r="H901">
            <v>31.095928853754089</v>
          </cell>
          <cell r="I901" t="e">
            <v>#N/A</v>
          </cell>
          <cell r="J901" t="e">
            <v>#N/A</v>
          </cell>
          <cell r="K901">
            <v>42</v>
          </cell>
          <cell r="L901">
            <v>32</v>
          </cell>
          <cell r="M901" t="e">
            <v>#N/A</v>
          </cell>
          <cell r="N901">
            <v>37</v>
          </cell>
          <cell r="O901" t="e">
            <v>#N/A</v>
          </cell>
          <cell r="P901" t="str">
            <v/>
          </cell>
          <cell r="Q901" t="str">
            <v/>
          </cell>
          <cell r="R901" t="e">
            <v>#N/A</v>
          </cell>
        </row>
        <row r="902">
          <cell r="A902" t="str">
            <v/>
          </cell>
          <cell r="B902" t="str">
            <v/>
          </cell>
          <cell r="C902" t="str">
            <v>Future</v>
          </cell>
          <cell r="D902" t="e">
            <v>#N/A</v>
          </cell>
          <cell r="E902">
            <v>-12.297628458497897</v>
          </cell>
          <cell r="F902">
            <v>44.643083003952839</v>
          </cell>
          <cell r="G902">
            <v>31.08577075098729</v>
          </cell>
          <cell r="H902">
            <v>31.08577075098729</v>
          </cell>
          <cell r="I902" t="e">
            <v>#N/A</v>
          </cell>
          <cell r="J902" t="e">
            <v>#N/A</v>
          </cell>
          <cell r="K902">
            <v>42</v>
          </cell>
          <cell r="L902">
            <v>32</v>
          </cell>
          <cell r="M902" t="e">
            <v>#N/A</v>
          </cell>
          <cell r="N902">
            <v>37</v>
          </cell>
          <cell r="O902" t="e">
            <v>#N/A</v>
          </cell>
          <cell r="P902" t="str">
            <v/>
          </cell>
          <cell r="Q902" t="str">
            <v/>
          </cell>
          <cell r="R902" t="e">
            <v>#N/A</v>
          </cell>
        </row>
        <row r="903">
          <cell r="A903" t="str">
            <v/>
          </cell>
          <cell r="B903" t="str">
            <v/>
          </cell>
          <cell r="C903" t="str">
            <v>Future</v>
          </cell>
          <cell r="D903" t="e">
            <v>#N/A</v>
          </cell>
          <cell r="E903">
            <v>-12.43426877470343</v>
          </cell>
          <cell r="F903">
            <v>44.672450592885646</v>
          </cell>
          <cell r="G903">
            <v>31.075612648220492</v>
          </cell>
          <cell r="H903">
            <v>31.075612648220492</v>
          </cell>
          <cell r="I903" t="e">
            <v>#N/A</v>
          </cell>
          <cell r="J903" t="e">
            <v>#N/A</v>
          </cell>
          <cell r="K903">
            <v>42</v>
          </cell>
          <cell r="L903">
            <v>32</v>
          </cell>
          <cell r="M903" t="e">
            <v>#N/A</v>
          </cell>
          <cell r="N903">
            <v>37</v>
          </cell>
          <cell r="O903" t="e">
            <v>#N/A</v>
          </cell>
          <cell r="P903" t="str">
            <v/>
          </cell>
          <cell r="Q903" t="str">
            <v/>
          </cell>
          <cell r="R903" t="e">
            <v>#N/A</v>
          </cell>
        </row>
        <row r="904">
          <cell r="A904" t="str">
            <v/>
          </cell>
          <cell r="B904" t="str">
            <v/>
          </cell>
          <cell r="C904" t="str">
            <v>Future</v>
          </cell>
          <cell r="D904" t="e">
            <v>#N/A</v>
          </cell>
          <cell r="E904">
            <v>-12.570909090908962</v>
          </cell>
          <cell r="F904">
            <v>44.701818181818453</v>
          </cell>
          <cell r="G904">
            <v>31.065454545453694</v>
          </cell>
          <cell r="H904">
            <v>31.065454545453694</v>
          </cell>
          <cell r="I904" t="e">
            <v>#N/A</v>
          </cell>
          <cell r="J904" t="e">
            <v>#N/A</v>
          </cell>
          <cell r="K904">
            <v>42</v>
          </cell>
          <cell r="L904">
            <v>32</v>
          </cell>
          <cell r="M904" t="e">
            <v>#N/A</v>
          </cell>
          <cell r="N904">
            <v>37</v>
          </cell>
          <cell r="O904" t="e">
            <v>#N/A</v>
          </cell>
          <cell r="P904" t="str">
            <v/>
          </cell>
          <cell r="Q904" t="str">
            <v/>
          </cell>
          <cell r="R904" t="e">
            <v>#N/A</v>
          </cell>
        </row>
        <row r="905">
          <cell r="A905" t="str">
            <v/>
          </cell>
          <cell r="B905" t="str">
            <v/>
          </cell>
          <cell r="C905" t="str">
            <v>Future</v>
          </cell>
          <cell r="D905" t="e">
            <v>#N/A</v>
          </cell>
          <cell r="E905">
            <v>-12.707549407114495</v>
          </cell>
          <cell r="F905">
            <v>44.73118577075126</v>
          </cell>
          <cell r="G905">
            <v>31.055296442686895</v>
          </cell>
          <cell r="H905">
            <v>31.055296442686895</v>
          </cell>
          <cell r="I905" t="e">
            <v>#N/A</v>
          </cell>
          <cell r="J905" t="e">
            <v>#N/A</v>
          </cell>
          <cell r="K905">
            <v>42</v>
          </cell>
          <cell r="L905">
            <v>32</v>
          </cell>
          <cell r="M905" t="e">
            <v>#N/A</v>
          </cell>
          <cell r="N905">
            <v>37</v>
          </cell>
          <cell r="O905" t="e">
            <v>#N/A</v>
          </cell>
          <cell r="P905" t="str">
            <v/>
          </cell>
          <cell r="Q905" t="str">
            <v/>
          </cell>
          <cell r="R905" t="e">
            <v>#N/A</v>
          </cell>
        </row>
        <row r="906">
          <cell r="A906" t="str">
            <v/>
          </cell>
          <cell r="B906" t="str">
            <v/>
          </cell>
          <cell r="C906" t="str">
            <v>Future</v>
          </cell>
          <cell r="D906" t="e">
            <v>#N/A</v>
          </cell>
          <cell r="E906">
            <v>-12.844189723320028</v>
          </cell>
          <cell r="F906">
            <v>44.760553359684067</v>
          </cell>
          <cell r="G906">
            <v>31.045138339920097</v>
          </cell>
          <cell r="H906">
            <v>31.045138339920097</v>
          </cell>
          <cell r="I906" t="e">
            <v>#N/A</v>
          </cell>
          <cell r="J906" t="e">
            <v>#N/A</v>
          </cell>
          <cell r="K906">
            <v>42</v>
          </cell>
          <cell r="L906">
            <v>32</v>
          </cell>
          <cell r="M906" t="e">
            <v>#N/A</v>
          </cell>
          <cell r="N906">
            <v>37</v>
          </cell>
          <cell r="O906" t="e">
            <v>#N/A</v>
          </cell>
          <cell r="P906" t="str">
            <v/>
          </cell>
          <cell r="Q906" t="str">
            <v/>
          </cell>
          <cell r="R906" t="e">
            <v>#N/A</v>
          </cell>
        </row>
        <row r="907">
          <cell r="A907" t="str">
            <v/>
          </cell>
          <cell r="B907" t="str">
            <v/>
          </cell>
          <cell r="C907" t="str">
            <v>Future</v>
          </cell>
          <cell r="D907" t="e">
            <v>#N/A</v>
          </cell>
          <cell r="E907">
            <v>-12.980830039525561</v>
          </cell>
          <cell r="F907">
            <v>44.789920948616874</v>
          </cell>
          <cell r="G907">
            <v>31.034980237153299</v>
          </cell>
          <cell r="H907">
            <v>31.034980237153299</v>
          </cell>
          <cell r="I907" t="e">
            <v>#N/A</v>
          </cell>
          <cell r="J907" t="e">
            <v>#N/A</v>
          </cell>
          <cell r="K907">
            <v>42</v>
          </cell>
          <cell r="L907">
            <v>32</v>
          </cell>
          <cell r="M907" t="e">
            <v>#N/A</v>
          </cell>
          <cell r="N907">
            <v>37</v>
          </cell>
          <cell r="O907" t="e">
            <v>#N/A</v>
          </cell>
          <cell r="P907" t="str">
            <v/>
          </cell>
          <cell r="Q907" t="str">
            <v/>
          </cell>
          <cell r="R907" t="e">
            <v>#N/A</v>
          </cell>
        </row>
        <row r="908">
          <cell r="A908" t="str">
            <v/>
          </cell>
          <cell r="B908" t="str">
            <v/>
          </cell>
          <cell r="C908" t="str">
            <v>Future</v>
          </cell>
          <cell r="D908" t="e">
            <v>#N/A</v>
          </cell>
          <cell r="E908">
            <v>-13.117470355731093</v>
          </cell>
          <cell r="F908">
            <v>44.819288537549681</v>
          </cell>
          <cell r="G908">
            <v>31.0248221343865</v>
          </cell>
          <cell r="H908">
            <v>31.0248221343865</v>
          </cell>
          <cell r="I908" t="e">
            <v>#N/A</v>
          </cell>
          <cell r="J908" t="e">
            <v>#N/A</v>
          </cell>
          <cell r="K908">
            <v>42</v>
          </cell>
          <cell r="L908">
            <v>32</v>
          </cell>
          <cell r="M908" t="e">
            <v>#N/A</v>
          </cell>
          <cell r="N908">
            <v>37</v>
          </cell>
          <cell r="O908" t="e">
            <v>#N/A</v>
          </cell>
          <cell r="P908" t="str">
            <v/>
          </cell>
          <cell r="Q908" t="str">
            <v/>
          </cell>
          <cell r="R908" t="e">
            <v>#N/A</v>
          </cell>
        </row>
        <row r="909">
          <cell r="A909" t="str">
            <v/>
          </cell>
          <cell r="B909" t="str">
            <v/>
          </cell>
          <cell r="C909" t="str">
            <v>Future</v>
          </cell>
          <cell r="D909" t="e">
            <v>#N/A</v>
          </cell>
          <cell r="E909">
            <v>-13.254110671936626</v>
          </cell>
          <cell r="F909">
            <v>44.848656126482489</v>
          </cell>
          <cell r="G909">
            <v>31.014664031619702</v>
          </cell>
          <cell r="H909">
            <v>31.014664031619702</v>
          </cell>
          <cell r="I909" t="e">
            <v>#N/A</v>
          </cell>
          <cell r="J909" t="e">
            <v>#N/A</v>
          </cell>
          <cell r="K909">
            <v>42</v>
          </cell>
          <cell r="L909">
            <v>32</v>
          </cell>
          <cell r="M909" t="e">
            <v>#N/A</v>
          </cell>
          <cell r="N909">
            <v>37</v>
          </cell>
          <cell r="O909" t="e">
            <v>#N/A</v>
          </cell>
          <cell r="P909" t="str">
            <v/>
          </cell>
          <cell r="Q909" t="str">
            <v/>
          </cell>
          <cell r="R909" t="e">
            <v>#N/A</v>
          </cell>
        </row>
        <row r="910">
          <cell r="A910" t="str">
            <v/>
          </cell>
          <cell r="B910" t="str">
            <v/>
          </cell>
          <cell r="C910" t="str">
            <v>Future</v>
          </cell>
          <cell r="D910" t="e">
            <v>#N/A</v>
          </cell>
          <cell r="E910">
            <v>-13.390750988142159</v>
          </cell>
          <cell r="F910">
            <v>44.878023715415296</v>
          </cell>
          <cell r="G910">
            <v>31.004505928852904</v>
          </cell>
          <cell r="H910">
            <v>31.004505928852904</v>
          </cell>
          <cell r="I910" t="e">
            <v>#N/A</v>
          </cell>
          <cell r="J910" t="e">
            <v>#N/A</v>
          </cell>
          <cell r="K910">
            <v>42</v>
          </cell>
          <cell r="L910">
            <v>32</v>
          </cell>
          <cell r="M910" t="e">
            <v>#N/A</v>
          </cell>
          <cell r="N910">
            <v>37</v>
          </cell>
          <cell r="O910" t="e">
            <v>#N/A</v>
          </cell>
          <cell r="P910" t="str">
            <v/>
          </cell>
          <cell r="Q910" t="str">
            <v/>
          </cell>
          <cell r="R910" t="e">
            <v>#N/A</v>
          </cell>
        </row>
        <row r="911">
          <cell r="A911" t="str">
            <v/>
          </cell>
          <cell r="B911" t="str">
            <v/>
          </cell>
          <cell r="C911" t="str">
            <v>Future</v>
          </cell>
          <cell r="D911" t="e">
            <v>#N/A</v>
          </cell>
          <cell r="E911">
            <v>-13.527391304347692</v>
          </cell>
          <cell r="F911">
            <v>44.907391304348103</v>
          </cell>
          <cell r="G911">
            <v>30.994347826086106</v>
          </cell>
          <cell r="H911">
            <v>30.994347826086106</v>
          </cell>
          <cell r="I911" t="e">
            <v>#N/A</v>
          </cell>
          <cell r="J911" t="e">
            <v>#N/A</v>
          </cell>
          <cell r="K911">
            <v>42</v>
          </cell>
          <cell r="L911">
            <v>32</v>
          </cell>
          <cell r="M911" t="e">
            <v>#N/A</v>
          </cell>
          <cell r="N911">
            <v>37</v>
          </cell>
          <cell r="O911" t="e">
            <v>#N/A</v>
          </cell>
          <cell r="P911" t="str">
            <v/>
          </cell>
          <cell r="Q911" t="str">
            <v/>
          </cell>
          <cell r="R911" t="e">
            <v>#N/A</v>
          </cell>
        </row>
        <row r="912">
          <cell r="A912" t="str">
            <v/>
          </cell>
          <cell r="B912" t="str">
            <v/>
          </cell>
          <cell r="C912" t="str">
            <v>Future</v>
          </cell>
          <cell r="D912" t="e">
            <v>#N/A</v>
          </cell>
          <cell r="E912">
            <v>-13.664031620553224</v>
          </cell>
          <cell r="F912">
            <v>44.93675889328091</v>
          </cell>
          <cell r="G912">
            <v>30.984189723319307</v>
          </cell>
          <cell r="H912">
            <v>30.984189723319307</v>
          </cell>
          <cell r="I912" t="e">
            <v>#N/A</v>
          </cell>
          <cell r="J912" t="e">
            <v>#N/A</v>
          </cell>
          <cell r="K912">
            <v>42</v>
          </cell>
          <cell r="L912">
            <v>32</v>
          </cell>
          <cell r="M912" t="e">
            <v>#N/A</v>
          </cell>
          <cell r="N912">
            <v>37</v>
          </cell>
          <cell r="O912" t="e">
            <v>#N/A</v>
          </cell>
          <cell r="P912" t="str">
            <v/>
          </cell>
          <cell r="Q912" t="str">
            <v/>
          </cell>
          <cell r="R912" t="e">
            <v>#N/A</v>
          </cell>
        </row>
        <row r="913">
          <cell r="A913" t="str">
            <v/>
          </cell>
          <cell r="B913" t="str">
            <v/>
          </cell>
          <cell r="C913" t="str">
            <v>Future</v>
          </cell>
          <cell r="D913" t="e">
            <v>#N/A</v>
          </cell>
          <cell r="E913">
            <v>-13.800671936758757</v>
          </cell>
          <cell r="F913">
            <v>44.966126482213717</v>
          </cell>
          <cell r="G913">
            <v>30.974031620552509</v>
          </cell>
          <cell r="H913">
            <v>30.974031620552509</v>
          </cell>
          <cell r="I913" t="e">
            <v>#N/A</v>
          </cell>
          <cell r="J913" t="e">
            <v>#N/A</v>
          </cell>
          <cell r="K913">
            <v>42</v>
          </cell>
          <cell r="L913">
            <v>32</v>
          </cell>
          <cell r="M913" t="e">
            <v>#N/A</v>
          </cell>
          <cell r="N913">
            <v>37</v>
          </cell>
          <cell r="O913" t="e">
            <v>#N/A</v>
          </cell>
          <cell r="P913" t="str">
            <v/>
          </cell>
          <cell r="Q913" t="str">
            <v/>
          </cell>
          <cell r="R913" t="e">
            <v>#N/A</v>
          </cell>
        </row>
        <row r="914">
          <cell r="A914" t="str">
            <v/>
          </cell>
          <cell r="B914" t="str">
            <v/>
          </cell>
          <cell r="C914" t="str">
            <v>Future</v>
          </cell>
          <cell r="D914" t="e">
            <v>#N/A</v>
          </cell>
          <cell r="E914">
            <v>-13.93731225296429</v>
          </cell>
          <cell r="F914">
            <v>44.995494071146524</v>
          </cell>
          <cell r="G914">
            <v>30.963873517785711</v>
          </cell>
          <cell r="H914">
            <v>30.963873517785711</v>
          </cell>
          <cell r="I914" t="e">
            <v>#N/A</v>
          </cell>
          <cell r="J914" t="e">
            <v>#N/A</v>
          </cell>
          <cell r="K914">
            <v>42</v>
          </cell>
          <cell r="L914">
            <v>32</v>
          </cell>
          <cell r="M914" t="e">
            <v>#N/A</v>
          </cell>
          <cell r="N914">
            <v>37</v>
          </cell>
          <cell r="O914" t="e">
            <v>#N/A</v>
          </cell>
          <cell r="P914" t="str">
            <v/>
          </cell>
          <cell r="Q914" t="str">
            <v/>
          </cell>
          <cell r="R914" t="e">
            <v>#N/A</v>
          </cell>
        </row>
        <row r="915">
          <cell r="A915" t="str">
            <v/>
          </cell>
          <cell r="B915" t="str">
            <v/>
          </cell>
          <cell r="C915" t="str">
            <v>Future</v>
          </cell>
          <cell r="D915" t="e">
            <v>#N/A</v>
          </cell>
          <cell r="E915">
            <v>-14.073952569169823</v>
          </cell>
          <cell r="F915">
            <v>45.024861660079331</v>
          </cell>
          <cell r="G915">
            <v>30.953715415018912</v>
          </cell>
          <cell r="H915">
            <v>30.953715415018912</v>
          </cell>
          <cell r="I915" t="e">
            <v>#N/A</v>
          </cell>
          <cell r="J915" t="e">
            <v>#N/A</v>
          </cell>
          <cell r="K915">
            <v>42</v>
          </cell>
          <cell r="L915">
            <v>32</v>
          </cell>
          <cell r="M915" t="e">
            <v>#N/A</v>
          </cell>
          <cell r="N915">
            <v>37</v>
          </cell>
          <cell r="O915" t="e">
            <v>#N/A</v>
          </cell>
          <cell r="P915" t="str">
            <v/>
          </cell>
          <cell r="Q915" t="str">
            <v/>
          </cell>
          <cell r="R915" t="e">
            <v>#N/A</v>
          </cell>
        </row>
        <row r="916">
          <cell r="A916" t="str">
            <v/>
          </cell>
          <cell r="B916" t="str">
            <v/>
          </cell>
          <cell r="C916" t="str">
            <v>Future</v>
          </cell>
          <cell r="D916" t="e">
            <v>#N/A</v>
          </cell>
          <cell r="E916">
            <v>-14.210592885375355</v>
          </cell>
          <cell r="F916">
            <v>45.054229249012138</v>
          </cell>
          <cell r="G916">
            <v>30.943557312252114</v>
          </cell>
          <cell r="H916">
            <v>30.943557312252114</v>
          </cell>
          <cell r="I916" t="e">
            <v>#N/A</v>
          </cell>
          <cell r="J916" t="e">
            <v>#N/A</v>
          </cell>
          <cell r="K916">
            <v>42</v>
          </cell>
          <cell r="L916">
            <v>32</v>
          </cell>
          <cell r="M916" t="e">
            <v>#N/A</v>
          </cell>
          <cell r="N916">
            <v>37</v>
          </cell>
          <cell r="O916" t="e">
            <v>#N/A</v>
          </cell>
          <cell r="P916" t="str">
            <v/>
          </cell>
          <cell r="Q916" t="str">
            <v/>
          </cell>
          <cell r="R916" t="e">
            <v>#N/A</v>
          </cell>
        </row>
        <row r="917">
          <cell r="A917" t="str">
            <v/>
          </cell>
          <cell r="B917" t="str">
            <v/>
          </cell>
          <cell r="C917" t="str">
            <v>Future</v>
          </cell>
          <cell r="D917" t="e">
            <v>#N/A</v>
          </cell>
          <cell r="E917">
            <v>-14.347233201580888</v>
          </cell>
          <cell r="F917">
            <v>45.083596837944945</v>
          </cell>
          <cell r="G917">
            <v>30.933399209485316</v>
          </cell>
          <cell r="H917">
            <v>30.933399209485316</v>
          </cell>
          <cell r="I917" t="e">
            <v>#N/A</v>
          </cell>
          <cell r="J917" t="e">
            <v>#N/A</v>
          </cell>
          <cell r="K917">
            <v>42</v>
          </cell>
          <cell r="L917">
            <v>32</v>
          </cell>
          <cell r="M917" t="e">
            <v>#N/A</v>
          </cell>
          <cell r="N917">
            <v>37</v>
          </cell>
          <cell r="O917" t="e">
            <v>#N/A</v>
          </cell>
          <cell r="P917" t="str">
            <v/>
          </cell>
          <cell r="Q917" t="str">
            <v/>
          </cell>
          <cell r="R917" t="e">
            <v>#N/A</v>
          </cell>
        </row>
        <row r="918">
          <cell r="A918" t="str">
            <v/>
          </cell>
          <cell r="B918" t="str">
            <v/>
          </cell>
          <cell r="C918" t="str">
            <v>Future</v>
          </cell>
          <cell r="D918" t="e">
            <v>#N/A</v>
          </cell>
          <cell r="E918">
            <v>-14.483873517786421</v>
          </cell>
          <cell r="F918">
            <v>45.112964426877753</v>
          </cell>
          <cell r="G918">
            <v>30.923241106718518</v>
          </cell>
          <cell r="H918">
            <v>30.923241106718518</v>
          </cell>
          <cell r="I918" t="e">
            <v>#N/A</v>
          </cell>
          <cell r="J918" t="e">
            <v>#N/A</v>
          </cell>
          <cell r="K918">
            <v>42</v>
          </cell>
          <cell r="L918">
            <v>32</v>
          </cell>
          <cell r="M918" t="e">
            <v>#N/A</v>
          </cell>
          <cell r="N918">
            <v>37</v>
          </cell>
          <cell r="O918" t="e">
            <v>#N/A</v>
          </cell>
          <cell r="P918" t="str">
            <v/>
          </cell>
          <cell r="Q918" t="str">
            <v/>
          </cell>
          <cell r="R918" t="e">
            <v>#N/A</v>
          </cell>
        </row>
        <row r="919">
          <cell r="A919" t="str">
            <v/>
          </cell>
          <cell r="B919" t="str">
            <v/>
          </cell>
          <cell r="C919" t="str">
            <v>Future</v>
          </cell>
          <cell r="D919" t="e">
            <v>#N/A</v>
          </cell>
          <cell r="E919">
            <v>-14.620513833991954</v>
          </cell>
          <cell r="F919">
            <v>45.14233201581056</v>
          </cell>
          <cell r="G919">
            <v>30.913083003951719</v>
          </cell>
          <cell r="H919">
            <v>30.913083003951719</v>
          </cell>
          <cell r="I919" t="e">
            <v>#N/A</v>
          </cell>
          <cell r="J919" t="e">
            <v>#N/A</v>
          </cell>
          <cell r="K919">
            <v>42</v>
          </cell>
          <cell r="L919">
            <v>32</v>
          </cell>
          <cell r="M919" t="e">
            <v>#N/A</v>
          </cell>
          <cell r="N919">
            <v>37</v>
          </cell>
          <cell r="O919" t="e">
            <v>#N/A</v>
          </cell>
          <cell r="P919" t="str">
            <v/>
          </cell>
          <cell r="Q919" t="str">
            <v/>
          </cell>
          <cell r="R919" t="e">
            <v>#N/A</v>
          </cell>
        </row>
        <row r="920">
          <cell r="A920" t="str">
            <v/>
          </cell>
          <cell r="B920" t="str">
            <v/>
          </cell>
          <cell r="C920" t="str">
            <v>Future</v>
          </cell>
          <cell r="D920" t="e">
            <v>#N/A</v>
          </cell>
          <cell r="E920">
            <v>-14.757154150197486</v>
          </cell>
          <cell r="F920">
            <v>45.171699604743367</v>
          </cell>
          <cell r="G920">
            <v>30.902924901184921</v>
          </cell>
          <cell r="H920">
            <v>30.902924901184921</v>
          </cell>
          <cell r="I920" t="e">
            <v>#N/A</v>
          </cell>
          <cell r="J920" t="e">
            <v>#N/A</v>
          </cell>
          <cell r="K920">
            <v>42</v>
          </cell>
          <cell r="L920">
            <v>32</v>
          </cell>
          <cell r="M920" t="e">
            <v>#N/A</v>
          </cell>
          <cell r="N920">
            <v>37</v>
          </cell>
          <cell r="O920" t="e">
            <v>#N/A</v>
          </cell>
          <cell r="P920" t="str">
            <v/>
          </cell>
          <cell r="Q920" t="str">
            <v/>
          </cell>
          <cell r="R920" t="e">
            <v>#N/A</v>
          </cell>
        </row>
        <row r="921">
          <cell r="A921" t="str">
            <v/>
          </cell>
          <cell r="B921" t="str">
            <v/>
          </cell>
          <cell r="C921" t="str">
            <v>Future</v>
          </cell>
          <cell r="D921" t="e">
            <v>#N/A</v>
          </cell>
          <cell r="E921">
            <v>-14.893794466403019</v>
          </cell>
          <cell r="F921">
            <v>45.201067193676174</v>
          </cell>
          <cell r="G921">
            <v>30.892766798418123</v>
          </cell>
          <cell r="H921">
            <v>30.892766798418123</v>
          </cell>
          <cell r="I921" t="e">
            <v>#N/A</v>
          </cell>
          <cell r="J921" t="e">
            <v>#N/A</v>
          </cell>
          <cell r="K921">
            <v>42</v>
          </cell>
          <cell r="L921">
            <v>32</v>
          </cell>
          <cell r="M921" t="e">
            <v>#N/A</v>
          </cell>
          <cell r="N921">
            <v>37</v>
          </cell>
          <cell r="O921" t="e">
            <v>#N/A</v>
          </cell>
          <cell r="P921" t="str">
            <v/>
          </cell>
          <cell r="Q921" t="str">
            <v/>
          </cell>
          <cell r="R921" t="e">
            <v>#N/A</v>
          </cell>
        </row>
        <row r="922">
          <cell r="A922" t="str">
            <v/>
          </cell>
          <cell r="B922" t="str">
            <v/>
          </cell>
          <cell r="C922" t="str">
            <v>Future</v>
          </cell>
          <cell r="D922" t="e">
            <v>#N/A</v>
          </cell>
          <cell r="E922">
            <v>-15.030434782608552</v>
          </cell>
          <cell r="F922">
            <v>45.230434782608981</v>
          </cell>
          <cell r="G922">
            <v>30.882608695651324</v>
          </cell>
          <cell r="H922">
            <v>30.882608695651324</v>
          </cell>
          <cell r="I922" t="e">
            <v>#N/A</v>
          </cell>
          <cell r="J922" t="e">
            <v>#N/A</v>
          </cell>
          <cell r="K922">
            <v>42</v>
          </cell>
          <cell r="L922">
            <v>32</v>
          </cell>
          <cell r="M922" t="e">
            <v>#N/A</v>
          </cell>
          <cell r="N922">
            <v>37</v>
          </cell>
          <cell r="O922" t="e">
            <v>#N/A</v>
          </cell>
          <cell r="P922" t="str">
            <v/>
          </cell>
          <cell r="Q922" t="str">
            <v/>
          </cell>
          <cell r="R922" t="e">
            <v>#N/A</v>
          </cell>
        </row>
        <row r="923">
          <cell r="A923" t="str">
            <v/>
          </cell>
          <cell r="B923" t="str">
            <v/>
          </cell>
          <cell r="C923" t="str">
            <v>Future</v>
          </cell>
          <cell r="D923" t="e">
            <v>#N/A</v>
          </cell>
          <cell r="E923">
            <v>-15.167075098814085</v>
          </cell>
          <cell r="F923">
            <v>45.259802371541788</v>
          </cell>
          <cell r="G923">
            <v>30.872450592884526</v>
          </cell>
          <cell r="H923">
            <v>30.872450592884526</v>
          </cell>
          <cell r="I923" t="e">
            <v>#N/A</v>
          </cell>
          <cell r="J923" t="e">
            <v>#N/A</v>
          </cell>
          <cell r="K923">
            <v>42</v>
          </cell>
          <cell r="L923">
            <v>32</v>
          </cell>
          <cell r="M923" t="e">
            <v>#N/A</v>
          </cell>
          <cell r="N923">
            <v>37</v>
          </cell>
          <cell r="O923" t="e">
            <v>#N/A</v>
          </cell>
          <cell r="P923" t="str">
            <v/>
          </cell>
          <cell r="Q923" t="str">
            <v/>
          </cell>
          <cell r="R923" t="e">
            <v>#N/A</v>
          </cell>
        </row>
        <row r="924">
          <cell r="A924" t="str">
            <v/>
          </cell>
          <cell r="B924" t="str">
            <v/>
          </cell>
          <cell r="C924" t="str">
            <v>Future</v>
          </cell>
          <cell r="D924" t="e">
            <v>#N/A</v>
          </cell>
          <cell r="E924">
            <v>-15.303715415019617</v>
          </cell>
          <cell r="F924">
            <v>45.289169960474595</v>
          </cell>
          <cell r="G924">
            <v>30.862292490117728</v>
          </cell>
          <cell r="H924">
            <v>30.862292490117728</v>
          </cell>
          <cell r="I924" t="e">
            <v>#N/A</v>
          </cell>
          <cell r="J924" t="e">
            <v>#N/A</v>
          </cell>
          <cell r="K924">
            <v>42</v>
          </cell>
          <cell r="L924">
            <v>32</v>
          </cell>
          <cell r="M924" t="e">
            <v>#N/A</v>
          </cell>
          <cell r="N924">
            <v>37</v>
          </cell>
          <cell r="O924" t="e">
            <v>#N/A</v>
          </cell>
          <cell r="P924" t="str">
            <v/>
          </cell>
          <cell r="Q924" t="str">
            <v/>
          </cell>
          <cell r="R924" t="e">
            <v>#N/A</v>
          </cell>
        </row>
        <row r="925">
          <cell r="A925" t="str">
            <v/>
          </cell>
          <cell r="B925" t="str">
            <v/>
          </cell>
          <cell r="C925" t="str">
            <v>Future</v>
          </cell>
          <cell r="D925" t="e">
            <v>#N/A</v>
          </cell>
          <cell r="E925">
            <v>-15.44035573122515</v>
          </cell>
          <cell r="F925">
            <v>45.318537549407402</v>
          </cell>
          <cell r="G925">
            <v>30.85213438735093</v>
          </cell>
          <cell r="H925">
            <v>30.85213438735093</v>
          </cell>
          <cell r="I925" t="e">
            <v>#N/A</v>
          </cell>
          <cell r="J925" t="e">
            <v>#N/A</v>
          </cell>
          <cell r="K925">
            <v>42</v>
          </cell>
          <cell r="L925">
            <v>32</v>
          </cell>
          <cell r="M925" t="e">
            <v>#N/A</v>
          </cell>
          <cell r="N925">
            <v>37</v>
          </cell>
          <cell r="O925" t="e">
            <v>#N/A</v>
          </cell>
          <cell r="P925" t="str">
            <v/>
          </cell>
          <cell r="Q925" t="str">
            <v/>
          </cell>
          <cell r="R925" t="e">
            <v>#N/A</v>
          </cell>
        </row>
        <row r="926">
          <cell r="A926" t="str">
            <v/>
          </cell>
          <cell r="B926" t="str">
            <v/>
          </cell>
          <cell r="C926" t="str">
            <v>Future</v>
          </cell>
          <cell r="D926" t="e">
            <v>#N/A</v>
          </cell>
          <cell r="E926">
            <v>-15.576996047430683</v>
          </cell>
          <cell r="F926">
            <v>45.347905138340209</v>
          </cell>
          <cell r="G926">
            <v>30.841976284584131</v>
          </cell>
          <cell r="H926">
            <v>30.841976284584131</v>
          </cell>
          <cell r="I926" t="e">
            <v>#N/A</v>
          </cell>
          <cell r="J926" t="e">
            <v>#N/A</v>
          </cell>
          <cell r="K926">
            <v>42</v>
          </cell>
          <cell r="L926">
            <v>32</v>
          </cell>
          <cell r="M926" t="e">
            <v>#N/A</v>
          </cell>
          <cell r="N926">
            <v>37</v>
          </cell>
          <cell r="O926" t="e">
            <v>#N/A</v>
          </cell>
          <cell r="P926" t="str">
            <v/>
          </cell>
          <cell r="Q926" t="str">
            <v/>
          </cell>
          <cell r="R926" t="e">
            <v>#N/A</v>
          </cell>
        </row>
        <row r="927">
          <cell r="A927" t="str">
            <v/>
          </cell>
          <cell r="B927" t="str">
            <v/>
          </cell>
          <cell r="C927" t="str">
            <v>Future</v>
          </cell>
          <cell r="D927" t="e">
            <v>#N/A</v>
          </cell>
          <cell r="E927">
            <v>-15.713636363636216</v>
          </cell>
          <cell r="F927">
            <v>45.377272727273017</v>
          </cell>
          <cell r="G927">
            <v>30.831818181817333</v>
          </cell>
          <cell r="H927">
            <v>30.831818181817333</v>
          </cell>
          <cell r="I927" t="e">
            <v>#N/A</v>
          </cell>
          <cell r="J927" t="e">
            <v>#N/A</v>
          </cell>
          <cell r="K927">
            <v>42</v>
          </cell>
          <cell r="L927">
            <v>32</v>
          </cell>
          <cell r="M927" t="e">
            <v>#N/A</v>
          </cell>
          <cell r="N927">
            <v>37</v>
          </cell>
          <cell r="O927" t="e">
            <v>#N/A</v>
          </cell>
          <cell r="P927" t="str">
            <v/>
          </cell>
          <cell r="Q927" t="str">
            <v/>
          </cell>
          <cell r="R927" t="e">
            <v>#N/A</v>
          </cell>
        </row>
        <row r="928">
          <cell r="A928" t="str">
            <v/>
          </cell>
          <cell r="B928" t="str">
            <v/>
          </cell>
          <cell r="C928" t="str">
            <v>Future</v>
          </cell>
          <cell r="D928" t="e">
            <v>#N/A</v>
          </cell>
          <cell r="E928">
            <v>-15.850276679841748</v>
          </cell>
          <cell r="F928">
            <v>45.406640316205824</v>
          </cell>
          <cell r="G928">
            <v>30.821660079050535</v>
          </cell>
          <cell r="H928">
            <v>30.821660079050535</v>
          </cell>
          <cell r="I928" t="e">
            <v>#N/A</v>
          </cell>
          <cell r="J928" t="e">
            <v>#N/A</v>
          </cell>
          <cell r="K928">
            <v>42</v>
          </cell>
          <cell r="L928">
            <v>32</v>
          </cell>
          <cell r="M928" t="e">
            <v>#N/A</v>
          </cell>
          <cell r="N928">
            <v>37</v>
          </cell>
          <cell r="O928" t="e">
            <v>#N/A</v>
          </cell>
          <cell r="P928" t="str">
            <v/>
          </cell>
          <cell r="Q928" t="str">
            <v/>
          </cell>
          <cell r="R928" t="e">
            <v>#N/A</v>
          </cell>
        </row>
        <row r="929">
          <cell r="A929" t="str">
            <v/>
          </cell>
          <cell r="B929" t="str">
            <v/>
          </cell>
          <cell r="C929" t="str">
            <v>Future</v>
          </cell>
          <cell r="D929" t="e">
            <v>#N/A</v>
          </cell>
          <cell r="E929">
            <v>-15.986916996047281</v>
          </cell>
          <cell r="F929">
            <v>45.436007905138631</v>
          </cell>
          <cell r="G929">
            <v>30.811501976283736</v>
          </cell>
          <cell r="H929">
            <v>30.811501976283736</v>
          </cell>
          <cell r="I929" t="e">
            <v>#N/A</v>
          </cell>
          <cell r="J929" t="e">
            <v>#N/A</v>
          </cell>
          <cell r="K929">
            <v>42</v>
          </cell>
          <cell r="L929">
            <v>32</v>
          </cell>
          <cell r="M929" t="e">
            <v>#N/A</v>
          </cell>
          <cell r="N929">
            <v>37</v>
          </cell>
          <cell r="O929" t="e">
            <v>#N/A</v>
          </cell>
          <cell r="P929" t="str">
            <v/>
          </cell>
          <cell r="Q929" t="str">
            <v/>
          </cell>
          <cell r="R929" t="e">
            <v>#N/A</v>
          </cell>
        </row>
        <row r="930">
          <cell r="A930" t="str">
            <v/>
          </cell>
          <cell r="B930" t="str">
            <v/>
          </cell>
          <cell r="C930" t="str">
            <v>Future</v>
          </cell>
          <cell r="D930" t="e">
            <v>#N/A</v>
          </cell>
          <cell r="E930">
            <v>-16.123557312252814</v>
          </cell>
          <cell r="F930">
            <v>45.465375494071438</v>
          </cell>
          <cell r="G930">
            <v>30.801343873516938</v>
          </cell>
          <cell r="H930">
            <v>30.801343873516938</v>
          </cell>
          <cell r="I930" t="e">
            <v>#N/A</v>
          </cell>
          <cell r="J930" t="e">
            <v>#N/A</v>
          </cell>
          <cell r="K930">
            <v>42</v>
          </cell>
          <cell r="L930">
            <v>32</v>
          </cell>
          <cell r="M930" t="e">
            <v>#N/A</v>
          </cell>
          <cell r="N930">
            <v>37</v>
          </cell>
          <cell r="O930" t="e">
            <v>#N/A</v>
          </cell>
          <cell r="P930" t="str">
            <v/>
          </cell>
          <cell r="Q930" t="str">
            <v/>
          </cell>
          <cell r="R930" t="e">
            <v>#N/A</v>
          </cell>
        </row>
        <row r="931">
          <cell r="A931" t="str">
            <v/>
          </cell>
          <cell r="B931" t="str">
            <v/>
          </cell>
          <cell r="C931" t="str">
            <v>Future</v>
          </cell>
          <cell r="D931" t="e">
            <v>#N/A</v>
          </cell>
          <cell r="E931">
            <v>-16.260197628458346</v>
          </cell>
          <cell r="F931">
            <v>45.494743083004245</v>
          </cell>
          <cell r="G931">
            <v>30.79118577075014</v>
          </cell>
          <cell r="H931">
            <v>30.79118577075014</v>
          </cell>
          <cell r="I931" t="e">
            <v>#N/A</v>
          </cell>
          <cell r="J931" t="e">
            <v>#N/A</v>
          </cell>
          <cell r="K931">
            <v>42</v>
          </cell>
          <cell r="L931">
            <v>32</v>
          </cell>
          <cell r="M931" t="e">
            <v>#N/A</v>
          </cell>
          <cell r="N931">
            <v>37</v>
          </cell>
          <cell r="O931" t="e">
            <v>#N/A</v>
          </cell>
          <cell r="P931" t="str">
            <v/>
          </cell>
          <cell r="Q931" t="str">
            <v/>
          </cell>
          <cell r="R931" t="e">
            <v>#N/A</v>
          </cell>
        </row>
        <row r="932">
          <cell r="A932" t="str">
            <v/>
          </cell>
          <cell r="B932" t="str">
            <v/>
          </cell>
          <cell r="C932" t="str">
            <v>Future</v>
          </cell>
          <cell r="D932" t="e">
            <v>#N/A</v>
          </cell>
          <cell r="E932">
            <v>-16.396837944663879</v>
          </cell>
          <cell r="F932">
            <v>45.524110671937052</v>
          </cell>
          <cell r="G932">
            <v>30.781027667983341</v>
          </cell>
          <cell r="H932">
            <v>30.781027667983341</v>
          </cell>
          <cell r="I932" t="e">
            <v>#N/A</v>
          </cell>
          <cell r="J932" t="e">
            <v>#N/A</v>
          </cell>
          <cell r="K932">
            <v>42</v>
          </cell>
          <cell r="L932">
            <v>32</v>
          </cell>
          <cell r="M932" t="e">
            <v>#N/A</v>
          </cell>
          <cell r="N932">
            <v>37</v>
          </cell>
          <cell r="O932" t="e">
            <v>#N/A</v>
          </cell>
          <cell r="P932" t="str">
            <v/>
          </cell>
          <cell r="Q932" t="str">
            <v/>
          </cell>
          <cell r="R932" t="e">
            <v>#N/A</v>
          </cell>
        </row>
        <row r="933">
          <cell r="A933" t="str">
            <v/>
          </cell>
          <cell r="B933" t="str">
            <v/>
          </cell>
          <cell r="C933" t="str">
            <v>Future</v>
          </cell>
          <cell r="D933" t="e">
            <v>#N/A</v>
          </cell>
          <cell r="E933">
            <v>-16.533478260869412</v>
          </cell>
          <cell r="F933">
            <v>45.553478260869859</v>
          </cell>
          <cell r="G933">
            <v>30.770869565216543</v>
          </cell>
          <cell r="H933">
            <v>30.770869565216543</v>
          </cell>
          <cell r="I933" t="e">
            <v>#N/A</v>
          </cell>
          <cell r="J933" t="e">
            <v>#N/A</v>
          </cell>
          <cell r="K933">
            <v>42</v>
          </cell>
          <cell r="L933">
            <v>32</v>
          </cell>
          <cell r="M933" t="e">
            <v>#N/A</v>
          </cell>
          <cell r="N933">
            <v>37</v>
          </cell>
          <cell r="O933" t="e">
            <v>#N/A</v>
          </cell>
          <cell r="P933" t="str">
            <v/>
          </cell>
          <cell r="Q933" t="str">
            <v/>
          </cell>
          <cell r="R933" t="e">
            <v>#N/A</v>
          </cell>
        </row>
        <row r="934">
          <cell r="A934" t="str">
            <v/>
          </cell>
          <cell r="B934" t="str">
            <v/>
          </cell>
          <cell r="C934" t="str">
            <v>Future</v>
          </cell>
          <cell r="D934" t="e">
            <v>#N/A</v>
          </cell>
          <cell r="E934">
            <v>-16.670118577074945</v>
          </cell>
          <cell r="F934">
            <v>45.582845849802666</v>
          </cell>
          <cell r="G934">
            <v>30.760711462449745</v>
          </cell>
          <cell r="H934">
            <v>30.760711462449745</v>
          </cell>
          <cell r="I934" t="e">
            <v>#N/A</v>
          </cell>
          <cell r="J934" t="e">
            <v>#N/A</v>
          </cell>
          <cell r="K934">
            <v>42</v>
          </cell>
          <cell r="L934">
            <v>32</v>
          </cell>
          <cell r="M934" t="e">
            <v>#N/A</v>
          </cell>
          <cell r="N934">
            <v>37</v>
          </cell>
          <cell r="O934" t="e">
            <v>#N/A</v>
          </cell>
          <cell r="P934" t="str">
            <v/>
          </cell>
          <cell r="Q934" t="str">
            <v/>
          </cell>
          <cell r="R934" t="e">
            <v>#N/A</v>
          </cell>
        </row>
        <row r="935">
          <cell r="A935" t="str">
            <v/>
          </cell>
          <cell r="B935" t="str">
            <v/>
          </cell>
          <cell r="C935" t="str">
            <v>Future</v>
          </cell>
          <cell r="D935" t="e">
            <v>#N/A</v>
          </cell>
          <cell r="E935">
            <v>-16.806758893280477</v>
          </cell>
          <cell r="F935">
            <v>45.612213438735473</v>
          </cell>
          <cell r="G935">
            <v>30.750553359682947</v>
          </cell>
          <cell r="H935">
            <v>30.750553359682947</v>
          </cell>
          <cell r="I935" t="e">
            <v>#N/A</v>
          </cell>
          <cell r="J935" t="e">
            <v>#N/A</v>
          </cell>
          <cell r="K935">
            <v>42</v>
          </cell>
          <cell r="L935">
            <v>32</v>
          </cell>
          <cell r="M935" t="e">
            <v>#N/A</v>
          </cell>
          <cell r="N935">
            <v>37</v>
          </cell>
          <cell r="O935" t="e">
            <v>#N/A</v>
          </cell>
          <cell r="P935" t="str">
            <v/>
          </cell>
          <cell r="Q935" t="str">
            <v/>
          </cell>
          <cell r="R935" t="e">
            <v>#N/A</v>
          </cell>
        </row>
        <row r="936">
          <cell r="A936" t="str">
            <v/>
          </cell>
          <cell r="B936" t="str">
            <v/>
          </cell>
          <cell r="C936" t="str">
            <v>Future</v>
          </cell>
          <cell r="D936" t="e">
            <v>#N/A</v>
          </cell>
          <cell r="E936">
            <v>-16.94339920948601</v>
          </cell>
          <cell r="F936">
            <v>45.641581027668281</v>
          </cell>
          <cell r="G936">
            <v>30.740395256916148</v>
          </cell>
          <cell r="H936">
            <v>30.740395256916148</v>
          </cell>
          <cell r="I936" t="e">
            <v>#N/A</v>
          </cell>
          <cell r="J936" t="e">
            <v>#N/A</v>
          </cell>
          <cell r="K936">
            <v>42</v>
          </cell>
          <cell r="L936">
            <v>32</v>
          </cell>
          <cell r="M936" t="e">
            <v>#N/A</v>
          </cell>
          <cell r="N936">
            <v>37</v>
          </cell>
          <cell r="O936" t="e">
            <v>#N/A</v>
          </cell>
          <cell r="P936" t="str">
            <v/>
          </cell>
          <cell r="Q936" t="str">
            <v/>
          </cell>
          <cell r="R936" t="e">
            <v>#N/A</v>
          </cell>
        </row>
        <row r="937">
          <cell r="A937" t="str">
            <v/>
          </cell>
          <cell r="B937" t="str">
            <v/>
          </cell>
          <cell r="C937" t="str">
            <v>Future</v>
          </cell>
          <cell r="D937" t="e">
            <v>#N/A</v>
          </cell>
          <cell r="E937">
            <v>-17.080039525691543</v>
          </cell>
          <cell r="F937">
            <v>45.670948616601088</v>
          </cell>
          <cell r="G937">
            <v>30.73023715414935</v>
          </cell>
          <cell r="H937">
            <v>30.73023715414935</v>
          </cell>
          <cell r="I937" t="e">
            <v>#N/A</v>
          </cell>
          <cell r="J937" t="e">
            <v>#N/A</v>
          </cell>
          <cell r="K937">
            <v>42</v>
          </cell>
          <cell r="L937">
            <v>32</v>
          </cell>
          <cell r="M937" t="e">
            <v>#N/A</v>
          </cell>
          <cell r="N937">
            <v>37</v>
          </cell>
          <cell r="O937" t="e">
            <v>#N/A</v>
          </cell>
          <cell r="P937" t="str">
            <v/>
          </cell>
          <cell r="Q937" t="str">
            <v/>
          </cell>
          <cell r="R937" t="e">
            <v>#N/A</v>
          </cell>
        </row>
        <row r="938">
          <cell r="A938" t="str">
            <v/>
          </cell>
          <cell r="B938" t="str">
            <v/>
          </cell>
          <cell r="C938" t="str">
            <v>Future</v>
          </cell>
          <cell r="D938" t="e">
            <v>#N/A</v>
          </cell>
          <cell r="E938">
            <v>-17.216679841897076</v>
          </cell>
          <cell r="F938">
            <v>45.700316205533895</v>
          </cell>
          <cell r="G938">
            <v>30.720079051382552</v>
          </cell>
          <cell r="H938">
            <v>30.720079051382552</v>
          </cell>
          <cell r="I938" t="e">
            <v>#N/A</v>
          </cell>
          <cell r="J938" t="e">
            <v>#N/A</v>
          </cell>
          <cell r="K938">
            <v>42</v>
          </cell>
          <cell r="L938">
            <v>32</v>
          </cell>
          <cell r="M938" t="e">
            <v>#N/A</v>
          </cell>
          <cell r="N938">
            <v>37</v>
          </cell>
          <cell r="O938" t="e">
            <v>#N/A</v>
          </cell>
          <cell r="P938" t="str">
            <v/>
          </cell>
          <cell r="Q938" t="str">
            <v/>
          </cell>
          <cell r="R938" t="e">
            <v>#N/A</v>
          </cell>
        </row>
        <row r="939">
          <cell r="A939" t="str">
            <v/>
          </cell>
          <cell r="B939" t="str">
            <v/>
          </cell>
          <cell r="C939" t="str">
            <v>Future</v>
          </cell>
          <cell r="D939" t="e">
            <v>#N/A</v>
          </cell>
          <cell r="E939">
            <v>-17.353320158102608</v>
          </cell>
          <cell r="F939">
            <v>45.729683794466702</v>
          </cell>
          <cell r="G939">
            <v>30.709920948615753</v>
          </cell>
          <cell r="H939">
            <v>30.709920948615753</v>
          </cell>
          <cell r="I939" t="e">
            <v>#N/A</v>
          </cell>
          <cell r="J939" t="e">
            <v>#N/A</v>
          </cell>
          <cell r="K939">
            <v>42</v>
          </cell>
          <cell r="L939">
            <v>32</v>
          </cell>
          <cell r="M939" t="e">
            <v>#N/A</v>
          </cell>
          <cell r="N939">
            <v>37</v>
          </cell>
          <cell r="O939" t="e">
            <v>#N/A</v>
          </cell>
          <cell r="P939" t="str">
            <v/>
          </cell>
          <cell r="Q939" t="str">
            <v/>
          </cell>
          <cell r="R939" t="e">
            <v>#N/A</v>
          </cell>
        </row>
        <row r="940">
          <cell r="A940" t="str">
            <v/>
          </cell>
          <cell r="B940" t="str">
            <v/>
          </cell>
          <cell r="C940" t="str">
            <v>Future</v>
          </cell>
          <cell r="D940" t="e">
            <v>#N/A</v>
          </cell>
          <cell r="E940">
            <v>-17.489960474308141</v>
          </cell>
          <cell r="F940">
            <v>45.759051383399509</v>
          </cell>
          <cell r="G940">
            <v>30.699762845848955</v>
          </cell>
          <cell r="H940">
            <v>30.699762845848955</v>
          </cell>
          <cell r="I940" t="e">
            <v>#N/A</v>
          </cell>
          <cell r="J940" t="e">
            <v>#N/A</v>
          </cell>
          <cell r="K940">
            <v>42</v>
          </cell>
          <cell r="L940">
            <v>32</v>
          </cell>
          <cell r="M940" t="e">
            <v>#N/A</v>
          </cell>
          <cell r="N940">
            <v>37</v>
          </cell>
          <cell r="O940" t="e">
            <v>#N/A</v>
          </cell>
          <cell r="P940" t="str">
            <v/>
          </cell>
          <cell r="Q940" t="str">
            <v/>
          </cell>
          <cell r="R940" t="e">
            <v>#N/A</v>
          </cell>
        </row>
        <row r="941">
          <cell r="A941" t="str">
            <v/>
          </cell>
          <cell r="B941" t="str">
            <v/>
          </cell>
          <cell r="C941" t="str">
            <v>Future</v>
          </cell>
          <cell r="D941" t="e">
            <v>#N/A</v>
          </cell>
          <cell r="E941">
            <v>-17.626600790513674</v>
          </cell>
          <cell r="F941">
            <v>45.788418972332316</v>
          </cell>
          <cell r="G941">
            <v>30.689604743082157</v>
          </cell>
          <cell r="H941">
            <v>30.689604743082157</v>
          </cell>
          <cell r="I941" t="e">
            <v>#N/A</v>
          </cell>
          <cell r="J941" t="e">
            <v>#N/A</v>
          </cell>
          <cell r="K941">
            <v>42</v>
          </cell>
          <cell r="L941">
            <v>32</v>
          </cell>
          <cell r="M941" t="e">
            <v>#N/A</v>
          </cell>
          <cell r="N941">
            <v>37</v>
          </cell>
          <cell r="O941" t="e">
            <v>#N/A</v>
          </cell>
          <cell r="P941" t="str">
            <v/>
          </cell>
          <cell r="Q941" t="str">
            <v/>
          </cell>
          <cell r="R941" t="e">
            <v>#N/A</v>
          </cell>
        </row>
        <row r="942">
          <cell r="A942" t="str">
            <v/>
          </cell>
          <cell r="B942" t="str">
            <v/>
          </cell>
          <cell r="C942" t="str">
            <v>Future</v>
          </cell>
          <cell r="D942" t="e">
            <v>#N/A</v>
          </cell>
          <cell r="E942">
            <v>-17.763241106719207</v>
          </cell>
          <cell r="F942">
            <v>45.817786561265123</v>
          </cell>
          <cell r="G942">
            <v>30.679446640315359</v>
          </cell>
          <cell r="H942">
            <v>30.679446640315359</v>
          </cell>
          <cell r="I942" t="e">
            <v>#N/A</v>
          </cell>
          <cell r="J942" t="e">
            <v>#N/A</v>
          </cell>
          <cell r="K942">
            <v>42</v>
          </cell>
          <cell r="L942">
            <v>32</v>
          </cell>
          <cell r="M942" t="e">
            <v>#N/A</v>
          </cell>
          <cell r="N942">
            <v>37</v>
          </cell>
          <cell r="O942" t="e">
            <v>#N/A</v>
          </cell>
          <cell r="P942" t="str">
            <v/>
          </cell>
          <cell r="Q942" t="str">
            <v/>
          </cell>
          <cell r="R942" t="e">
            <v>#N/A</v>
          </cell>
        </row>
        <row r="943">
          <cell r="A943" t="str">
            <v/>
          </cell>
          <cell r="B943" t="str">
            <v/>
          </cell>
          <cell r="C943" t="str">
            <v>Future</v>
          </cell>
          <cell r="D943" t="e">
            <v>#N/A</v>
          </cell>
          <cell r="E943">
            <v>-17.899881422924739</v>
          </cell>
          <cell r="F943">
            <v>45.84715415019793</v>
          </cell>
          <cell r="G943">
            <v>30.66928853754856</v>
          </cell>
          <cell r="H943">
            <v>30.66928853754856</v>
          </cell>
          <cell r="I943" t="e">
            <v>#N/A</v>
          </cell>
          <cell r="J943" t="e">
            <v>#N/A</v>
          </cell>
          <cell r="K943">
            <v>42</v>
          </cell>
          <cell r="L943">
            <v>32</v>
          </cell>
          <cell r="M943" t="e">
            <v>#N/A</v>
          </cell>
          <cell r="N943">
            <v>37</v>
          </cell>
          <cell r="O943" t="e">
            <v>#N/A</v>
          </cell>
          <cell r="P943" t="str">
            <v/>
          </cell>
          <cell r="Q943" t="str">
            <v/>
          </cell>
          <cell r="R943" t="e">
            <v>#N/A</v>
          </cell>
        </row>
        <row r="944">
          <cell r="A944" t="str">
            <v/>
          </cell>
          <cell r="B944" t="str">
            <v/>
          </cell>
          <cell r="C944" t="str">
            <v>Future</v>
          </cell>
          <cell r="D944" t="e">
            <v>#N/A</v>
          </cell>
          <cell r="E944">
            <v>-18.036521739130272</v>
          </cell>
          <cell r="F944">
            <v>45.876521739130737</v>
          </cell>
          <cell r="G944">
            <v>30.659130434781762</v>
          </cell>
          <cell r="H944">
            <v>30.659130434781762</v>
          </cell>
          <cell r="I944" t="e">
            <v>#N/A</v>
          </cell>
          <cell r="J944" t="e">
            <v>#N/A</v>
          </cell>
          <cell r="K944">
            <v>42</v>
          </cell>
          <cell r="L944">
            <v>32</v>
          </cell>
          <cell r="M944" t="e">
            <v>#N/A</v>
          </cell>
          <cell r="N944">
            <v>37</v>
          </cell>
          <cell r="O944" t="e">
            <v>#N/A</v>
          </cell>
          <cell r="P944" t="str">
            <v/>
          </cell>
          <cell r="Q944" t="str">
            <v/>
          </cell>
          <cell r="R944" t="e">
            <v>#N/A</v>
          </cell>
        </row>
        <row r="945">
          <cell r="A945" t="str">
            <v/>
          </cell>
          <cell r="B945" t="str">
            <v/>
          </cell>
          <cell r="C945" t="str">
            <v>Future</v>
          </cell>
          <cell r="D945" t="e">
            <v>#N/A</v>
          </cell>
          <cell r="E945">
            <v>-18.173162055335805</v>
          </cell>
          <cell r="F945">
            <v>45.905889328063544</v>
          </cell>
          <cell r="G945">
            <v>30.648972332014964</v>
          </cell>
          <cell r="H945">
            <v>30.648972332014964</v>
          </cell>
          <cell r="I945" t="e">
            <v>#N/A</v>
          </cell>
          <cell r="J945" t="e">
            <v>#N/A</v>
          </cell>
          <cell r="K945">
            <v>42</v>
          </cell>
          <cell r="L945">
            <v>32</v>
          </cell>
          <cell r="M945" t="e">
            <v>#N/A</v>
          </cell>
          <cell r="N945">
            <v>37</v>
          </cell>
          <cell r="O945" t="e">
            <v>#N/A</v>
          </cell>
          <cell r="P945" t="str">
            <v/>
          </cell>
          <cell r="Q945" t="str">
            <v/>
          </cell>
          <cell r="R945" t="e">
            <v>#N/A</v>
          </cell>
        </row>
        <row r="946">
          <cell r="A946" t="str">
            <v/>
          </cell>
          <cell r="B946" t="str">
            <v/>
          </cell>
          <cell r="C946" t="str">
            <v>Future</v>
          </cell>
          <cell r="D946" t="e">
            <v>#N/A</v>
          </cell>
          <cell r="E946">
            <v>-18.309802371541338</v>
          </cell>
          <cell r="F946">
            <v>45.935256916996352</v>
          </cell>
          <cell r="G946">
            <v>30.638814229248165</v>
          </cell>
          <cell r="H946">
            <v>30.638814229248165</v>
          </cell>
          <cell r="I946" t="e">
            <v>#N/A</v>
          </cell>
          <cell r="J946" t="e">
            <v>#N/A</v>
          </cell>
          <cell r="K946">
            <v>42</v>
          </cell>
          <cell r="L946">
            <v>32</v>
          </cell>
          <cell r="M946" t="e">
            <v>#N/A</v>
          </cell>
          <cell r="N946">
            <v>37</v>
          </cell>
          <cell r="O946" t="e">
            <v>#N/A</v>
          </cell>
          <cell r="P946" t="str">
            <v/>
          </cell>
          <cell r="Q946" t="str">
            <v/>
          </cell>
          <cell r="R946" t="e">
            <v>#N/A</v>
          </cell>
        </row>
        <row r="947">
          <cell r="A947" t="str">
            <v/>
          </cell>
          <cell r="B947" t="str">
            <v/>
          </cell>
          <cell r="C947" t="str">
            <v>Future</v>
          </cell>
          <cell r="D947" t="e">
            <v>#N/A</v>
          </cell>
          <cell r="E947">
            <v>-18.44644268774687</v>
          </cell>
          <cell r="F947">
            <v>45.964624505929159</v>
          </cell>
          <cell r="G947">
            <v>30.628656126481367</v>
          </cell>
          <cell r="H947">
            <v>30.628656126481367</v>
          </cell>
          <cell r="I947" t="e">
            <v>#N/A</v>
          </cell>
          <cell r="J947" t="e">
            <v>#N/A</v>
          </cell>
          <cell r="K947">
            <v>42</v>
          </cell>
          <cell r="L947">
            <v>32</v>
          </cell>
          <cell r="M947" t="e">
            <v>#N/A</v>
          </cell>
          <cell r="N947">
            <v>37</v>
          </cell>
          <cell r="O947" t="e">
            <v>#N/A</v>
          </cell>
          <cell r="P947" t="str">
            <v/>
          </cell>
          <cell r="Q947" t="str">
            <v/>
          </cell>
          <cell r="R947" t="e">
            <v>#N/A</v>
          </cell>
        </row>
        <row r="948">
          <cell r="A948" t="str">
            <v/>
          </cell>
          <cell r="B948" t="str">
            <v/>
          </cell>
          <cell r="C948" t="str">
            <v>Future</v>
          </cell>
          <cell r="D948" t="e">
            <v>#N/A</v>
          </cell>
          <cell r="E948">
            <v>-18.583083003952403</v>
          </cell>
          <cell r="F948">
            <v>45.993992094861966</v>
          </cell>
          <cell r="G948">
            <v>30.618498023714569</v>
          </cell>
          <cell r="H948">
            <v>30.618498023714569</v>
          </cell>
          <cell r="I948" t="e">
            <v>#N/A</v>
          </cell>
          <cell r="J948" t="e">
            <v>#N/A</v>
          </cell>
          <cell r="K948">
            <v>42</v>
          </cell>
          <cell r="L948">
            <v>32</v>
          </cell>
          <cell r="M948" t="e">
            <v>#N/A</v>
          </cell>
          <cell r="N948">
            <v>37</v>
          </cell>
          <cell r="O948" t="e">
            <v>#N/A</v>
          </cell>
          <cell r="P948" t="str">
            <v/>
          </cell>
          <cell r="Q948" t="str">
            <v/>
          </cell>
          <cell r="R948" t="e">
            <v>#N/A</v>
          </cell>
        </row>
        <row r="949">
          <cell r="A949" t="str">
            <v/>
          </cell>
          <cell r="B949" t="str">
            <v/>
          </cell>
          <cell r="C949" t="str">
            <v>Future</v>
          </cell>
          <cell r="D949" t="e">
            <v>#N/A</v>
          </cell>
          <cell r="E949">
            <v>-18.719723320157936</v>
          </cell>
          <cell r="F949">
            <v>46.023359683794773</v>
          </cell>
          <cell r="G949">
            <v>30.60833992094777</v>
          </cell>
          <cell r="H949">
            <v>30.60833992094777</v>
          </cell>
          <cell r="I949" t="e">
            <v>#N/A</v>
          </cell>
          <cell r="J949" t="e">
            <v>#N/A</v>
          </cell>
          <cell r="K949">
            <v>42</v>
          </cell>
          <cell r="L949">
            <v>32</v>
          </cell>
          <cell r="M949" t="e">
            <v>#N/A</v>
          </cell>
          <cell r="N949">
            <v>37</v>
          </cell>
          <cell r="O949" t="e">
            <v>#N/A</v>
          </cell>
          <cell r="P949" t="str">
            <v/>
          </cell>
          <cell r="Q949" t="str">
            <v/>
          </cell>
          <cell r="R949" t="e">
            <v>#N/A</v>
          </cell>
        </row>
        <row r="950">
          <cell r="A950" t="str">
            <v/>
          </cell>
          <cell r="B950" t="str">
            <v/>
          </cell>
          <cell r="C950" t="str">
            <v>Future</v>
          </cell>
          <cell r="D950" t="e">
            <v>#N/A</v>
          </cell>
          <cell r="E950">
            <v>-18.856363636363469</v>
          </cell>
          <cell r="F950">
            <v>46.05272727272758</v>
          </cell>
          <cell r="G950">
            <v>30.598181818180972</v>
          </cell>
          <cell r="H950">
            <v>30.598181818180972</v>
          </cell>
          <cell r="I950" t="e">
            <v>#N/A</v>
          </cell>
          <cell r="J950" t="e">
            <v>#N/A</v>
          </cell>
          <cell r="K950">
            <v>42</v>
          </cell>
          <cell r="L950">
            <v>32</v>
          </cell>
          <cell r="M950" t="e">
            <v>#N/A</v>
          </cell>
          <cell r="N950">
            <v>37</v>
          </cell>
          <cell r="O950" t="e">
            <v>#N/A</v>
          </cell>
          <cell r="P950" t="str">
            <v/>
          </cell>
          <cell r="Q950" t="str">
            <v/>
          </cell>
          <cell r="R950" t="e">
            <v>#N/A</v>
          </cell>
        </row>
        <row r="951">
          <cell r="A951" t="str">
            <v/>
          </cell>
          <cell r="B951" t="str">
            <v/>
          </cell>
          <cell r="C951" t="str">
            <v>Future</v>
          </cell>
          <cell r="D951" t="e">
            <v>#N/A</v>
          </cell>
          <cell r="E951">
            <v>-18.993003952569001</v>
          </cell>
          <cell r="F951">
            <v>46.082094861660387</v>
          </cell>
          <cell r="G951">
            <v>30.588023715414174</v>
          </cell>
          <cell r="H951">
            <v>30.588023715414174</v>
          </cell>
          <cell r="I951" t="e">
            <v>#N/A</v>
          </cell>
          <cell r="J951" t="e">
            <v>#N/A</v>
          </cell>
          <cell r="K951">
            <v>42</v>
          </cell>
          <cell r="L951">
            <v>32</v>
          </cell>
          <cell r="M951" t="e">
            <v>#N/A</v>
          </cell>
          <cell r="N951">
            <v>37</v>
          </cell>
          <cell r="O951" t="e">
            <v>#N/A</v>
          </cell>
          <cell r="P951" t="str">
            <v/>
          </cell>
          <cell r="Q951" t="str">
            <v/>
          </cell>
          <cell r="R951" t="e">
            <v>#N/A</v>
          </cell>
        </row>
        <row r="952">
          <cell r="A952" t="str">
            <v/>
          </cell>
          <cell r="B952" t="str">
            <v/>
          </cell>
          <cell r="C952" t="str">
            <v>Future</v>
          </cell>
          <cell r="D952" t="e">
            <v>#N/A</v>
          </cell>
          <cell r="E952">
            <v>-19.129644268774534</v>
          </cell>
          <cell r="F952">
            <v>46.111462450593194</v>
          </cell>
          <cell r="G952">
            <v>30.577865612647376</v>
          </cell>
          <cell r="H952">
            <v>30.577865612647376</v>
          </cell>
          <cell r="I952" t="e">
            <v>#N/A</v>
          </cell>
          <cell r="J952" t="e">
            <v>#N/A</v>
          </cell>
          <cell r="K952">
            <v>42</v>
          </cell>
          <cell r="L952">
            <v>32</v>
          </cell>
          <cell r="M952" t="e">
            <v>#N/A</v>
          </cell>
          <cell r="N952">
            <v>37</v>
          </cell>
          <cell r="O952" t="e">
            <v>#N/A</v>
          </cell>
          <cell r="P952" t="str">
            <v/>
          </cell>
          <cell r="Q952" t="str">
            <v/>
          </cell>
          <cell r="R952" t="e">
            <v>#N/A</v>
          </cell>
        </row>
        <row r="953">
          <cell r="A953" t="str">
            <v/>
          </cell>
          <cell r="B953" t="str">
            <v/>
          </cell>
          <cell r="C953" t="str">
            <v>Future</v>
          </cell>
          <cell r="D953" t="e">
            <v>#N/A</v>
          </cell>
          <cell r="E953">
            <v>-19.266284584980067</v>
          </cell>
          <cell r="F953">
            <v>46.140830039526001</v>
          </cell>
          <cell r="G953">
            <v>30.567707509880577</v>
          </cell>
          <cell r="H953">
            <v>30.567707509880577</v>
          </cell>
          <cell r="I953" t="e">
            <v>#N/A</v>
          </cell>
          <cell r="J953" t="e">
            <v>#N/A</v>
          </cell>
          <cell r="K953">
            <v>42</v>
          </cell>
          <cell r="L953">
            <v>32</v>
          </cell>
          <cell r="M953" t="e">
            <v>#N/A</v>
          </cell>
          <cell r="N953">
            <v>37</v>
          </cell>
          <cell r="O953" t="e">
            <v>#N/A</v>
          </cell>
          <cell r="P953" t="str">
            <v/>
          </cell>
          <cell r="Q953" t="str">
            <v/>
          </cell>
          <cell r="R953" t="e">
            <v>#N/A</v>
          </cell>
        </row>
        <row r="954">
          <cell r="A954" t="str">
            <v/>
          </cell>
          <cell r="B954" t="str">
            <v/>
          </cell>
          <cell r="C954" t="str">
            <v>Future</v>
          </cell>
          <cell r="D954" t="e">
            <v>#N/A</v>
          </cell>
          <cell r="E954">
            <v>-19.4029249011856</v>
          </cell>
          <cell r="F954">
            <v>46.170197628458808</v>
          </cell>
          <cell r="G954">
            <v>30.557549407113779</v>
          </cell>
          <cell r="H954">
            <v>30.557549407113779</v>
          </cell>
          <cell r="I954" t="e">
            <v>#N/A</v>
          </cell>
          <cell r="J954" t="e">
            <v>#N/A</v>
          </cell>
          <cell r="K954">
            <v>42</v>
          </cell>
          <cell r="L954">
            <v>32</v>
          </cell>
          <cell r="M954" t="e">
            <v>#N/A</v>
          </cell>
          <cell r="N954">
            <v>37</v>
          </cell>
          <cell r="O954" t="e">
            <v>#N/A</v>
          </cell>
          <cell r="P954" t="str">
            <v/>
          </cell>
          <cell r="Q954" t="str">
            <v/>
          </cell>
          <cell r="R954" t="e">
            <v>#N/A</v>
          </cell>
        </row>
        <row r="955">
          <cell r="A955" t="str">
            <v/>
          </cell>
          <cell r="B955" t="str">
            <v/>
          </cell>
          <cell r="C955" t="str">
            <v>Future</v>
          </cell>
          <cell r="D955" t="e">
            <v>#N/A</v>
          </cell>
          <cell r="E955">
            <v>-19.539565217391132</v>
          </cell>
          <cell r="F955">
            <v>46.199565217391616</v>
          </cell>
          <cell r="G955">
            <v>30.547391304346981</v>
          </cell>
          <cell r="H955">
            <v>30.547391304346981</v>
          </cell>
          <cell r="I955" t="e">
            <v>#N/A</v>
          </cell>
          <cell r="J955" t="e">
            <v>#N/A</v>
          </cell>
          <cell r="K955">
            <v>42</v>
          </cell>
          <cell r="L955">
            <v>32</v>
          </cell>
          <cell r="M955" t="e">
            <v>#N/A</v>
          </cell>
          <cell r="N955">
            <v>37</v>
          </cell>
          <cell r="O955" t="e">
            <v>#N/A</v>
          </cell>
          <cell r="P955" t="str">
            <v/>
          </cell>
          <cell r="Q955" t="str">
            <v/>
          </cell>
          <cell r="R955" t="e">
            <v>#N/A</v>
          </cell>
        </row>
        <row r="956">
          <cell r="A956" t="str">
            <v/>
          </cell>
          <cell r="B956" t="str">
            <v/>
          </cell>
          <cell r="C956" t="str">
            <v>Future</v>
          </cell>
          <cell r="D956" t="e">
            <v>#N/A</v>
          </cell>
          <cell r="E956">
            <v>-19.676205533596665</v>
          </cell>
          <cell r="F956">
            <v>46.228932806324423</v>
          </cell>
          <cell r="G956">
            <v>30.537233201580182</v>
          </cell>
          <cell r="H956">
            <v>30.537233201580182</v>
          </cell>
          <cell r="I956" t="e">
            <v>#N/A</v>
          </cell>
          <cell r="J956" t="e">
            <v>#N/A</v>
          </cell>
          <cell r="K956">
            <v>42</v>
          </cell>
          <cell r="L956">
            <v>32</v>
          </cell>
          <cell r="M956" t="e">
            <v>#N/A</v>
          </cell>
          <cell r="N956">
            <v>37</v>
          </cell>
          <cell r="O956" t="e">
            <v>#N/A</v>
          </cell>
          <cell r="P956" t="str">
            <v/>
          </cell>
          <cell r="Q956" t="str">
            <v/>
          </cell>
          <cell r="R956" t="e">
            <v>#N/A</v>
          </cell>
        </row>
        <row r="957">
          <cell r="A957" t="str">
            <v/>
          </cell>
          <cell r="B957" t="str">
            <v/>
          </cell>
          <cell r="C957" t="str">
            <v>Future</v>
          </cell>
          <cell r="D957" t="e">
            <v>#N/A</v>
          </cell>
          <cell r="E957">
            <v>-19.812845849802198</v>
          </cell>
          <cell r="F957">
            <v>46.25830039525723</v>
          </cell>
          <cell r="G957">
            <v>30.527075098813384</v>
          </cell>
          <cell r="H957">
            <v>30.527075098813384</v>
          </cell>
          <cell r="I957" t="e">
            <v>#N/A</v>
          </cell>
          <cell r="J957" t="e">
            <v>#N/A</v>
          </cell>
          <cell r="K957">
            <v>42</v>
          </cell>
          <cell r="L957">
            <v>32</v>
          </cell>
          <cell r="M957" t="e">
            <v>#N/A</v>
          </cell>
          <cell r="N957">
            <v>37</v>
          </cell>
          <cell r="O957" t="e">
            <v>#N/A</v>
          </cell>
          <cell r="P957" t="str">
            <v/>
          </cell>
          <cell r="Q957" t="str">
            <v/>
          </cell>
          <cell r="R957" t="e">
            <v>#N/A</v>
          </cell>
        </row>
        <row r="958">
          <cell r="A958" t="str">
            <v/>
          </cell>
          <cell r="B958" t="str">
            <v/>
          </cell>
          <cell r="C958" t="str">
            <v>Future</v>
          </cell>
          <cell r="D958" t="e">
            <v>#N/A</v>
          </cell>
          <cell r="E958">
            <v>-19.949486166007731</v>
          </cell>
          <cell r="F958">
            <v>46.287667984190037</v>
          </cell>
          <cell r="G958">
            <v>30.516916996046586</v>
          </cell>
          <cell r="H958">
            <v>30.516916996046586</v>
          </cell>
          <cell r="I958" t="e">
            <v>#N/A</v>
          </cell>
          <cell r="J958" t="e">
            <v>#N/A</v>
          </cell>
          <cell r="K958">
            <v>42</v>
          </cell>
          <cell r="L958">
            <v>32</v>
          </cell>
          <cell r="M958" t="e">
            <v>#N/A</v>
          </cell>
          <cell r="N958">
            <v>37</v>
          </cell>
          <cell r="O958" t="e">
            <v>#N/A</v>
          </cell>
          <cell r="P958" t="str">
            <v/>
          </cell>
          <cell r="Q958" t="str">
            <v/>
          </cell>
          <cell r="R958" t="e">
            <v>#N/A</v>
          </cell>
        </row>
        <row r="959">
          <cell r="A959" t="str">
            <v/>
          </cell>
          <cell r="B959" t="str">
            <v/>
          </cell>
          <cell r="C959" t="str">
            <v>Future</v>
          </cell>
          <cell r="D959" t="e">
            <v>#N/A</v>
          </cell>
          <cell r="E959">
            <v>-20.086126482213263</v>
          </cell>
          <cell r="F959">
            <v>46.317035573122844</v>
          </cell>
          <cell r="G959">
            <v>30.506758893279788</v>
          </cell>
          <cell r="H959">
            <v>30.506758893279788</v>
          </cell>
          <cell r="I959" t="e">
            <v>#N/A</v>
          </cell>
          <cell r="J959" t="e">
            <v>#N/A</v>
          </cell>
          <cell r="K959">
            <v>42</v>
          </cell>
          <cell r="L959">
            <v>32</v>
          </cell>
          <cell r="M959" t="e">
            <v>#N/A</v>
          </cell>
          <cell r="N959">
            <v>37</v>
          </cell>
          <cell r="O959" t="e">
            <v>#N/A</v>
          </cell>
          <cell r="P959" t="str">
            <v/>
          </cell>
          <cell r="Q959" t="str">
            <v/>
          </cell>
          <cell r="R959" t="e">
            <v>#N/A</v>
          </cell>
        </row>
        <row r="960">
          <cell r="A960" t="str">
            <v/>
          </cell>
          <cell r="B960" t="str">
            <v/>
          </cell>
          <cell r="C960" t="str">
            <v>Future</v>
          </cell>
          <cell r="D960" t="e">
            <v>#N/A</v>
          </cell>
          <cell r="E960">
            <v>-20.222766798418796</v>
          </cell>
          <cell r="F960">
            <v>46.346403162055651</v>
          </cell>
          <cell r="G960">
            <v>30.496600790512989</v>
          </cell>
          <cell r="H960">
            <v>30.496600790512989</v>
          </cell>
          <cell r="I960" t="e">
            <v>#N/A</v>
          </cell>
          <cell r="J960" t="e">
            <v>#N/A</v>
          </cell>
          <cell r="K960">
            <v>42</v>
          </cell>
          <cell r="L960">
            <v>32</v>
          </cell>
          <cell r="M960" t="e">
            <v>#N/A</v>
          </cell>
          <cell r="N960">
            <v>37</v>
          </cell>
          <cell r="O960" t="e">
            <v>#N/A</v>
          </cell>
          <cell r="P960" t="str">
            <v/>
          </cell>
          <cell r="Q960" t="str">
            <v/>
          </cell>
          <cell r="R960" t="e">
            <v>#N/A</v>
          </cell>
        </row>
        <row r="961">
          <cell r="A961" t="str">
            <v/>
          </cell>
          <cell r="B961" t="str">
            <v/>
          </cell>
          <cell r="C961" t="str">
            <v>Future</v>
          </cell>
          <cell r="D961" t="e">
            <v>#N/A</v>
          </cell>
          <cell r="E961">
            <v>-20.359407114624329</v>
          </cell>
          <cell r="F961">
            <v>46.375770750988458</v>
          </cell>
          <cell r="G961">
            <v>30.486442687746191</v>
          </cell>
          <cell r="H961">
            <v>30.486442687746191</v>
          </cell>
          <cell r="I961" t="e">
            <v>#N/A</v>
          </cell>
          <cell r="J961" t="e">
            <v>#N/A</v>
          </cell>
          <cell r="K961">
            <v>42</v>
          </cell>
          <cell r="L961">
            <v>32</v>
          </cell>
          <cell r="M961" t="e">
            <v>#N/A</v>
          </cell>
          <cell r="N961">
            <v>37</v>
          </cell>
          <cell r="O961" t="e">
            <v>#N/A</v>
          </cell>
          <cell r="P961" t="str">
            <v/>
          </cell>
          <cell r="Q961" t="str">
            <v/>
          </cell>
          <cell r="R961" t="e">
            <v>#N/A</v>
          </cell>
        </row>
        <row r="962">
          <cell r="A962" t="str">
            <v/>
          </cell>
          <cell r="B962" t="str">
            <v/>
          </cell>
          <cell r="C962" t="str">
            <v>Future</v>
          </cell>
          <cell r="D962" t="e">
            <v>#N/A</v>
          </cell>
          <cell r="E962">
            <v>-20.496047430829861</v>
          </cell>
          <cell r="F962">
            <v>46.405138339921265</v>
          </cell>
          <cell r="G962">
            <v>30.476284584979393</v>
          </cell>
          <cell r="H962">
            <v>30.476284584979393</v>
          </cell>
          <cell r="I962" t="e">
            <v>#N/A</v>
          </cell>
          <cell r="J962" t="e">
            <v>#N/A</v>
          </cell>
          <cell r="K962">
            <v>42</v>
          </cell>
          <cell r="L962">
            <v>32</v>
          </cell>
          <cell r="M962" t="e">
            <v>#N/A</v>
          </cell>
          <cell r="N962">
            <v>37</v>
          </cell>
          <cell r="O962" t="e">
            <v>#N/A</v>
          </cell>
          <cell r="P962" t="str">
            <v/>
          </cell>
          <cell r="Q962" t="str">
            <v/>
          </cell>
          <cell r="R962" t="e">
            <v>#N/A</v>
          </cell>
        </row>
        <row r="963">
          <cell r="A963" t="str">
            <v/>
          </cell>
          <cell r="B963" t="str">
            <v/>
          </cell>
          <cell r="C963" t="str">
            <v>Future</v>
          </cell>
          <cell r="D963" t="e">
            <v>#N/A</v>
          </cell>
          <cell r="E963">
            <v>-20.632687747035394</v>
          </cell>
          <cell r="F963">
            <v>46.434505928854072</v>
          </cell>
          <cell r="G963">
            <v>30.466126482212594</v>
          </cell>
          <cell r="H963">
            <v>30.466126482212594</v>
          </cell>
          <cell r="I963" t="e">
            <v>#N/A</v>
          </cell>
          <cell r="J963" t="e">
            <v>#N/A</v>
          </cell>
          <cell r="K963">
            <v>42</v>
          </cell>
          <cell r="L963">
            <v>32</v>
          </cell>
          <cell r="M963" t="e">
            <v>#N/A</v>
          </cell>
          <cell r="N963">
            <v>37</v>
          </cell>
          <cell r="O963" t="e">
            <v>#N/A</v>
          </cell>
          <cell r="P963" t="str">
            <v/>
          </cell>
          <cell r="Q963" t="str">
            <v/>
          </cell>
          <cell r="R963" t="e">
            <v>#N/A</v>
          </cell>
        </row>
        <row r="964">
          <cell r="A964" t="str">
            <v/>
          </cell>
          <cell r="B964" t="str">
            <v/>
          </cell>
          <cell r="C964" t="str">
            <v>Future</v>
          </cell>
          <cell r="D964" t="e">
            <v>#N/A</v>
          </cell>
          <cell r="E964">
            <v>-20.769328063240927</v>
          </cell>
          <cell r="F964">
            <v>46.46387351778688</v>
          </cell>
          <cell r="G964">
            <v>30.455968379445796</v>
          </cell>
          <cell r="H964">
            <v>30.455968379445796</v>
          </cell>
          <cell r="I964" t="e">
            <v>#N/A</v>
          </cell>
          <cell r="J964" t="e">
            <v>#N/A</v>
          </cell>
          <cell r="K964">
            <v>42</v>
          </cell>
          <cell r="L964">
            <v>32</v>
          </cell>
          <cell r="M964" t="e">
            <v>#N/A</v>
          </cell>
          <cell r="N964">
            <v>37</v>
          </cell>
          <cell r="O964" t="e">
            <v>#N/A</v>
          </cell>
          <cell r="P964" t="str">
            <v/>
          </cell>
          <cell r="Q964" t="str">
            <v/>
          </cell>
          <cell r="R964" t="e">
            <v>#N/A</v>
          </cell>
        </row>
        <row r="965">
          <cell r="A965" t="str">
            <v/>
          </cell>
          <cell r="B965" t="str">
            <v/>
          </cell>
          <cell r="C965" t="str">
            <v>Future</v>
          </cell>
          <cell r="D965" t="e">
            <v>#N/A</v>
          </cell>
          <cell r="E965">
            <v>-20.90596837944646</v>
          </cell>
          <cell r="F965">
            <v>46.493241106719687</v>
          </cell>
          <cell r="G965">
            <v>30.445810276678998</v>
          </cell>
          <cell r="H965">
            <v>30.445810276678998</v>
          </cell>
          <cell r="I965" t="e">
            <v>#N/A</v>
          </cell>
          <cell r="J965" t="e">
            <v>#N/A</v>
          </cell>
          <cell r="K965">
            <v>42</v>
          </cell>
          <cell r="L965">
            <v>32</v>
          </cell>
          <cell r="M965" t="e">
            <v>#N/A</v>
          </cell>
          <cell r="N965">
            <v>37</v>
          </cell>
          <cell r="O965" t="e">
            <v>#N/A</v>
          </cell>
          <cell r="P965" t="str">
            <v/>
          </cell>
          <cell r="Q965" t="str">
            <v/>
          </cell>
          <cell r="R965" t="e">
            <v>#N/A</v>
          </cell>
        </row>
        <row r="966">
          <cell r="A966" t="str">
            <v/>
          </cell>
          <cell r="B966" t="str">
            <v/>
          </cell>
          <cell r="C966" t="str">
            <v>Future</v>
          </cell>
          <cell r="D966" t="e">
            <v>#N/A</v>
          </cell>
          <cell r="E966">
            <v>-21.042608695651992</v>
          </cell>
          <cell r="F966">
            <v>46.522608695652494</v>
          </cell>
          <cell r="G966">
            <v>30.435652173912199</v>
          </cell>
          <cell r="H966">
            <v>30.435652173912199</v>
          </cell>
          <cell r="I966" t="e">
            <v>#N/A</v>
          </cell>
          <cell r="J966" t="e">
            <v>#N/A</v>
          </cell>
          <cell r="K966">
            <v>42</v>
          </cell>
          <cell r="L966">
            <v>32</v>
          </cell>
          <cell r="M966" t="e">
            <v>#N/A</v>
          </cell>
          <cell r="N966">
            <v>37</v>
          </cell>
          <cell r="O966" t="e">
            <v>#N/A</v>
          </cell>
          <cell r="P966" t="str">
            <v/>
          </cell>
          <cell r="Q966" t="str">
            <v/>
          </cell>
          <cell r="R966" t="e">
            <v>#N/A</v>
          </cell>
        </row>
        <row r="967">
          <cell r="A967" t="str">
            <v/>
          </cell>
          <cell r="B967" t="str">
            <v/>
          </cell>
          <cell r="C967" t="str">
            <v>Future</v>
          </cell>
          <cell r="D967" t="e">
            <v>#N/A</v>
          </cell>
          <cell r="E967">
            <v>-21.179249011857525</v>
          </cell>
          <cell r="F967">
            <v>46.551976284585301</v>
          </cell>
          <cell r="G967">
            <v>30.425494071145401</v>
          </cell>
          <cell r="H967">
            <v>30.425494071145401</v>
          </cell>
          <cell r="I967" t="e">
            <v>#N/A</v>
          </cell>
          <cell r="J967" t="e">
            <v>#N/A</v>
          </cell>
          <cell r="K967">
            <v>42</v>
          </cell>
          <cell r="L967">
            <v>32</v>
          </cell>
          <cell r="M967" t="e">
            <v>#N/A</v>
          </cell>
          <cell r="N967">
            <v>37</v>
          </cell>
          <cell r="O967" t="e">
            <v>#N/A</v>
          </cell>
          <cell r="P967" t="str">
            <v/>
          </cell>
          <cell r="Q967" t="str">
            <v/>
          </cell>
          <cell r="R967" t="e">
            <v>#N/A</v>
          </cell>
        </row>
        <row r="968">
          <cell r="A968" t="str">
            <v/>
          </cell>
          <cell r="B968" t="str">
            <v/>
          </cell>
          <cell r="C968" t="str">
            <v>Future</v>
          </cell>
          <cell r="D968" t="e">
            <v>#N/A</v>
          </cell>
          <cell r="E968">
            <v>-21.315889328063058</v>
          </cell>
          <cell r="F968">
            <v>46.581343873518108</v>
          </cell>
          <cell r="G968">
            <v>30.415335968378603</v>
          </cell>
          <cell r="H968">
            <v>30.415335968378603</v>
          </cell>
          <cell r="I968" t="e">
            <v>#N/A</v>
          </cell>
          <cell r="J968" t="e">
            <v>#N/A</v>
          </cell>
          <cell r="K968">
            <v>42</v>
          </cell>
          <cell r="L968">
            <v>32</v>
          </cell>
          <cell r="M968" t="e">
            <v>#N/A</v>
          </cell>
          <cell r="N968">
            <v>37</v>
          </cell>
          <cell r="O968" t="e">
            <v>#N/A</v>
          </cell>
          <cell r="P968" t="str">
            <v/>
          </cell>
          <cell r="Q968" t="str">
            <v/>
          </cell>
          <cell r="R968" t="e">
            <v>#N/A</v>
          </cell>
        </row>
        <row r="969">
          <cell r="A969" t="str">
            <v/>
          </cell>
          <cell r="B969" t="str">
            <v/>
          </cell>
          <cell r="C969" t="str">
            <v>Future</v>
          </cell>
          <cell r="D969" t="e">
            <v>#N/A</v>
          </cell>
          <cell r="E969">
            <v>-21.452529644268591</v>
          </cell>
          <cell r="F969">
            <v>46.610711462450915</v>
          </cell>
          <cell r="G969">
            <v>30.405177865611805</v>
          </cell>
          <cell r="H969">
            <v>30.405177865611805</v>
          </cell>
          <cell r="I969" t="e">
            <v>#N/A</v>
          </cell>
          <cell r="J969" t="e">
            <v>#N/A</v>
          </cell>
          <cell r="K969">
            <v>42</v>
          </cell>
          <cell r="L969">
            <v>32</v>
          </cell>
          <cell r="M969" t="e">
            <v>#N/A</v>
          </cell>
          <cell r="N969">
            <v>37</v>
          </cell>
          <cell r="O969" t="e">
            <v>#N/A</v>
          </cell>
          <cell r="P969" t="str">
            <v/>
          </cell>
          <cell r="Q969" t="str">
            <v/>
          </cell>
          <cell r="R969" t="e">
            <v>#N/A</v>
          </cell>
        </row>
        <row r="970">
          <cell r="A970" t="str">
            <v/>
          </cell>
          <cell r="B970" t="str">
            <v/>
          </cell>
          <cell r="C970" t="str">
            <v>Future</v>
          </cell>
          <cell r="D970" t="e">
            <v>#N/A</v>
          </cell>
          <cell r="E970">
            <v>-21.589169960474123</v>
          </cell>
          <cell r="F970">
            <v>46.640079051383722</v>
          </cell>
          <cell r="G970">
            <v>30.395019762845006</v>
          </cell>
          <cell r="H970">
            <v>30.395019762845006</v>
          </cell>
          <cell r="I970" t="e">
            <v>#N/A</v>
          </cell>
          <cell r="J970" t="e">
            <v>#N/A</v>
          </cell>
          <cell r="K970">
            <v>42</v>
          </cell>
          <cell r="L970">
            <v>32</v>
          </cell>
          <cell r="M970" t="e">
            <v>#N/A</v>
          </cell>
          <cell r="N970">
            <v>37</v>
          </cell>
          <cell r="O970" t="e">
            <v>#N/A</v>
          </cell>
          <cell r="P970" t="str">
            <v/>
          </cell>
          <cell r="Q970" t="str">
            <v/>
          </cell>
          <cell r="R970" t="e">
            <v>#N/A</v>
          </cell>
        </row>
        <row r="971">
          <cell r="A971" t="str">
            <v/>
          </cell>
          <cell r="B971" t="str">
            <v/>
          </cell>
          <cell r="C971" t="str">
            <v>Future</v>
          </cell>
          <cell r="D971" t="e">
            <v>#N/A</v>
          </cell>
          <cell r="E971">
            <v>-21.725810276679656</v>
          </cell>
          <cell r="F971">
            <v>46.669446640316529</v>
          </cell>
          <cell r="G971">
            <v>30.384861660078208</v>
          </cell>
          <cell r="H971">
            <v>30.384861660078208</v>
          </cell>
          <cell r="I971" t="e">
            <v>#N/A</v>
          </cell>
          <cell r="J971" t="e">
            <v>#N/A</v>
          </cell>
          <cell r="K971">
            <v>42</v>
          </cell>
          <cell r="L971">
            <v>32</v>
          </cell>
          <cell r="M971" t="e">
            <v>#N/A</v>
          </cell>
          <cell r="N971">
            <v>37</v>
          </cell>
          <cell r="O971" t="e">
            <v>#N/A</v>
          </cell>
          <cell r="P971" t="str">
            <v/>
          </cell>
          <cell r="Q971" t="str">
            <v/>
          </cell>
          <cell r="R971" t="e">
            <v>#N/A</v>
          </cell>
        </row>
        <row r="972">
          <cell r="A972" t="str">
            <v/>
          </cell>
          <cell r="B972" t="str">
            <v/>
          </cell>
          <cell r="C972" t="str">
            <v>Future</v>
          </cell>
          <cell r="D972" t="e">
            <v>#N/A</v>
          </cell>
          <cell r="E972">
            <v>-21.862450592885189</v>
          </cell>
          <cell r="F972">
            <v>46.698814229249336</v>
          </cell>
          <cell r="G972">
            <v>30.37470355731141</v>
          </cell>
          <cell r="H972">
            <v>30.37470355731141</v>
          </cell>
          <cell r="I972" t="e">
            <v>#N/A</v>
          </cell>
          <cell r="J972" t="e">
            <v>#N/A</v>
          </cell>
          <cell r="K972">
            <v>42</v>
          </cell>
          <cell r="L972">
            <v>32</v>
          </cell>
          <cell r="M972" t="e">
            <v>#N/A</v>
          </cell>
          <cell r="N972">
            <v>37</v>
          </cell>
          <cell r="O972" t="e">
            <v>#N/A</v>
          </cell>
          <cell r="P972" t="str">
            <v/>
          </cell>
          <cell r="Q972" t="str">
            <v/>
          </cell>
          <cell r="R972" t="e">
            <v>#N/A</v>
          </cell>
        </row>
        <row r="973">
          <cell r="A973" t="str">
            <v/>
          </cell>
          <cell r="B973" t="str">
            <v/>
          </cell>
          <cell r="C973" t="str">
            <v>Future</v>
          </cell>
          <cell r="D973" t="e">
            <v>#N/A</v>
          </cell>
          <cell r="E973">
            <v>-21.999090909090722</v>
          </cell>
          <cell r="F973">
            <v>46.728181818182144</v>
          </cell>
          <cell r="G973">
            <v>30.364545454544611</v>
          </cell>
          <cell r="H973">
            <v>30.364545454544611</v>
          </cell>
          <cell r="I973" t="e">
            <v>#N/A</v>
          </cell>
          <cell r="J973" t="e">
            <v>#N/A</v>
          </cell>
          <cell r="K973">
            <v>42</v>
          </cell>
          <cell r="L973">
            <v>32</v>
          </cell>
          <cell r="M973" t="e">
            <v>#N/A</v>
          </cell>
          <cell r="N973">
            <v>37</v>
          </cell>
          <cell r="O973" t="e">
            <v>#N/A</v>
          </cell>
          <cell r="P973" t="str">
            <v/>
          </cell>
          <cell r="Q973" t="str">
            <v/>
          </cell>
          <cell r="R973" t="e">
            <v>#N/A</v>
          </cell>
        </row>
        <row r="974">
          <cell r="A974" t="str">
            <v/>
          </cell>
          <cell r="B974" t="str">
            <v/>
          </cell>
          <cell r="C974" t="str">
            <v>Future</v>
          </cell>
          <cell r="D974" t="e">
            <v>#N/A</v>
          </cell>
          <cell r="E974">
            <v>-22.135731225296254</v>
          </cell>
          <cell r="F974">
            <v>46.757549407114951</v>
          </cell>
          <cell r="G974">
            <v>30.354387351777813</v>
          </cell>
          <cell r="H974">
            <v>30.354387351777813</v>
          </cell>
          <cell r="I974" t="e">
            <v>#N/A</v>
          </cell>
          <cell r="J974" t="e">
            <v>#N/A</v>
          </cell>
          <cell r="K974">
            <v>42</v>
          </cell>
          <cell r="L974">
            <v>32</v>
          </cell>
          <cell r="M974" t="e">
            <v>#N/A</v>
          </cell>
          <cell r="N974">
            <v>37</v>
          </cell>
          <cell r="O974" t="e">
            <v>#N/A</v>
          </cell>
          <cell r="P974" t="str">
            <v/>
          </cell>
          <cell r="Q974" t="str">
            <v/>
          </cell>
          <cell r="R974" t="e">
            <v>#N/A</v>
          </cell>
        </row>
        <row r="975">
          <cell r="A975" t="str">
            <v/>
          </cell>
          <cell r="B975" t="str">
            <v/>
          </cell>
          <cell r="C975" t="str">
            <v>Future</v>
          </cell>
          <cell r="D975" t="e">
            <v>#N/A</v>
          </cell>
          <cell r="E975">
            <v>-22.272371541501787</v>
          </cell>
          <cell r="F975">
            <v>46.786916996047758</v>
          </cell>
          <cell r="G975">
            <v>30.344229249011015</v>
          </cell>
          <cell r="H975">
            <v>30.344229249011015</v>
          </cell>
          <cell r="I975" t="e">
            <v>#N/A</v>
          </cell>
          <cell r="J975" t="e">
            <v>#N/A</v>
          </cell>
          <cell r="K975">
            <v>42</v>
          </cell>
          <cell r="L975">
            <v>32</v>
          </cell>
          <cell r="M975" t="e">
            <v>#N/A</v>
          </cell>
          <cell r="N975">
            <v>37</v>
          </cell>
          <cell r="O975" t="e">
            <v>#N/A</v>
          </cell>
          <cell r="P975" t="str">
            <v/>
          </cell>
          <cell r="Q975" t="str">
            <v/>
          </cell>
          <cell r="R975" t="e">
            <v>#N/A</v>
          </cell>
        </row>
        <row r="976">
          <cell r="A976" t="str">
            <v/>
          </cell>
          <cell r="B976" t="str">
            <v/>
          </cell>
          <cell r="C976" t="str">
            <v>Future</v>
          </cell>
          <cell r="D976" t="e">
            <v>#N/A</v>
          </cell>
          <cell r="E976">
            <v>-22.40901185770732</v>
          </cell>
          <cell r="F976">
            <v>46.816284584980565</v>
          </cell>
          <cell r="G976">
            <v>30.334071146244217</v>
          </cell>
          <cell r="H976">
            <v>30.334071146244217</v>
          </cell>
          <cell r="I976" t="e">
            <v>#N/A</v>
          </cell>
          <cell r="J976" t="e">
            <v>#N/A</v>
          </cell>
          <cell r="K976">
            <v>42</v>
          </cell>
          <cell r="L976">
            <v>32</v>
          </cell>
          <cell r="M976" t="e">
            <v>#N/A</v>
          </cell>
          <cell r="N976">
            <v>37</v>
          </cell>
          <cell r="O976" t="e">
            <v>#N/A</v>
          </cell>
          <cell r="P976" t="str">
            <v/>
          </cell>
          <cell r="Q976" t="str">
            <v/>
          </cell>
          <cell r="R976" t="e">
            <v>#N/A</v>
          </cell>
        </row>
        <row r="977">
          <cell r="A977" t="str">
            <v/>
          </cell>
          <cell r="B977" t="str">
            <v/>
          </cell>
          <cell r="C977" t="str">
            <v>Future</v>
          </cell>
          <cell r="D977" t="e">
            <v>#N/A</v>
          </cell>
          <cell r="E977">
            <v>-22.545652173912853</v>
          </cell>
          <cell r="F977">
            <v>46.845652173913372</v>
          </cell>
          <cell r="G977">
            <v>30.323913043477418</v>
          </cell>
          <cell r="H977">
            <v>30.323913043477418</v>
          </cell>
          <cell r="I977" t="e">
            <v>#N/A</v>
          </cell>
          <cell r="J977" t="e">
            <v>#N/A</v>
          </cell>
          <cell r="K977">
            <v>42</v>
          </cell>
          <cell r="L977">
            <v>32</v>
          </cell>
          <cell r="M977" t="e">
            <v>#N/A</v>
          </cell>
          <cell r="N977">
            <v>37</v>
          </cell>
          <cell r="O977" t="e">
            <v>#N/A</v>
          </cell>
          <cell r="P977" t="str">
            <v/>
          </cell>
          <cell r="Q977" t="str">
            <v/>
          </cell>
          <cell r="R977" t="e">
            <v>#N/A</v>
          </cell>
        </row>
        <row r="978">
          <cell r="A978" t="str">
            <v/>
          </cell>
          <cell r="B978" t="str">
            <v/>
          </cell>
          <cell r="C978" t="str">
            <v>Future</v>
          </cell>
          <cell r="D978" t="e">
            <v>#N/A</v>
          </cell>
          <cell r="E978">
            <v>-22.682292490118385</v>
          </cell>
          <cell r="F978">
            <v>46.875019762846179</v>
          </cell>
          <cell r="G978">
            <v>30.31375494071062</v>
          </cell>
          <cell r="H978">
            <v>30.31375494071062</v>
          </cell>
          <cell r="I978" t="e">
            <v>#N/A</v>
          </cell>
          <cell r="J978" t="e">
            <v>#N/A</v>
          </cell>
          <cell r="K978">
            <v>42</v>
          </cell>
          <cell r="L978">
            <v>32</v>
          </cell>
          <cell r="M978" t="e">
            <v>#N/A</v>
          </cell>
          <cell r="N978">
            <v>37</v>
          </cell>
          <cell r="O978" t="e">
            <v>#N/A</v>
          </cell>
          <cell r="P978" t="str">
            <v/>
          </cell>
          <cell r="Q978" t="str">
            <v/>
          </cell>
          <cell r="R978" t="e">
            <v>#N/A</v>
          </cell>
        </row>
        <row r="979">
          <cell r="A979" t="str">
            <v/>
          </cell>
          <cell r="B979" t="str">
            <v/>
          </cell>
          <cell r="C979" t="str">
            <v>Future</v>
          </cell>
          <cell r="D979" t="e">
            <v>#N/A</v>
          </cell>
          <cell r="E979">
            <v>-22.818932806323918</v>
          </cell>
          <cell r="F979">
            <v>46.904387351778986</v>
          </cell>
          <cell r="G979">
            <v>30.303596837943822</v>
          </cell>
          <cell r="H979">
            <v>30.303596837943822</v>
          </cell>
          <cell r="I979" t="e">
            <v>#N/A</v>
          </cell>
          <cell r="J979" t="e">
            <v>#N/A</v>
          </cell>
          <cell r="K979">
            <v>42</v>
          </cell>
          <cell r="L979">
            <v>32</v>
          </cell>
          <cell r="M979" t="e">
            <v>#N/A</v>
          </cell>
          <cell r="N979">
            <v>37</v>
          </cell>
          <cell r="O979" t="e">
            <v>#N/A</v>
          </cell>
          <cell r="P979" t="str">
            <v/>
          </cell>
          <cell r="Q979" t="str">
            <v/>
          </cell>
          <cell r="R979" t="e">
            <v>#N/A</v>
          </cell>
        </row>
        <row r="980">
          <cell r="A980" t="str">
            <v/>
          </cell>
          <cell r="B980" t="str">
            <v/>
          </cell>
          <cell r="C980" t="str">
            <v>Future</v>
          </cell>
          <cell r="D980" t="e">
            <v>#N/A</v>
          </cell>
          <cell r="E980">
            <v>-22.955573122529451</v>
          </cell>
          <cell r="F980">
            <v>46.933754940711793</v>
          </cell>
          <cell r="G980">
            <v>30.293438735177023</v>
          </cell>
          <cell r="H980">
            <v>30.293438735177023</v>
          </cell>
          <cell r="I980" t="e">
            <v>#N/A</v>
          </cell>
          <cell r="J980" t="e">
            <v>#N/A</v>
          </cell>
          <cell r="K980">
            <v>42</v>
          </cell>
          <cell r="L980">
            <v>32</v>
          </cell>
          <cell r="M980" t="e">
            <v>#N/A</v>
          </cell>
          <cell r="N980">
            <v>37</v>
          </cell>
          <cell r="O980" t="e">
            <v>#N/A</v>
          </cell>
          <cell r="P980" t="str">
            <v/>
          </cell>
          <cell r="Q980" t="str">
            <v/>
          </cell>
          <cell r="R980" t="e">
            <v>#N/A</v>
          </cell>
        </row>
        <row r="981">
          <cell r="A981" t="str">
            <v/>
          </cell>
          <cell r="B981" t="str">
            <v/>
          </cell>
          <cell r="C981" t="str">
            <v>Future</v>
          </cell>
          <cell r="D981" t="e">
            <v>#N/A</v>
          </cell>
          <cell r="E981">
            <v>-23.092213438734984</v>
          </cell>
          <cell r="F981">
            <v>46.9631225296446</v>
          </cell>
          <cell r="G981">
            <v>30.283280632410225</v>
          </cell>
          <cell r="H981">
            <v>30.283280632410225</v>
          </cell>
          <cell r="I981" t="e">
            <v>#N/A</v>
          </cell>
          <cell r="J981" t="e">
            <v>#N/A</v>
          </cell>
          <cell r="K981">
            <v>42</v>
          </cell>
          <cell r="L981">
            <v>32</v>
          </cell>
          <cell r="M981" t="e">
            <v>#N/A</v>
          </cell>
          <cell r="N981">
            <v>37</v>
          </cell>
          <cell r="O981" t="e">
            <v>#N/A</v>
          </cell>
          <cell r="P981" t="str">
            <v/>
          </cell>
          <cell r="Q981" t="str">
            <v/>
          </cell>
          <cell r="R981" t="e">
            <v>#N/A</v>
          </cell>
        </row>
        <row r="982">
          <cell r="A982" t="str">
            <v/>
          </cell>
          <cell r="B982" t="str">
            <v/>
          </cell>
          <cell r="C982" t="str">
            <v>Future</v>
          </cell>
          <cell r="D982" t="e">
            <v>#N/A</v>
          </cell>
          <cell r="E982">
            <v>-23.228853754940516</v>
          </cell>
          <cell r="F982">
            <v>46.992490118577408</v>
          </cell>
          <cell r="G982">
            <v>30.273122529643427</v>
          </cell>
          <cell r="H982">
            <v>30.273122529643427</v>
          </cell>
          <cell r="I982" t="e">
            <v>#N/A</v>
          </cell>
          <cell r="J982" t="e">
            <v>#N/A</v>
          </cell>
          <cell r="K982">
            <v>42</v>
          </cell>
          <cell r="L982">
            <v>32</v>
          </cell>
          <cell r="M982" t="e">
            <v>#N/A</v>
          </cell>
          <cell r="N982">
            <v>37</v>
          </cell>
          <cell r="O982" t="e">
            <v>#N/A</v>
          </cell>
          <cell r="P982" t="str">
            <v/>
          </cell>
          <cell r="Q982" t="str">
            <v/>
          </cell>
          <cell r="R982" t="e">
            <v>#N/A</v>
          </cell>
        </row>
        <row r="983">
          <cell r="A983" t="str">
            <v/>
          </cell>
          <cell r="B983" t="str">
            <v/>
          </cell>
          <cell r="C983" t="str">
            <v>Future</v>
          </cell>
          <cell r="D983" t="e">
            <v>#N/A</v>
          </cell>
          <cell r="E983">
            <v>-23.365494071146049</v>
          </cell>
          <cell r="F983">
            <v>47.021857707510215</v>
          </cell>
          <cell r="G983">
            <v>30.262964426876628</v>
          </cell>
          <cell r="H983">
            <v>30.262964426876628</v>
          </cell>
          <cell r="I983" t="e">
            <v>#N/A</v>
          </cell>
          <cell r="J983" t="e">
            <v>#N/A</v>
          </cell>
          <cell r="K983">
            <v>42</v>
          </cell>
          <cell r="L983">
            <v>32</v>
          </cell>
          <cell r="M983" t="e">
            <v>#N/A</v>
          </cell>
          <cell r="N983">
            <v>37</v>
          </cell>
          <cell r="O983" t="e">
            <v>#N/A</v>
          </cell>
          <cell r="P983" t="str">
            <v/>
          </cell>
          <cell r="Q983" t="str">
            <v/>
          </cell>
          <cell r="R983" t="e">
            <v>#N/A</v>
          </cell>
        </row>
        <row r="984">
          <cell r="A984" t="str">
            <v/>
          </cell>
          <cell r="B984" t="str">
            <v/>
          </cell>
          <cell r="C984" t="str">
            <v>Future</v>
          </cell>
          <cell r="D984" t="e">
            <v>#N/A</v>
          </cell>
          <cell r="E984">
            <v>-23.502134387351582</v>
          </cell>
          <cell r="F984">
            <v>47.051225296443022</v>
          </cell>
          <cell r="G984">
            <v>30.25280632410983</v>
          </cell>
          <cell r="H984">
            <v>30.25280632410983</v>
          </cell>
          <cell r="I984" t="e">
            <v>#N/A</v>
          </cell>
          <cell r="J984" t="e">
            <v>#N/A</v>
          </cell>
          <cell r="K984">
            <v>42</v>
          </cell>
          <cell r="L984">
            <v>32</v>
          </cell>
          <cell r="M984" t="e">
            <v>#N/A</v>
          </cell>
          <cell r="N984">
            <v>37</v>
          </cell>
          <cell r="O984" t="e">
            <v>#N/A</v>
          </cell>
          <cell r="P984" t="str">
            <v/>
          </cell>
          <cell r="Q984" t="str">
            <v/>
          </cell>
          <cell r="R984" t="e">
            <v>#N/A</v>
          </cell>
        </row>
        <row r="985">
          <cell r="A985" t="str">
            <v/>
          </cell>
          <cell r="B985" t="str">
            <v/>
          </cell>
          <cell r="C985" t="str">
            <v>Future</v>
          </cell>
          <cell r="D985" t="e">
            <v>#N/A</v>
          </cell>
          <cell r="E985">
            <v>-23.638774703557115</v>
          </cell>
          <cell r="F985">
            <v>47.080592885375829</v>
          </cell>
          <cell r="G985">
            <v>30.242648221343032</v>
          </cell>
          <cell r="H985">
            <v>30.242648221343032</v>
          </cell>
          <cell r="I985" t="e">
            <v>#N/A</v>
          </cell>
          <cell r="J985" t="e">
            <v>#N/A</v>
          </cell>
          <cell r="K985">
            <v>42</v>
          </cell>
          <cell r="L985">
            <v>32</v>
          </cell>
          <cell r="M985" t="e">
            <v>#N/A</v>
          </cell>
          <cell r="N985">
            <v>37</v>
          </cell>
          <cell r="O985" t="e">
            <v>#N/A</v>
          </cell>
          <cell r="P985" t="str">
            <v/>
          </cell>
          <cell r="Q985" t="str">
            <v/>
          </cell>
          <cell r="R985" t="e">
            <v>#N/A</v>
          </cell>
        </row>
        <row r="986">
          <cell r="A986" t="str">
            <v/>
          </cell>
          <cell r="B986" t="str">
            <v/>
          </cell>
          <cell r="C986" t="str">
            <v>Future</v>
          </cell>
          <cell r="D986" t="e">
            <v>#N/A</v>
          </cell>
          <cell r="E986">
            <v>-23.775415019762647</v>
          </cell>
          <cell r="F986">
            <v>47.109960474308636</v>
          </cell>
          <cell r="G986">
            <v>30.232490118576234</v>
          </cell>
          <cell r="H986">
            <v>30.232490118576234</v>
          </cell>
          <cell r="I986" t="e">
            <v>#N/A</v>
          </cell>
          <cell r="J986" t="e">
            <v>#N/A</v>
          </cell>
          <cell r="K986">
            <v>42</v>
          </cell>
          <cell r="L986">
            <v>32</v>
          </cell>
          <cell r="M986" t="e">
            <v>#N/A</v>
          </cell>
          <cell r="N986">
            <v>37</v>
          </cell>
          <cell r="O986" t="e">
            <v>#N/A</v>
          </cell>
          <cell r="P986" t="str">
            <v/>
          </cell>
          <cell r="Q986" t="str">
            <v/>
          </cell>
          <cell r="R986" t="e">
            <v>#N/A</v>
          </cell>
        </row>
        <row r="987">
          <cell r="A987" t="str">
            <v/>
          </cell>
          <cell r="B987" t="str">
            <v/>
          </cell>
          <cell r="C987" t="str">
            <v>Future</v>
          </cell>
          <cell r="D987" t="e">
            <v>#N/A</v>
          </cell>
          <cell r="E987">
            <v>-23.91205533596818</v>
          </cell>
          <cell r="F987">
            <v>47.139328063241443</v>
          </cell>
          <cell r="G987">
            <v>30.222332015809435</v>
          </cell>
          <cell r="H987">
            <v>30.222332015809435</v>
          </cell>
          <cell r="I987" t="e">
            <v>#N/A</v>
          </cell>
          <cell r="J987" t="e">
            <v>#N/A</v>
          </cell>
          <cell r="K987">
            <v>42</v>
          </cell>
          <cell r="L987">
            <v>32</v>
          </cell>
          <cell r="M987" t="e">
            <v>#N/A</v>
          </cell>
          <cell r="N987">
            <v>37</v>
          </cell>
          <cell r="O987" t="e">
            <v>#N/A</v>
          </cell>
          <cell r="P987" t="str">
            <v/>
          </cell>
          <cell r="Q987" t="str">
            <v/>
          </cell>
          <cell r="R987" t="e">
            <v>#N/A</v>
          </cell>
        </row>
        <row r="988">
          <cell r="A988" t="str">
            <v/>
          </cell>
          <cell r="B988" t="str">
            <v/>
          </cell>
          <cell r="C988" t="str">
            <v>Future</v>
          </cell>
          <cell r="D988" t="e">
            <v>#N/A</v>
          </cell>
          <cell r="E988">
            <v>-24.048695652173713</v>
          </cell>
          <cell r="F988">
            <v>47.16869565217425</v>
          </cell>
          <cell r="G988">
            <v>30.212173913042637</v>
          </cell>
          <cell r="H988">
            <v>30.212173913042637</v>
          </cell>
          <cell r="I988" t="e">
            <v>#N/A</v>
          </cell>
          <cell r="J988" t="e">
            <v>#N/A</v>
          </cell>
          <cell r="K988">
            <v>42</v>
          </cell>
          <cell r="L988">
            <v>32</v>
          </cell>
          <cell r="M988" t="e">
            <v>#N/A</v>
          </cell>
          <cell r="N988">
            <v>37</v>
          </cell>
          <cell r="O988" t="e">
            <v>#N/A</v>
          </cell>
          <cell r="P988" t="str">
            <v/>
          </cell>
          <cell r="Q988" t="str">
            <v/>
          </cell>
          <cell r="R988" t="e">
            <v>#N/A</v>
          </cell>
        </row>
        <row r="989">
          <cell r="A989" t="str">
            <v/>
          </cell>
          <cell r="B989" t="str">
            <v/>
          </cell>
          <cell r="C989" t="str">
            <v>Future</v>
          </cell>
          <cell r="D989" t="e">
            <v>#N/A</v>
          </cell>
          <cell r="E989">
            <v>-24.185335968379245</v>
          </cell>
          <cell r="F989">
            <v>47.198063241107057</v>
          </cell>
          <cell r="G989">
            <v>30.202015810275839</v>
          </cell>
          <cell r="H989">
            <v>30.202015810275839</v>
          </cell>
          <cell r="I989" t="e">
            <v>#N/A</v>
          </cell>
          <cell r="J989" t="e">
            <v>#N/A</v>
          </cell>
          <cell r="K989">
            <v>42</v>
          </cell>
          <cell r="L989">
            <v>32</v>
          </cell>
          <cell r="M989" t="e">
            <v>#N/A</v>
          </cell>
          <cell r="N989">
            <v>37</v>
          </cell>
          <cell r="O989" t="e">
            <v>#N/A</v>
          </cell>
          <cell r="P989" t="str">
            <v/>
          </cell>
          <cell r="Q989" t="str">
            <v/>
          </cell>
          <cell r="R989" t="e">
            <v>#N/A</v>
          </cell>
        </row>
        <row r="990">
          <cell r="A990" t="str">
            <v/>
          </cell>
          <cell r="B990" t="str">
            <v/>
          </cell>
          <cell r="C990" t="str">
            <v>Future</v>
          </cell>
          <cell r="D990" t="e">
            <v>#N/A</v>
          </cell>
          <cell r="E990">
            <v>-24.321976284584778</v>
          </cell>
          <cell r="F990">
            <v>47.227430830039864</v>
          </cell>
          <cell r="G990">
            <v>30.19185770750904</v>
          </cell>
          <cell r="H990">
            <v>30.19185770750904</v>
          </cell>
          <cell r="I990" t="e">
            <v>#N/A</v>
          </cell>
          <cell r="J990" t="e">
            <v>#N/A</v>
          </cell>
          <cell r="K990">
            <v>42</v>
          </cell>
          <cell r="L990">
            <v>32</v>
          </cell>
          <cell r="M990" t="e">
            <v>#N/A</v>
          </cell>
          <cell r="N990">
            <v>37</v>
          </cell>
          <cell r="O990" t="e">
            <v>#N/A</v>
          </cell>
          <cell r="P990" t="str">
            <v/>
          </cell>
          <cell r="Q990" t="str">
            <v/>
          </cell>
          <cell r="R990" t="e">
            <v>#N/A</v>
          </cell>
        </row>
        <row r="991">
          <cell r="A991" t="str">
            <v/>
          </cell>
          <cell r="B991" t="str">
            <v/>
          </cell>
          <cell r="C991" t="str">
            <v>Future</v>
          </cell>
          <cell r="D991" t="e">
            <v>#N/A</v>
          </cell>
          <cell r="E991">
            <v>-24.458616600790311</v>
          </cell>
          <cell r="F991">
            <v>47.256798418972672</v>
          </cell>
          <cell r="G991">
            <v>30.181699604742242</v>
          </cell>
          <cell r="H991">
            <v>30.181699604742242</v>
          </cell>
          <cell r="I991" t="e">
            <v>#N/A</v>
          </cell>
          <cell r="J991" t="e">
            <v>#N/A</v>
          </cell>
          <cell r="K991">
            <v>42</v>
          </cell>
          <cell r="L991">
            <v>32</v>
          </cell>
          <cell r="M991" t="e">
            <v>#N/A</v>
          </cell>
          <cell r="N991">
            <v>37</v>
          </cell>
          <cell r="O991" t="e">
            <v>#N/A</v>
          </cell>
          <cell r="P991" t="str">
            <v/>
          </cell>
          <cell r="Q991" t="str">
            <v/>
          </cell>
          <cell r="R991" t="e">
            <v>#N/A</v>
          </cell>
        </row>
        <row r="992">
          <cell r="A992" t="str">
            <v/>
          </cell>
          <cell r="B992" t="str">
            <v/>
          </cell>
          <cell r="C992" t="str">
            <v>Future</v>
          </cell>
          <cell r="D992" t="e">
            <v>#N/A</v>
          </cell>
          <cell r="E992">
            <v>-24.595256916995844</v>
          </cell>
          <cell r="F992">
            <v>47.286166007905479</v>
          </cell>
          <cell r="G992">
            <v>30.171541501975444</v>
          </cell>
          <cell r="H992">
            <v>30.171541501975444</v>
          </cell>
          <cell r="I992" t="e">
            <v>#N/A</v>
          </cell>
          <cell r="J992" t="e">
            <v>#N/A</v>
          </cell>
          <cell r="K992">
            <v>42</v>
          </cell>
          <cell r="L992">
            <v>32</v>
          </cell>
          <cell r="M992" t="e">
            <v>#N/A</v>
          </cell>
          <cell r="N992">
            <v>37</v>
          </cell>
          <cell r="O992" t="e">
            <v>#N/A</v>
          </cell>
          <cell r="P992" t="str">
            <v/>
          </cell>
          <cell r="Q992" t="str">
            <v/>
          </cell>
          <cell r="R992" t="e">
            <v>#N/A</v>
          </cell>
        </row>
        <row r="993">
          <cell r="A993" t="str">
            <v/>
          </cell>
          <cell r="B993" t="str">
            <v/>
          </cell>
          <cell r="C993" t="str">
            <v>Future</v>
          </cell>
          <cell r="D993" t="e">
            <v>#N/A</v>
          </cell>
          <cell r="E993">
            <v>-24.731897233201376</v>
          </cell>
          <cell r="F993">
            <v>47.315533596838286</v>
          </cell>
          <cell r="G993">
            <v>30.161383399208646</v>
          </cell>
          <cell r="H993">
            <v>30.161383399208646</v>
          </cell>
          <cell r="I993" t="e">
            <v>#N/A</v>
          </cell>
          <cell r="J993" t="e">
            <v>#N/A</v>
          </cell>
          <cell r="K993">
            <v>42</v>
          </cell>
          <cell r="L993">
            <v>32</v>
          </cell>
          <cell r="M993" t="e">
            <v>#N/A</v>
          </cell>
          <cell r="N993">
            <v>37</v>
          </cell>
          <cell r="O993" t="e">
            <v>#N/A</v>
          </cell>
          <cell r="P993" t="str">
            <v/>
          </cell>
          <cell r="Q993" t="str">
            <v/>
          </cell>
          <cell r="R993" t="e">
            <v>#N/A</v>
          </cell>
        </row>
        <row r="994">
          <cell r="A994" t="str">
            <v/>
          </cell>
          <cell r="B994" t="str">
            <v/>
          </cell>
          <cell r="C994" t="str">
            <v>Future</v>
          </cell>
          <cell r="D994" t="e">
            <v>#N/A</v>
          </cell>
          <cell r="E994">
            <v>-24.868537549406909</v>
          </cell>
          <cell r="F994">
            <v>47.344901185771093</v>
          </cell>
          <cell r="G994">
            <v>30.151225296441847</v>
          </cell>
          <cell r="H994">
            <v>30.151225296441847</v>
          </cell>
          <cell r="I994" t="e">
            <v>#N/A</v>
          </cell>
          <cell r="J994" t="e">
            <v>#N/A</v>
          </cell>
          <cell r="K994">
            <v>42</v>
          </cell>
          <cell r="L994">
            <v>32</v>
          </cell>
          <cell r="M994" t="e">
            <v>#N/A</v>
          </cell>
          <cell r="N994">
            <v>37</v>
          </cell>
          <cell r="O994" t="e">
            <v>#N/A</v>
          </cell>
          <cell r="P994" t="str">
            <v/>
          </cell>
          <cell r="Q994" t="str">
            <v/>
          </cell>
          <cell r="R994" t="e">
            <v>#N/A</v>
          </cell>
        </row>
        <row r="995">
          <cell r="A995" t="str">
            <v/>
          </cell>
          <cell r="B995" t="str">
            <v/>
          </cell>
          <cell r="C995" t="str">
            <v>Future</v>
          </cell>
          <cell r="D995" t="e">
            <v>#N/A</v>
          </cell>
          <cell r="E995">
            <v>-25.005177865612442</v>
          </cell>
          <cell r="F995">
            <v>47.3742687747039</v>
          </cell>
          <cell r="G995">
            <v>30.141067193675049</v>
          </cell>
          <cell r="H995">
            <v>30.141067193675049</v>
          </cell>
          <cell r="I995" t="e">
            <v>#N/A</v>
          </cell>
          <cell r="J995" t="e">
            <v>#N/A</v>
          </cell>
          <cell r="K995">
            <v>42</v>
          </cell>
          <cell r="L995">
            <v>32</v>
          </cell>
          <cell r="M995" t="e">
            <v>#N/A</v>
          </cell>
          <cell r="N995">
            <v>37</v>
          </cell>
          <cell r="O995" t="e">
            <v>#N/A</v>
          </cell>
          <cell r="P995" t="str">
            <v/>
          </cell>
          <cell r="Q995" t="str">
            <v/>
          </cell>
          <cell r="R995" t="e">
            <v>#N/A</v>
          </cell>
        </row>
        <row r="996">
          <cell r="A996" t="str">
            <v/>
          </cell>
          <cell r="B996" t="str">
            <v/>
          </cell>
          <cell r="C996" t="str">
            <v>Future</v>
          </cell>
          <cell r="D996" t="e">
            <v>#N/A</v>
          </cell>
          <cell r="E996">
            <v>-25.141818181817975</v>
          </cell>
          <cell r="F996">
            <v>47.403636363636707</v>
          </cell>
          <cell r="G996">
            <v>30.130909090908251</v>
          </cell>
          <cell r="H996">
            <v>30.130909090908251</v>
          </cell>
          <cell r="I996" t="e">
            <v>#N/A</v>
          </cell>
          <cell r="J996" t="e">
            <v>#N/A</v>
          </cell>
          <cell r="K996">
            <v>42</v>
          </cell>
          <cell r="L996">
            <v>32</v>
          </cell>
          <cell r="M996" t="e">
            <v>#N/A</v>
          </cell>
          <cell r="N996">
            <v>37</v>
          </cell>
          <cell r="O996" t="e">
            <v>#N/A</v>
          </cell>
          <cell r="P996" t="str">
            <v/>
          </cell>
          <cell r="Q996" t="str">
            <v/>
          </cell>
          <cell r="R996" t="e">
            <v>#N/A</v>
          </cell>
        </row>
        <row r="997">
          <cell r="A997" t="str">
            <v/>
          </cell>
          <cell r="B997" t="str">
            <v/>
          </cell>
          <cell r="C997" t="str">
            <v>Future</v>
          </cell>
          <cell r="D997" t="e">
            <v>#N/A</v>
          </cell>
          <cell r="E997">
            <v>-25.278458498023507</v>
          </cell>
          <cell r="F997">
            <v>47.433003952569514</v>
          </cell>
          <cell r="G997">
            <v>30.120750988141452</v>
          </cell>
          <cell r="H997">
            <v>30.120750988141452</v>
          </cell>
          <cell r="I997" t="e">
            <v>#N/A</v>
          </cell>
          <cell r="J997" t="e">
            <v>#N/A</v>
          </cell>
          <cell r="K997">
            <v>42</v>
          </cell>
          <cell r="L997">
            <v>32</v>
          </cell>
          <cell r="M997" t="e">
            <v>#N/A</v>
          </cell>
          <cell r="N997">
            <v>37</v>
          </cell>
          <cell r="O997" t="e">
            <v>#N/A</v>
          </cell>
          <cell r="P997" t="str">
            <v/>
          </cell>
          <cell r="Q997" t="str">
            <v/>
          </cell>
          <cell r="R997" t="e">
            <v>#N/A</v>
          </cell>
        </row>
        <row r="998">
          <cell r="A998" t="str">
            <v/>
          </cell>
          <cell r="B998" t="str">
            <v/>
          </cell>
          <cell r="C998" t="str">
            <v>Future</v>
          </cell>
          <cell r="D998" t="e">
            <v>#N/A</v>
          </cell>
          <cell r="E998">
            <v>-25.41509881422904</v>
          </cell>
          <cell r="F998">
            <v>47.462371541502321</v>
          </cell>
          <cell r="G998">
            <v>30.110592885374654</v>
          </cell>
          <cell r="H998">
            <v>30.110592885374654</v>
          </cell>
          <cell r="I998" t="e">
            <v>#N/A</v>
          </cell>
          <cell r="J998" t="e">
            <v>#N/A</v>
          </cell>
          <cell r="K998">
            <v>42</v>
          </cell>
          <cell r="L998">
            <v>32</v>
          </cell>
          <cell r="M998" t="e">
            <v>#N/A</v>
          </cell>
          <cell r="N998">
            <v>37</v>
          </cell>
          <cell r="O998" t="e">
            <v>#N/A</v>
          </cell>
          <cell r="P998" t="str">
            <v/>
          </cell>
          <cell r="Q998" t="str">
            <v/>
          </cell>
          <cell r="R998" t="e">
            <v>#N/A</v>
          </cell>
        </row>
        <row r="999">
          <cell r="A999" t="str">
            <v/>
          </cell>
          <cell r="B999" t="str">
            <v/>
          </cell>
          <cell r="C999" t="str">
            <v>Future</v>
          </cell>
          <cell r="D999" t="e">
            <v>#N/A</v>
          </cell>
          <cell r="E999">
            <v>-25.551739130434573</v>
          </cell>
          <cell r="F999">
            <v>47.491739130435128</v>
          </cell>
          <cell r="G999">
            <v>30.100434782607856</v>
          </cell>
          <cell r="H999">
            <v>30.100434782607856</v>
          </cell>
          <cell r="I999" t="e">
            <v>#N/A</v>
          </cell>
          <cell r="J999" t="e">
            <v>#N/A</v>
          </cell>
          <cell r="K999">
            <v>42</v>
          </cell>
          <cell r="L999">
            <v>32</v>
          </cell>
          <cell r="M999" t="e">
            <v>#N/A</v>
          </cell>
          <cell r="N999">
            <v>37</v>
          </cell>
          <cell r="O999" t="e">
            <v>#N/A</v>
          </cell>
          <cell r="P999" t="str">
            <v/>
          </cell>
          <cell r="Q999" t="str">
            <v/>
          </cell>
          <cell r="R999" t="e">
            <v>#N/A</v>
          </cell>
        </row>
        <row r="1000">
          <cell r="A1000" t="str">
            <v/>
          </cell>
          <cell r="B1000" t="str">
            <v/>
          </cell>
          <cell r="C1000" t="str">
            <v>Future</v>
          </cell>
          <cell r="D1000" t="e">
            <v>#N/A</v>
          </cell>
          <cell r="E1000">
            <v>-25.688379446640106</v>
          </cell>
          <cell r="F1000">
            <v>47.521106719367936</v>
          </cell>
          <cell r="G1000">
            <v>30.090276679841057</v>
          </cell>
          <cell r="H1000">
            <v>30.090276679841057</v>
          </cell>
          <cell r="I1000" t="e">
            <v>#N/A</v>
          </cell>
          <cell r="J1000" t="e">
            <v>#N/A</v>
          </cell>
          <cell r="K1000">
            <v>42</v>
          </cell>
          <cell r="L1000">
            <v>32</v>
          </cell>
          <cell r="M1000" t="e">
            <v>#N/A</v>
          </cell>
          <cell r="N1000">
            <v>37</v>
          </cell>
          <cell r="O1000" t="e">
            <v>#N/A</v>
          </cell>
          <cell r="P1000" t="str">
            <v/>
          </cell>
          <cell r="Q1000" t="str">
            <v/>
          </cell>
          <cell r="R1000" t="e">
            <v>#N/A</v>
          </cell>
        </row>
        <row r="1001">
          <cell r="A1001" t="str">
            <v/>
          </cell>
          <cell r="B1001" t="str">
            <v/>
          </cell>
          <cell r="C1001" t="str">
            <v>Future</v>
          </cell>
          <cell r="D1001" t="e">
            <v>#N/A</v>
          </cell>
          <cell r="E1001">
            <v>-25.825019762845638</v>
          </cell>
          <cell r="F1001">
            <v>47.550474308300743</v>
          </cell>
          <cell r="G1001">
            <v>30.080118577074259</v>
          </cell>
          <cell r="H1001">
            <v>30.080118577074259</v>
          </cell>
          <cell r="I1001" t="e">
            <v>#N/A</v>
          </cell>
          <cell r="J1001" t="e">
            <v>#N/A</v>
          </cell>
          <cell r="K1001">
            <v>42</v>
          </cell>
          <cell r="L1001">
            <v>32</v>
          </cell>
          <cell r="M1001" t="e">
            <v>#N/A</v>
          </cell>
          <cell r="N1001">
            <v>37</v>
          </cell>
          <cell r="O1001" t="e">
            <v>#N/A</v>
          </cell>
          <cell r="P1001" t="str">
            <v/>
          </cell>
          <cell r="Q1001" t="str">
            <v/>
          </cell>
          <cell r="R1001" t="e">
            <v>#N/A</v>
          </cell>
        </row>
        <row r="1002">
          <cell r="A1002" t="str">
            <v/>
          </cell>
          <cell r="B1002" t="str">
            <v/>
          </cell>
          <cell r="C1002" t="str">
            <v>Future</v>
          </cell>
          <cell r="D1002" t="e">
            <v>#N/A</v>
          </cell>
          <cell r="E1002">
            <v>-25.961660079051171</v>
          </cell>
          <cell r="F1002">
            <v>47.57984189723355</v>
          </cell>
          <cell r="G1002">
            <v>30.069960474307461</v>
          </cell>
          <cell r="H1002">
            <v>30.069960474307461</v>
          </cell>
          <cell r="I1002" t="e">
            <v>#N/A</v>
          </cell>
          <cell r="J1002" t="e">
            <v>#N/A</v>
          </cell>
          <cell r="K1002">
            <v>42</v>
          </cell>
          <cell r="L1002">
            <v>32</v>
          </cell>
          <cell r="M1002" t="e">
            <v>#N/A</v>
          </cell>
          <cell r="N1002">
            <v>37</v>
          </cell>
          <cell r="O1002" t="e">
            <v>#N/A</v>
          </cell>
          <cell r="P1002" t="str">
            <v/>
          </cell>
          <cell r="Q1002" t="str">
            <v/>
          </cell>
          <cell r="R1002" t="e">
            <v>#N/A</v>
          </cell>
        </row>
        <row r="1003">
          <cell r="A1003" t="str">
            <v/>
          </cell>
          <cell r="B1003" t="str">
            <v/>
          </cell>
          <cell r="C1003" t="str">
            <v>Future</v>
          </cell>
          <cell r="D1003" t="e">
            <v>#N/A</v>
          </cell>
          <cell r="E1003">
            <v>-26.098300395256704</v>
          </cell>
          <cell r="F1003">
            <v>47.609209486166357</v>
          </cell>
          <cell r="G1003">
            <v>30.059802371540663</v>
          </cell>
          <cell r="H1003">
            <v>30.059802371540663</v>
          </cell>
          <cell r="I1003" t="e">
            <v>#N/A</v>
          </cell>
          <cell r="J1003" t="e">
            <v>#N/A</v>
          </cell>
          <cell r="K1003">
            <v>42</v>
          </cell>
          <cell r="L1003">
            <v>32</v>
          </cell>
          <cell r="M1003" t="e">
            <v>#N/A</v>
          </cell>
          <cell r="N1003">
            <v>37</v>
          </cell>
          <cell r="O1003" t="e">
            <v>#N/A</v>
          </cell>
          <cell r="P1003" t="str">
            <v/>
          </cell>
          <cell r="Q1003" t="str">
            <v/>
          </cell>
          <cell r="R1003" t="e">
            <v>#N/A</v>
          </cell>
        </row>
        <row r="1004">
          <cell r="A1004" t="str">
            <v/>
          </cell>
          <cell r="B1004" t="str">
            <v/>
          </cell>
          <cell r="C1004" t="str">
            <v>Future</v>
          </cell>
          <cell r="D1004" t="e">
            <v>#N/A</v>
          </cell>
          <cell r="E1004">
            <v>-26.234940711462237</v>
          </cell>
          <cell r="F1004">
            <v>47.638577075099164</v>
          </cell>
          <cell r="G1004">
            <v>30.049644268773864</v>
          </cell>
          <cell r="H1004">
            <v>30.049644268773864</v>
          </cell>
          <cell r="I1004" t="e">
            <v>#N/A</v>
          </cell>
          <cell r="J1004" t="e">
            <v>#N/A</v>
          </cell>
          <cell r="K1004">
            <v>42</v>
          </cell>
          <cell r="L1004">
            <v>32</v>
          </cell>
          <cell r="M1004" t="e">
            <v>#N/A</v>
          </cell>
          <cell r="N1004">
            <v>37</v>
          </cell>
          <cell r="O1004" t="e">
            <v>#N/A</v>
          </cell>
          <cell r="P1004" t="str">
            <v/>
          </cell>
          <cell r="Q1004" t="str">
            <v/>
          </cell>
          <cell r="R1004" t="e">
            <v>#N/A</v>
          </cell>
        </row>
        <row r="1005">
          <cell r="A1005" t="str">
            <v/>
          </cell>
          <cell r="B1005" t="str">
            <v/>
          </cell>
          <cell r="C1005" t="str">
            <v>Future</v>
          </cell>
          <cell r="D1005" t="e">
            <v>#N/A</v>
          </cell>
          <cell r="E1005">
            <v>-26.371581027667769</v>
          </cell>
          <cell r="F1005">
            <v>47.667944664031971</v>
          </cell>
          <cell r="G1005">
            <v>30.039486166007066</v>
          </cell>
          <cell r="H1005">
            <v>30.039486166007066</v>
          </cell>
          <cell r="I1005" t="e">
            <v>#N/A</v>
          </cell>
          <cell r="J1005" t="e">
            <v>#N/A</v>
          </cell>
          <cell r="K1005">
            <v>42</v>
          </cell>
          <cell r="L1005">
            <v>32</v>
          </cell>
          <cell r="M1005" t="e">
            <v>#N/A</v>
          </cell>
          <cell r="N1005">
            <v>37</v>
          </cell>
          <cell r="O1005" t="e">
            <v>#N/A</v>
          </cell>
          <cell r="P1005" t="str">
            <v/>
          </cell>
          <cell r="Q1005" t="str">
            <v/>
          </cell>
          <cell r="R1005" t="e">
            <v>#N/A</v>
          </cell>
        </row>
        <row r="1006">
          <cell r="A1006" t="str">
            <v/>
          </cell>
          <cell r="B1006" t="str">
            <v/>
          </cell>
          <cell r="C1006" t="str">
            <v>Future</v>
          </cell>
          <cell r="D1006" t="e">
            <v>#N/A</v>
          </cell>
          <cell r="E1006">
            <v>-26.508221343873302</v>
          </cell>
          <cell r="F1006">
            <v>47.697312252964778</v>
          </cell>
          <cell r="G1006">
            <v>30.029328063240268</v>
          </cell>
          <cell r="H1006">
            <v>30.029328063240268</v>
          </cell>
          <cell r="I1006" t="e">
            <v>#N/A</v>
          </cell>
          <cell r="J1006" t="e">
            <v>#N/A</v>
          </cell>
          <cell r="K1006">
            <v>42</v>
          </cell>
          <cell r="L1006">
            <v>32</v>
          </cell>
          <cell r="M1006" t="e">
            <v>#N/A</v>
          </cell>
          <cell r="N1006">
            <v>37</v>
          </cell>
          <cell r="O1006" t="e">
            <v>#N/A</v>
          </cell>
          <cell r="P1006" t="str">
            <v/>
          </cell>
          <cell r="Q1006" t="str">
            <v/>
          </cell>
          <cell r="R1006" t="e">
            <v>#N/A</v>
          </cell>
        </row>
        <row r="1007">
          <cell r="A1007" t="str">
            <v/>
          </cell>
          <cell r="B1007" t="str">
            <v/>
          </cell>
          <cell r="C1007" t="str">
            <v>Future</v>
          </cell>
          <cell r="D1007" t="e">
            <v>#N/A</v>
          </cell>
          <cell r="E1007">
            <v>-26.644861660078835</v>
          </cell>
          <cell r="F1007">
            <v>47.726679841897585</v>
          </cell>
          <cell r="G1007">
            <v>30.019169960473469</v>
          </cell>
          <cell r="H1007">
            <v>30.019169960473469</v>
          </cell>
          <cell r="I1007" t="e">
            <v>#N/A</v>
          </cell>
          <cell r="J1007" t="e">
            <v>#N/A</v>
          </cell>
          <cell r="K1007">
            <v>42</v>
          </cell>
          <cell r="L1007">
            <v>32</v>
          </cell>
          <cell r="M1007" t="e">
            <v>#N/A</v>
          </cell>
          <cell r="N1007">
            <v>37</v>
          </cell>
          <cell r="O1007" t="e">
            <v>#N/A</v>
          </cell>
          <cell r="P1007" t="str">
            <v/>
          </cell>
          <cell r="Q1007" t="str">
            <v/>
          </cell>
          <cell r="R1007" t="e">
            <v>#N/A</v>
          </cell>
        </row>
        <row r="1008">
          <cell r="A1008" t="str">
            <v/>
          </cell>
          <cell r="B1008" t="str">
            <v/>
          </cell>
          <cell r="C1008" t="str">
            <v>Future</v>
          </cell>
          <cell r="D1008" t="e">
            <v>#N/A</v>
          </cell>
          <cell r="E1008">
            <v>-26.781501976284368</v>
          </cell>
          <cell r="F1008">
            <v>47.756047430830392</v>
          </cell>
          <cell r="G1008">
            <v>30.009011857706671</v>
          </cell>
          <cell r="H1008">
            <v>30.009011857706671</v>
          </cell>
          <cell r="I1008" t="e">
            <v>#N/A</v>
          </cell>
          <cell r="J1008" t="e">
            <v>#N/A</v>
          </cell>
          <cell r="K1008">
            <v>42</v>
          </cell>
          <cell r="L1008">
            <v>32</v>
          </cell>
          <cell r="M1008" t="e">
            <v>#N/A</v>
          </cell>
          <cell r="N1008">
            <v>37</v>
          </cell>
          <cell r="O1008" t="e">
            <v>#N/A</v>
          </cell>
          <cell r="P1008" t="str">
            <v/>
          </cell>
          <cell r="Q1008" t="str">
            <v/>
          </cell>
          <cell r="R1008" t="e">
            <v>#N/A</v>
          </cell>
        </row>
        <row r="1009">
          <cell r="A1009" t="str">
            <v/>
          </cell>
          <cell r="B1009" t="str">
            <v/>
          </cell>
          <cell r="C1009" t="str">
            <v>Future</v>
          </cell>
          <cell r="D1009" t="e">
            <v>#N/A</v>
          </cell>
          <cell r="E1009">
            <v>-26.9181422924899</v>
          </cell>
          <cell r="F1009">
            <v>47.785415019763199</v>
          </cell>
          <cell r="G1009">
            <v>29.998853754939873</v>
          </cell>
          <cell r="H1009">
            <v>29.998853754939873</v>
          </cell>
          <cell r="I1009" t="e">
            <v>#N/A</v>
          </cell>
          <cell r="J1009" t="e">
            <v>#N/A</v>
          </cell>
          <cell r="K1009">
            <v>42</v>
          </cell>
          <cell r="L1009">
            <v>32</v>
          </cell>
          <cell r="M1009" t="e">
            <v>#N/A</v>
          </cell>
          <cell r="N1009">
            <v>37</v>
          </cell>
          <cell r="O1009" t="e">
            <v>#N/A</v>
          </cell>
          <cell r="P1009" t="str">
            <v/>
          </cell>
          <cell r="Q1009" t="str">
            <v/>
          </cell>
          <cell r="R1009" t="e">
            <v>#N/A</v>
          </cell>
        </row>
        <row r="1010">
          <cell r="A1010" t="str">
            <v/>
          </cell>
          <cell r="B1010" t="str">
            <v/>
          </cell>
          <cell r="C1010" t="str">
            <v>Future</v>
          </cell>
          <cell r="D1010" t="e">
            <v>#N/A</v>
          </cell>
          <cell r="E1010">
            <v>-27.054782608695433</v>
          </cell>
          <cell r="F1010">
            <v>47.814782608696007</v>
          </cell>
          <cell r="G1010">
            <v>29.988695652173075</v>
          </cell>
          <cell r="H1010">
            <v>29.988695652173075</v>
          </cell>
          <cell r="I1010" t="e">
            <v>#N/A</v>
          </cell>
          <cell r="J1010" t="e">
            <v>#N/A</v>
          </cell>
          <cell r="K1010">
            <v>42</v>
          </cell>
          <cell r="L1010">
            <v>32</v>
          </cell>
          <cell r="M1010" t="e">
            <v>#N/A</v>
          </cell>
          <cell r="N1010">
            <v>37</v>
          </cell>
          <cell r="O1010" t="e">
            <v>#N/A</v>
          </cell>
          <cell r="P1010" t="str">
            <v/>
          </cell>
          <cell r="Q1010" t="str">
            <v/>
          </cell>
          <cell r="R1010" t="e">
            <v>#N/A</v>
          </cell>
        </row>
        <row r="1011">
          <cell r="A1011" t="str">
            <v/>
          </cell>
          <cell r="B1011" t="str">
            <v/>
          </cell>
          <cell r="C1011" t="str">
            <v>Future</v>
          </cell>
          <cell r="D1011" t="e">
            <v>#N/A</v>
          </cell>
          <cell r="E1011">
            <v>-27.191422924900966</v>
          </cell>
          <cell r="F1011">
            <v>47.844150197628814</v>
          </cell>
          <cell r="G1011">
            <v>29.978537549406276</v>
          </cell>
          <cell r="H1011">
            <v>29.978537549406276</v>
          </cell>
          <cell r="I1011" t="e">
            <v>#N/A</v>
          </cell>
          <cell r="J1011" t="e">
            <v>#N/A</v>
          </cell>
          <cell r="K1011">
            <v>42</v>
          </cell>
          <cell r="L1011">
            <v>32</v>
          </cell>
          <cell r="M1011" t="e">
            <v>#N/A</v>
          </cell>
          <cell r="N1011">
            <v>37</v>
          </cell>
          <cell r="O1011" t="e">
            <v>#N/A</v>
          </cell>
          <cell r="P1011" t="str">
            <v/>
          </cell>
          <cell r="Q1011" t="str">
            <v/>
          </cell>
          <cell r="R1011" t="e">
            <v>#N/A</v>
          </cell>
        </row>
        <row r="1012">
          <cell r="A1012" t="str">
            <v/>
          </cell>
          <cell r="B1012" t="str">
            <v/>
          </cell>
          <cell r="C1012" t="str">
            <v>Future</v>
          </cell>
          <cell r="D1012" t="e">
            <v>#N/A</v>
          </cell>
          <cell r="E1012">
            <v>-27.328063241106499</v>
          </cell>
          <cell r="F1012">
            <v>47.873517786561621</v>
          </cell>
          <cell r="G1012">
            <v>29.968379446639478</v>
          </cell>
          <cell r="H1012">
            <v>29.968379446639478</v>
          </cell>
          <cell r="I1012" t="e">
            <v>#N/A</v>
          </cell>
          <cell r="J1012" t="e">
            <v>#N/A</v>
          </cell>
          <cell r="K1012">
            <v>42</v>
          </cell>
          <cell r="L1012">
            <v>32</v>
          </cell>
          <cell r="M1012" t="e">
            <v>#N/A</v>
          </cell>
          <cell r="N1012">
            <v>37</v>
          </cell>
          <cell r="O1012" t="e">
            <v>#N/A</v>
          </cell>
          <cell r="P1012" t="str">
            <v/>
          </cell>
          <cell r="Q1012" t="str">
            <v/>
          </cell>
          <cell r="R1012" t="e">
            <v>#N/A</v>
          </cell>
        </row>
        <row r="1013">
          <cell r="A1013" t="str">
            <v/>
          </cell>
          <cell r="B1013" t="str">
            <v/>
          </cell>
          <cell r="C1013" t="str">
            <v>Future</v>
          </cell>
          <cell r="D1013" t="e">
            <v>#N/A</v>
          </cell>
          <cell r="E1013">
            <v>-27.464703557312031</v>
          </cell>
          <cell r="F1013">
            <v>47.902885375494428</v>
          </cell>
          <cell r="G1013">
            <v>29.95822134387268</v>
          </cell>
          <cell r="H1013">
            <v>29.95822134387268</v>
          </cell>
          <cell r="I1013" t="e">
            <v>#N/A</v>
          </cell>
          <cell r="J1013" t="e">
            <v>#N/A</v>
          </cell>
          <cell r="K1013">
            <v>42</v>
          </cell>
          <cell r="L1013">
            <v>32</v>
          </cell>
          <cell r="M1013" t="e">
            <v>#N/A</v>
          </cell>
          <cell r="N1013">
            <v>37</v>
          </cell>
          <cell r="O1013" t="e">
            <v>#N/A</v>
          </cell>
          <cell r="P1013" t="str">
            <v/>
          </cell>
          <cell r="Q1013" t="str">
            <v/>
          </cell>
          <cell r="R1013" t="e">
            <v>#N/A</v>
          </cell>
        </row>
        <row r="1014">
          <cell r="A1014" t="str">
            <v/>
          </cell>
          <cell r="B1014" t="str">
            <v/>
          </cell>
          <cell r="C1014" t="str">
            <v>Future</v>
          </cell>
          <cell r="D1014" t="e">
            <v>#N/A</v>
          </cell>
          <cell r="E1014">
            <v>-27.601343873517564</v>
          </cell>
          <cell r="F1014">
            <v>47.932252964427235</v>
          </cell>
          <cell r="G1014">
            <v>29.948063241105881</v>
          </cell>
          <cell r="H1014">
            <v>29.948063241105881</v>
          </cell>
          <cell r="I1014" t="e">
            <v>#N/A</v>
          </cell>
          <cell r="J1014" t="e">
            <v>#N/A</v>
          </cell>
          <cell r="K1014">
            <v>42</v>
          </cell>
          <cell r="L1014">
            <v>32</v>
          </cell>
          <cell r="M1014" t="e">
            <v>#N/A</v>
          </cell>
          <cell r="N1014">
            <v>37</v>
          </cell>
          <cell r="O1014" t="e">
            <v>#N/A</v>
          </cell>
          <cell r="P1014" t="str">
            <v/>
          </cell>
          <cell r="Q1014" t="str">
            <v/>
          </cell>
          <cell r="R1014" t="e">
            <v>#N/A</v>
          </cell>
        </row>
        <row r="1015">
          <cell r="A1015" t="str">
            <v/>
          </cell>
          <cell r="B1015" t="str">
            <v/>
          </cell>
          <cell r="C1015" t="str">
            <v>Future</v>
          </cell>
          <cell r="D1015" t="e">
            <v>#N/A</v>
          </cell>
          <cell r="E1015">
            <v>-27.737984189723097</v>
          </cell>
          <cell r="F1015">
            <v>47.961620553360042</v>
          </cell>
          <cell r="G1015">
            <v>29.937905138339083</v>
          </cell>
          <cell r="H1015">
            <v>29.937905138339083</v>
          </cell>
          <cell r="I1015" t="e">
            <v>#N/A</v>
          </cell>
          <cell r="J1015" t="e">
            <v>#N/A</v>
          </cell>
          <cell r="K1015">
            <v>42</v>
          </cell>
          <cell r="L1015">
            <v>32</v>
          </cell>
          <cell r="M1015" t="e">
            <v>#N/A</v>
          </cell>
          <cell r="N1015">
            <v>37</v>
          </cell>
          <cell r="O1015" t="e">
            <v>#N/A</v>
          </cell>
          <cell r="P1015" t="str">
            <v/>
          </cell>
          <cell r="Q1015" t="str">
            <v/>
          </cell>
          <cell r="R1015" t="e">
            <v>#N/A</v>
          </cell>
        </row>
        <row r="1016">
          <cell r="A1016" t="str">
            <v/>
          </cell>
          <cell r="B1016" t="str">
            <v/>
          </cell>
          <cell r="C1016" t="str">
            <v>Future</v>
          </cell>
          <cell r="D1016" t="e">
            <v>#N/A</v>
          </cell>
          <cell r="E1016">
            <v>-27.87462450592863</v>
          </cell>
          <cell r="F1016">
            <v>47.990988142292849</v>
          </cell>
          <cell r="G1016">
            <v>29.927747035572285</v>
          </cell>
          <cell r="H1016">
            <v>29.927747035572285</v>
          </cell>
          <cell r="I1016" t="e">
            <v>#N/A</v>
          </cell>
          <cell r="J1016" t="e">
            <v>#N/A</v>
          </cell>
          <cell r="K1016">
            <v>42</v>
          </cell>
          <cell r="L1016">
            <v>32</v>
          </cell>
          <cell r="M1016" t="e">
            <v>#N/A</v>
          </cell>
          <cell r="N1016">
            <v>37</v>
          </cell>
          <cell r="O1016" t="e">
            <v>#N/A</v>
          </cell>
          <cell r="P1016" t="str">
            <v/>
          </cell>
          <cell r="Q1016" t="str">
            <v/>
          </cell>
          <cell r="R1016" t="e">
            <v>#N/A</v>
          </cell>
        </row>
        <row r="1017">
          <cell r="A1017" t="str">
            <v/>
          </cell>
          <cell r="B1017" t="str">
            <v/>
          </cell>
          <cell r="C1017" t="str">
            <v>Future</v>
          </cell>
          <cell r="D1017" t="e">
            <v>#N/A</v>
          </cell>
          <cell r="E1017">
            <v>-28.011264822134162</v>
          </cell>
          <cell r="F1017">
            <v>48.020355731225656</v>
          </cell>
          <cell r="G1017">
            <v>29.917588932805486</v>
          </cell>
          <cell r="H1017">
            <v>29.917588932805486</v>
          </cell>
          <cell r="I1017" t="e">
            <v>#N/A</v>
          </cell>
          <cell r="J1017" t="e">
            <v>#N/A</v>
          </cell>
          <cell r="K1017">
            <v>42</v>
          </cell>
          <cell r="L1017">
            <v>32</v>
          </cell>
          <cell r="M1017" t="e">
            <v>#N/A</v>
          </cell>
          <cell r="N1017">
            <v>37</v>
          </cell>
          <cell r="O1017" t="e">
            <v>#N/A</v>
          </cell>
          <cell r="P1017" t="str">
            <v/>
          </cell>
          <cell r="Q1017" t="str">
            <v/>
          </cell>
          <cell r="R1017" t="e">
            <v>#N/A</v>
          </cell>
        </row>
        <row r="1018">
          <cell r="A1018" t="str">
            <v/>
          </cell>
          <cell r="B1018" t="str">
            <v/>
          </cell>
          <cell r="C1018" t="str">
            <v>Future</v>
          </cell>
          <cell r="D1018" t="e">
            <v>#N/A</v>
          </cell>
          <cell r="E1018">
            <v>-28.147905138339695</v>
          </cell>
          <cell r="F1018">
            <v>48.049723320158463</v>
          </cell>
          <cell r="G1018">
            <v>29.907430830038688</v>
          </cell>
          <cell r="H1018">
            <v>29.907430830038688</v>
          </cell>
          <cell r="I1018" t="e">
            <v>#N/A</v>
          </cell>
          <cell r="J1018" t="e">
            <v>#N/A</v>
          </cell>
          <cell r="K1018">
            <v>42</v>
          </cell>
          <cell r="L1018">
            <v>32</v>
          </cell>
          <cell r="M1018" t="e">
            <v>#N/A</v>
          </cell>
          <cell r="N1018">
            <v>37</v>
          </cell>
          <cell r="O1018" t="e">
            <v>#N/A</v>
          </cell>
          <cell r="P1018" t="str">
            <v/>
          </cell>
          <cell r="Q1018" t="str">
            <v/>
          </cell>
          <cell r="R1018" t="e">
            <v>#N/A</v>
          </cell>
        </row>
        <row r="1019">
          <cell r="A1019" t="str">
            <v/>
          </cell>
          <cell r="B1019" t="str">
            <v/>
          </cell>
          <cell r="C1019" t="str">
            <v>Future</v>
          </cell>
          <cell r="D1019" t="e">
            <v>#N/A</v>
          </cell>
          <cell r="E1019">
            <v>-28.284545454545228</v>
          </cell>
          <cell r="F1019">
            <v>48.079090909091271</v>
          </cell>
          <cell r="G1019">
            <v>29.89727272727189</v>
          </cell>
          <cell r="H1019">
            <v>29.89727272727189</v>
          </cell>
          <cell r="I1019" t="e">
            <v>#N/A</v>
          </cell>
          <cell r="J1019" t="e">
            <v>#N/A</v>
          </cell>
          <cell r="K1019">
            <v>42</v>
          </cell>
          <cell r="L1019">
            <v>32</v>
          </cell>
          <cell r="M1019" t="e">
            <v>#N/A</v>
          </cell>
          <cell r="N1019">
            <v>37</v>
          </cell>
          <cell r="O1019" t="e">
            <v>#N/A</v>
          </cell>
          <cell r="P1019" t="str">
            <v/>
          </cell>
          <cell r="Q1019" t="str">
            <v/>
          </cell>
          <cell r="R1019" t="e">
            <v>#N/A</v>
          </cell>
        </row>
        <row r="1020">
          <cell r="A1020" t="str">
            <v/>
          </cell>
          <cell r="B1020" t="str">
            <v/>
          </cell>
          <cell r="C1020" t="str">
            <v>Future</v>
          </cell>
          <cell r="D1020" t="e">
            <v>#N/A</v>
          </cell>
          <cell r="E1020">
            <v>-28.42118577075076</v>
          </cell>
          <cell r="F1020">
            <v>48.108458498024078</v>
          </cell>
          <cell r="G1020">
            <v>29.887114624505092</v>
          </cell>
          <cell r="H1020">
            <v>29.887114624505092</v>
          </cell>
          <cell r="I1020" t="e">
            <v>#N/A</v>
          </cell>
          <cell r="J1020" t="e">
            <v>#N/A</v>
          </cell>
          <cell r="K1020">
            <v>42</v>
          </cell>
          <cell r="L1020">
            <v>32</v>
          </cell>
          <cell r="M1020" t="e">
            <v>#N/A</v>
          </cell>
          <cell r="N1020">
            <v>37</v>
          </cell>
          <cell r="O1020" t="e">
            <v>#N/A</v>
          </cell>
          <cell r="P1020" t="str">
            <v/>
          </cell>
          <cell r="Q1020" t="str">
            <v/>
          </cell>
          <cell r="R1020" t="e">
            <v>#N/A</v>
          </cell>
        </row>
        <row r="1021">
          <cell r="A1021" t="str">
            <v/>
          </cell>
          <cell r="B1021" t="str">
            <v/>
          </cell>
          <cell r="C1021" t="str">
            <v>Future</v>
          </cell>
          <cell r="D1021" t="e">
            <v>#N/A</v>
          </cell>
          <cell r="E1021">
            <v>-28.557826086956293</v>
          </cell>
          <cell r="F1021">
            <v>48.137826086956885</v>
          </cell>
          <cell r="G1021">
            <v>29.876956521738293</v>
          </cell>
          <cell r="H1021">
            <v>29.876956521738293</v>
          </cell>
          <cell r="I1021" t="e">
            <v>#N/A</v>
          </cell>
          <cell r="J1021" t="e">
            <v>#N/A</v>
          </cell>
          <cell r="K1021">
            <v>42</v>
          </cell>
          <cell r="L1021">
            <v>32</v>
          </cell>
          <cell r="M1021" t="e">
            <v>#N/A</v>
          </cell>
          <cell r="N1021">
            <v>37</v>
          </cell>
          <cell r="O1021" t="e">
            <v>#N/A</v>
          </cell>
          <cell r="P1021" t="str">
            <v/>
          </cell>
          <cell r="Q1021" t="str">
            <v/>
          </cell>
          <cell r="R1021" t="e">
            <v>#N/A</v>
          </cell>
        </row>
        <row r="1022">
          <cell r="A1022" t="str">
            <v/>
          </cell>
          <cell r="B1022" t="str">
            <v/>
          </cell>
          <cell r="C1022" t="str">
            <v>Future</v>
          </cell>
          <cell r="D1022" t="e">
            <v>#N/A</v>
          </cell>
          <cell r="E1022">
            <v>-28.694466403161826</v>
          </cell>
          <cell r="F1022">
            <v>48.167193675889692</v>
          </cell>
          <cell r="G1022">
            <v>29.866798418971495</v>
          </cell>
          <cell r="H1022">
            <v>29.866798418971495</v>
          </cell>
          <cell r="I1022" t="e">
            <v>#N/A</v>
          </cell>
          <cell r="J1022" t="e">
            <v>#N/A</v>
          </cell>
          <cell r="K1022">
            <v>42</v>
          </cell>
          <cell r="L1022">
            <v>32</v>
          </cell>
          <cell r="M1022" t="e">
            <v>#N/A</v>
          </cell>
          <cell r="N1022">
            <v>37</v>
          </cell>
          <cell r="O1022" t="e">
            <v>#N/A</v>
          </cell>
          <cell r="P1022" t="str">
            <v/>
          </cell>
          <cell r="Q1022" t="str">
            <v/>
          </cell>
          <cell r="R1022" t="e">
            <v>#N/A</v>
          </cell>
        </row>
        <row r="1023">
          <cell r="A1023" t="str">
            <v/>
          </cell>
          <cell r="B1023" t="str">
            <v/>
          </cell>
          <cell r="C1023" t="str">
            <v>Future</v>
          </cell>
          <cell r="D1023" t="e">
            <v>#N/A</v>
          </cell>
          <cell r="E1023">
            <v>-28.831106719367359</v>
          </cell>
          <cell r="F1023">
            <v>48.196561264822499</v>
          </cell>
          <cell r="G1023">
            <v>29.856640316204697</v>
          </cell>
          <cell r="H1023">
            <v>29.856640316204697</v>
          </cell>
          <cell r="I1023" t="e">
            <v>#N/A</v>
          </cell>
          <cell r="J1023" t="e">
            <v>#N/A</v>
          </cell>
          <cell r="K1023">
            <v>42</v>
          </cell>
          <cell r="L1023">
            <v>32</v>
          </cell>
          <cell r="M1023" t="e">
            <v>#N/A</v>
          </cell>
          <cell r="N1023">
            <v>37</v>
          </cell>
          <cell r="O1023" t="e">
            <v>#N/A</v>
          </cell>
          <cell r="P1023" t="str">
            <v/>
          </cell>
          <cell r="Q1023" t="str">
            <v/>
          </cell>
          <cell r="R1023" t="e">
            <v>#N/A</v>
          </cell>
        </row>
        <row r="1024">
          <cell r="A1024" t="str">
            <v/>
          </cell>
          <cell r="B1024" t="str">
            <v/>
          </cell>
          <cell r="C1024" t="str">
            <v>Future</v>
          </cell>
          <cell r="D1024" t="e">
            <v>#N/A</v>
          </cell>
          <cell r="E1024">
            <v>-28.967747035572891</v>
          </cell>
          <cell r="F1024">
            <v>48.225928853755306</v>
          </cell>
          <cell r="G1024">
            <v>29.846482213437898</v>
          </cell>
          <cell r="H1024">
            <v>29.846482213437898</v>
          </cell>
          <cell r="I1024" t="e">
            <v>#N/A</v>
          </cell>
          <cell r="J1024" t="e">
            <v>#N/A</v>
          </cell>
          <cell r="K1024">
            <v>42</v>
          </cell>
          <cell r="L1024">
            <v>32</v>
          </cell>
          <cell r="M1024" t="e">
            <v>#N/A</v>
          </cell>
          <cell r="N1024">
            <v>37</v>
          </cell>
          <cell r="O1024" t="e">
            <v>#N/A</v>
          </cell>
          <cell r="P1024" t="str">
            <v/>
          </cell>
          <cell r="Q1024" t="str">
            <v/>
          </cell>
          <cell r="R1024" t="e">
            <v>#N/A</v>
          </cell>
        </row>
        <row r="1025">
          <cell r="A1025" t="str">
            <v/>
          </cell>
          <cell r="B1025" t="str">
            <v/>
          </cell>
          <cell r="C1025" t="str">
            <v>Future</v>
          </cell>
          <cell r="D1025" t="e">
            <v>#N/A</v>
          </cell>
          <cell r="E1025">
            <v>-29.104387351778424</v>
          </cell>
          <cell r="F1025">
            <v>48.255296442688113</v>
          </cell>
          <cell r="G1025">
            <v>29.8363241106711</v>
          </cell>
          <cell r="H1025">
            <v>29.8363241106711</v>
          </cell>
          <cell r="I1025" t="e">
            <v>#N/A</v>
          </cell>
          <cell r="J1025" t="e">
            <v>#N/A</v>
          </cell>
          <cell r="K1025">
            <v>42</v>
          </cell>
          <cell r="L1025">
            <v>32</v>
          </cell>
          <cell r="M1025" t="e">
            <v>#N/A</v>
          </cell>
          <cell r="N1025">
            <v>37</v>
          </cell>
          <cell r="O1025" t="e">
            <v>#N/A</v>
          </cell>
          <cell r="P1025" t="str">
            <v/>
          </cell>
          <cell r="Q1025" t="str">
            <v/>
          </cell>
          <cell r="R1025" t="e">
            <v>#N/A</v>
          </cell>
        </row>
        <row r="1026">
          <cell r="A1026" t="str">
            <v/>
          </cell>
          <cell r="B1026" t="str">
            <v/>
          </cell>
          <cell r="C1026" t="str">
            <v>Future</v>
          </cell>
          <cell r="D1026" t="e">
            <v>#N/A</v>
          </cell>
          <cell r="E1026">
            <v>-29.241027667983957</v>
          </cell>
          <cell r="F1026">
            <v>48.28466403162092</v>
          </cell>
          <cell r="G1026">
            <v>29.826166007904302</v>
          </cell>
          <cell r="H1026">
            <v>29.826166007904302</v>
          </cell>
          <cell r="I1026" t="e">
            <v>#N/A</v>
          </cell>
          <cell r="J1026" t="e">
            <v>#N/A</v>
          </cell>
          <cell r="K1026">
            <v>42</v>
          </cell>
          <cell r="L1026">
            <v>32</v>
          </cell>
          <cell r="M1026" t="e">
            <v>#N/A</v>
          </cell>
          <cell r="N1026">
            <v>37</v>
          </cell>
          <cell r="O1026" t="e">
            <v>#N/A</v>
          </cell>
          <cell r="P1026" t="str">
            <v/>
          </cell>
          <cell r="Q1026" t="str">
            <v/>
          </cell>
          <cell r="R1026" t="e">
            <v>#N/A</v>
          </cell>
        </row>
        <row r="1027">
          <cell r="A1027" t="str">
            <v/>
          </cell>
          <cell r="B1027" t="str">
            <v/>
          </cell>
          <cell r="C1027" t="str">
            <v>Future</v>
          </cell>
          <cell r="D1027" t="e">
            <v>#N/A</v>
          </cell>
          <cell r="E1027">
            <v>-29.37766798418949</v>
          </cell>
          <cell r="F1027">
            <v>48.314031620553727</v>
          </cell>
          <cell r="G1027">
            <v>29.816007905137504</v>
          </cell>
          <cell r="H1027">
            <v>29.816007905137504</v>
          </cell>
          <cell r="I1027" t="e">
            <v>#N/A</v>
          </cell>
          <cell r="J1027" t="e">
            <v>#N/A</v>
          </cell>
          <cell r="K1027">
            <v>42</v>
          </cell>
          <cell r="L1027">
            <v>32</v>
          </cell>
          <cell r="M1027" t="e">
            <v>#N/A</v>
          </cell>
          <cell r="N1027">
            <v>37</v>
          </cell>
          <cell r="O1027" t="e">
            <v>#N/A</v>
          </cell>
          <cell r="P1027" t="str">
            <v/>
          </cell>
          <cell r="Q1027" t="str">
            <v/>
          </cell>
          <cell r="R1027" t="e">
            <v>#N/A</v>
          </cell>
        </row>
        <row r="1028">
          <cell r="A1028" t="str">
            <v/>
          </cell>
          <cell r="B1028" t="str">
            <v/>
          </cell>
          <cell r="C1028" t="str">
            <v>Future</v>
          </cell>
          <cell r="D1028" t="e">
            <v>#N/A</v>
          </cell>
          <cell r="E1028">
            <v>-29.514308300395022</v>
          </cell>
          <cell r="F1028">
            <v>48.343399209486535</v>
          </cell>
          <cell r="G1028">
            <v>29.805849802370705</v>
          </cell>
          <cell r="H1028">
            <v>29.805849802370705</v>
          </cell>
          <cell r="I1028" t="e">
            <v>#N/A</v>
          </cell>
          <cell r="J1028" t="e">
            <v>#N/A</v>
          </cell>
          <cell r="K1028">
            <v>42</v>
          </cell>
          <cell r="L1028">
            <v>32</v>
          </cell>
          <cell r="M1028" t="e">
            <v>#N/A</v>
          </cell>
          <cell r="N1028">
            <v>37</v>
          </cell>
          <cell r="O1028" t="e">
            <v>#N/A</v>
          </cell>
          <cell r="P1028" t="str">
            <v/>
          </cell>
          <cell r="Q1028" t="str">
            <v/>
          </cell>
          <cell r="R1028" t="e">
            <v>#N/A</v>
          </cell>
        </row>
        <row r="1029">
          <cell r="A1029" t="str">
            <v/>
          </cell>
          <cell r="B1029" t="str">
            <v/>
          </cell>
          <cell r="C1029" t="str">
            <v>Future</v>
          </cell>
          <cell r="D1029" t="e">
            <v>#N/A</v>
          </cell>
          <cell r="E1029">
            <v>-29.650948616600555</v>
          </cell>
          <cell r="F1029">
            <v>48.372766798419342</v>
          </cell>
          <cell r="G1029">
            <v>29.795691699603907</v>
          </cell>
          <cell r="H1029">
            <v>29.795691699603907</v>
          </cell>
          <cell r="I1029" t="e">
            <v>#N/A</v>
          </cell>
          <cell r="J1029" t="e">
            <v>#N/A</v>
          </cell>
          <cell r="K1029">
            <v>42</v>
          </cell>
          <cell r="L1029">
            <v>32</v>
          </cell>
          <cell r="M1029" t="e">
            <v>#N/A</v>
          </cell>
          <cell r="N1029">
            <v>37</v>
          </cell>
          <cell r="O1029" t="e">
            <v>#N/A</v>
          </cell>
          <cell r="P1029" t="str">
            <v/>
          </cell>
          <cell r="Q1029" t="str">
            <v/>
          </cell>
          <cell r="R1029" t="e">
            <v>#N/A</v>
          </cell>
        </row>
        <row r="1030">
          <cell r="A1030" t="str">
            <v/>
          </cell>
          <cell r="B1030" t="str">
            <v/>
          </cell>
          <cell r="C1030" t="str">
            <v>Future</v>
          </cell>
          <cell r="D1030" t="e">
            <v>#N/A</v>
          </cell>
          <cell r="E1030">
            <v>-29.787588932806088</v>
          </cell>
          <cell r="F1030">
            <v>48.402134387352149</v>
          </cell>
          <cell r="G1030">
            <v>29.785533596837109</v>
          </cell>
          <cell r="H1030">
            <v>29.785533596837109</v>
          </cell>
          <cell r="I1030" t="e">
            <v>#N/A</v>
          </cell>
          <cell r="J1030" t="e">
            <v>#N/A</v>
          </cell>
          <cell r="K1030">
            <v>42</v>
          </cell>
          <cell r="L1030">
            <v>32</v>
          </cell>
          <cell r="M1030" t="e">
            <v>#N/A</v>
          </cell>
          <cell r="N1030">
            <v>37</v>
          </cell>
          <cell r="O1030" t="e">
            <v>#N/A</v>
          </cell>
          <cell r="P1030" t="str">
            <v/>
          </cell>
          <cell r="Q1030" t="str">
            <v/>
          </cell>
          <cell r="R1030" t="e">
            <v>#N/A</v>
          </cell>
        </row>
        <row r="1031">
          <cell r="A1031" t="str">
            <v/>
          </cell>
          <cell r="B1031" t="str">
            <v/>
          </cell>
          <cell r="C1031" t="str">
            <v>Future</v>
          </cell>
          <cell r="D1031" t="e">
            <v>#N/A</v>
          </cell>
          <cell r="E1031">
            <v>-29.924229249011621</v>
          </cell>
          <cell r="F1031">
            <v>48.431501976284956</v>
          </cell>
          <cell r="G1031">
            <v>29.77537549407031</v>
          </cell>
          <cell r="H1031">
            <v>29.77537549407031</v>
          </cell>
          <cell r="I1031" t="e">
            <v>#N/A</v>
          </cell>
          <cell r="J1031" t="e">
            <v>#N/A</v>
          </cell>
          <cell r="K1031">
            <v>42</v>
          </cell>
          <cell r="L1031">
            <v>32</v>
          </cell>
          <cell r="M1031" t="e">
            <v>#N/A</v>
          </cell>
          <cell r="N1031">
            <v>37</v>
          </cell>
          <cell r="O1031" t="e">
            <v>#N/A</v>
          </cell>
          <cell r="P1031" t="str">
            <v/>
          </cell>
          <cell r="Q1031" t="str">
            <v/>
          </cell>
          <cell r="R1031" t="e">
            <v>#N/A</v>
          </cell>
        </row>
        <row r="1032">
          <cell r="A1032" t="str">
            <v/>
          </cell>
          <cell r="B1032" t="str">
            <v/>
          </cell>
          <cell r="C1032" t="str">
            <v>Future</v>
          </cell>
          <cell r="D1032" t="e">
            <v>#N/A</v>
          </cell>
          <cell r="E1032">
            <v>-30.060869565217153</v>
          </cell>
          <cell r="F1032">
            <v>48.460869565217763</v>
          </cell>
          <cell r="G1032">
            <v>29.765217391303512</v>
          </cell>
          <cell r="H1032">
            <v>29.765217391303512</v>
          </cell>
          <cell r="I1032" t="e">
            <v>#N/A</v>
          </cell>
          <cell r="J1032" t="e">
            <v>#N/A</v>
          </cell>
          <cell r="K1032">
            <v>42</v>
          </cell>
          <cell r="L1032">
            <v>32</v>
          </cell>
          <cell r="M1032" t="e">
            <v>#N/A</v>
          </cell>
          <cell r="N1032">
            <v>37</v>
          </cell>
          <cell r="O1032" t="e">
            <v>#N/A</v>
          </cell>
          <cell r="P1032" t="str">
            <v/>
          </cell>
          <cell r="Q1032" t="str">
            <v/>
          </cell>
          <cell r="R1032" t="e">
            <v>#N/A</v>
          </cell>
        </row>
        <row r="1033">
          <cell r="A1033" t="str">
            <v/>
          </cell>
          <cell r="B1033" t="str">
            <v/>
          </cell>
          <cell r="C1033" t="str">
            <v>Future</v>
          </cell>
          <cell r="D1033" t="e">
            <v>#N/A</v>
          </cell>
          <cell r="E1033">
            <v>-30.197509881422686</v>
          </cell>
          <cell r="F1033">
            <v>48.49023715415057</v>
          </cell>
          <cell r="G1033">
            <v>29.755059288536714</v>
          </cell>
          <cell r="H1033">
            <v>29.755059288536714</v>
          </cell>
          <cell r="I1033" t="e">
            <v>#N/A</v>
          </cell>
          <cell r="J1033" t="e">
            <v>#N/A</v>
          </cell>
          <cell r="K1033">
            <v>42</v>
          </cell>
          <cell r="L1033">
            <v>32</v>
          </cell>
          <cell r="M1033" t="e">
            <v>#N/A</v>
          </cell>
          <cell r="N1033">
            <v>37</v>
          </cell>
          <cell r="O1033" t="e">
            <v>#N/A</v>
          </cell>
          <cell r="P1033" t="str">
            <v/>
          </cell>
          <cell r="Q1033" t="str">
            <v/>
          </cell>
          <cell r="R1033" t="e">
            <v>#N/A</v>
          </cell>
        </row>
        <row r="1034">
          <cell r="A1034" t="str">
            <v/>
          </cell>
          <cell r="B1034" t="str">
            <v/>
          </cell>
          <cell r="C1034" t="str">
            <v>Future</v>
          </cell>
          <cell r="D1034" t="e">
            <v>#N/A</v>
          </cell>
          <cell r="E1034">
            <v>-30.334150197628219</v>
          </cell>
          <cell r="F1034">
            <v>48.519604743083377</v>
          </cell>
          <cell r="G1034">
            <v>29.744901185769915</v>
          </cell>
          <cell r="H1034">
            <v>29.744901185769915</v>
          </cell>
          <cell r="I1034" t="e">
            <v>#N/A</v>
          </cell>
          <cell r="J1034" t="e">
            <v>#N/A</v>
          </cell>
          <cell r="K1034">
            <v>42</v>
          </cell>
          <cell r="L1034">
            <v>32</v>
          </cell>
          <cell r="M1034" t="e">
            <v>#N/A</v>
          </cell>
          <cell r="N1034">
            <v>37</v>
          </cell>
          <cell r="O1034" t="e">
            <v>#N/A</v>
          </cell>
          <cell r="P1034" t="str">
            <v/>
          </cell>
          <cell r="Q1034" t="str">
            <v/>
          </cell>
          <cell r="R1034" t="e">
            <v>#N/A</v>
          </cell>
        </row>
        <row r="1035">
          <cell r="A1035" t="str">
            <v/>
          </cell>
          <cell r="B1035" t="str">
            <v/>
          </cell>
          <cell r="C1035" t="str">
            <v>Future</v>
          </cell>
          <cell r="D1035" t="e">
            <v>#N/A</v>
          </cell>
          <cell r="E1035">
            <v>-30.470790513833752</v>
          </cell>
          <cell r="F1035">
            <v>48.548972332016184</v>
          </cell>
          <cell r="G1035">
            <v>29.734743083003117</v>
          </cell>
          <cell r="H1035">
            <v>29.734743083003117</v>
          </cell>
          <cell r="I1035" t="e">
            <v>#N/A</v>
          </cell>
          <cell r="J1035" t="e">
            <v>#N/A</v>
          </cell>
          <cell r="K1035">
            <v>42</v>
          </cell>
          <cell r="L1035">
            <v>32</v>
          </cell>
          <cell r="M1035" t="e">
            <v>#N/A</v>
          </cell>
          <cell r="N1035">
            <v>37</v>
          </cell>
          <cell r="O1035" t="e">
            <v>#N/A</v>
          </cell>
          <cell r="P1035" t="str">
            <v/>
          </cell>
          <cell r="Q1035" t="str">
            <v/>
          </cell>
          <cell r="R1035" t="e">
            <v>#N/A</v>
          </cell>
        </row>
        <row r="1036">
          <cell r="A1036" t="str">
            <v/>
          </cell>
          <cell r="B1036" t="str">
            <v/>
          </cell>
          <cell r="C1036" t="str">
            <v>Future</v>
          </cell>
          <cell r="D1036" t="e">
            <v>#N/A</v>
          </cell>
          <cell r="E1036">
            <v>-30.607430830039284</v>
          </cell>
          <cell r="F1036">
            <v>48.578339920948991</v>
          </cell>
          <cell r="G1036">
            <v>29.724584980236319</v>
          </cell>
          <cell r="H1036">
            <v>29.724584980236319</v>
          </cell>
          <cell r="I1036" t="e">
            <v>#N/A</v>
          </cell>
          <cell r="J1036" t="e">
            <v>#N/A</v>
          </cell>
          <cell r="K1036">
            <v>42</v>
          </cell>
          <cell r="L1036">
            <v>32</v>
          </cell>
          <cell r="M1036" t="e">
            <v>#N/A</v>
          </cell>
          <cell r="N1036">
            <v>37</v>
          </cell>
          <cell r="O1036" t="e">
            <v>#N/A</v>
          </cell>
          <cell r="P1036" t="str">
            <v/>
          </cell>
          <cell r="Q1036" t="str">
            <v/>
          </cell>
          <cell r="R1036" t="e">
            <v>#N/A</v>
          </cell>
        </row>
        <row r="1037">
          <cell r="A1037" t="str">
            <v/>
          </cell>
          <cell r="B1037" t="str">
            <v/>
          </cell>
          <cell r="C1037" t="str">
            <v>Future</v>
          </cell>
          <cell r="D1037" t="e">
            <v>#N/A</v>
          </cell>
          <cell r="E1037">
            <v>-30.744071146244817</v>
          </cell>
          <cell r="F1037">
            <v>48.607707509881799</v>
          </cell>
          <cell r="G1037">
            <v>29.714426877469521</v>
          </cell>
          <cell r="H1037">
            <v>29.714426877469521</v>
          </cell>
          <cell r="I1037" t="e">
            <v>#N/A</v>
          </cell>
          <cell r="J1037" t="e">
            <v>#N/A</v>
          </cell>
          <cell r="K1037">
            <v>42</v>
          </cell>
          <cell r="L1037">
            <v>32</v>
          </cell>
          <cell r="M1037" t="e">
            <v>#N/A</v>
          </cell>
          <cell r="N1037">
            <v>37</v>
          </cell>
          <cell r="O1037" t="e">
            <v>#N/A</v>
          </cell>
          <cell r="P1037" t="str">
            <v/>
          </cell>
          <cell r="Q1037" t="str">
            <v/>
          </cell>
          <cell r="R1037" t="e">
            <v>#N/A</v>
          </cell>
        </row>
        <row r="1038">
          <cell r="A1038" t="str">
            <v/>
          </cell>
          <cell r="B1038" t="str">
            <v/>
          </cell>
          <cell r="C1038" t="str">
            <v>Future</v>
          </cell>
          <cell r="D1038" t="e">
            <v>#N/A</v>
          </cell>
          <cell r="E1038">
            <v>-30.88071146245035</v>
          </cell>
          <cell r="F1038">
            <v>48.637075098814606</v>
          </cell>
          <cell r="G1038">
            <v>29.704268774702722</v>
          </cell>
          <cell r="H1038">
            <v>29.704268774702722</v>
          </cell>
          <cell r="I1038" t="e">
            <v>#N/A</v>
          </cell>
          <cell r="J1038" t="e">
            <v>#N/A</v>
          </cell>
          <cell r="K1038">
            <v>42</v>
          </cell>
          <cell r="L1038">
            <v>32</v>
          </cell>
          <cell r="M1038" t="e">
            <v>#N/A</v>
          </cell>
          <cell r="N1038">
            <v>37</v>
          </cell>
          <cell r="O1038" t="e">
            <v>#N/A</v>
          </cell>
          <cell r="P1038" t="str">
            <v/>
          </cell>
          <cell r="Q1038" t="str">
            <v/>
          </cell>
          <cell r="R1038" t="e">
            <v>#N/A</v>
          </cell>
        </row>
        <row r="1039">
          <cell r="A1039" t="str">
            <v/>
          </cell>
          <cell r="B1039" t="str">
            <v/>
          </cell>
          <cell r="C1039" t="str">
            <v>Future</v>
          </cell>
          <cell r="D1039" t="e">
            <v>#N/A</v>
          </cell>
          <cell r="E1039">
            <v>-31.017351778655883</v>
          </cell>
          <cell r="F1039">
            <v>48.666442687747413</v>
          </cell>
          <cell r="G1039">
            <v>29.694110671935924</v>
          </cell>
          <cell r="H1039">
            <v>29.694110671935924</v>
          </cell>
          <cell r="I1039" t="e">
            <v>#N/A</v>
          </cell>
          <cell r="J1039" t="e">
            <v>#N/A</v>
          </cell>
          <cell r="K1039">
            <v>42</v>
          </cell>
          <cell r="L1039">
            <v>32</v>
          </cell>
          <cell r="M1039" t="e">
            <v>#N/A</v>
          </cell>
          <cell r="N1039">
            <v>37</v>
          </cell>
          <cell r="O1039" t="e">
            <v>#N/A</v>
          </cell>
          <cell r="P1039" t="str">
            <v/>
          </cell>
          <cell r="Q1039" t="str">
            <v/>
          </cell>
          <cell r="R1039" t="e">
            <v>#N/A</v>
          </cell>
        </row>
        <row r="1040">
          <cell r="A1040" t="str">
            <v/>
          </cell>
          <cell r="B1040" t="str">
            <v/>
          </cell>
          <cell r="C1040" t="str">
            <v>Future</v>
          </cell>
          <cell r="D1040" t="e">
            <v>#N/A</v>
          </cell>
          <cell r="E1040">
            <v>-31.153992094861415</v>
          </cell>
          <cell r="F1040">
            <v>48.69581027668022</v>
          </cell>
          <cell r="G1040">
            <v>29.683952569169126</v>
          </cell>
          <cell r="H1040">
            <v>29.683952569169126</v>
          </cell>
          <cell r="I1040" t="e">
            <v>#N/A</v>
          </cell>
          <cell r="J1040" t="e">
            <v>#N/A</v>
          </cell>
          <cell r="K1040">
            <v>42</v>
          </cell>
          <cell r="L1040">
            <v>32</v>
          </cell>
          <cell r="M1040" t="e">
            <v>#N/A</v>
          </cell>
          <cell r="N1040">
            <v>37</v>
          </cell>
          <cell r="O1040" t="e">
            <v>#N/A</v>
          </cell>
          <cell r="P1040" t="str">
            <v/>
          </cell>
          <cell r="Q1040" t="str">
            <v/>
          </cell>
          <cell r="R1040" t="e">
            <v>#N/A</v>
          </cell>
        </row>
        <row r="1041">
          <cell r="A1041" t="str">
            <v/>
          </cell>
          <cell r="B1041" t="str">
            <v/>
          </cell>
          <cell r="C1041" t="str">
            <v>Future</v>
          </cell>
          <cell r="D1041" t="e">
            <v>#N/A</v>
          </cell>
          <cell r="E1041">
            <v>-31.290632411066948</v>
          </cell>
          <cell r="F1041">
            <v>48.725177865613027</v>
          </cell>
          <cell r="G1041">
            <v>29.673794466402327</v>
          </cell>
          <cell r="H1041">
            <v>29.673794466402327</v>
          </cell>
          <cell r="I1041" t="e">
            <v>#N/A</v>
          </cell>
          <cell r="J1041" t="e">
            <v>#N/A</v>
          </cell>
          <cell r="K1041">
            <v>42</v>
          </cell>
          <cell r="L1041">
            <v>32</v>
          </cell>
          <cell r="M1041" t="e">
            <v>#N/A</v>
          </cell>
          <cell r="N1041">
            <v>37</v>
          </cell>
          <cell r="O1041" t="e">
            <v>#N/A</v>
          </cell>
          <cell r="P1041" t="str">
            <v/>
          </cell>
          <cell r="Q1041" t="str">
            <v/>
          </cell>
          <cell r="R1041" t="e">
            <v>#N/A</v>
          </cell>
        </row>
        <row r="1042">
          <cell r="A1042" t="str">
            <v/>
          </cell>
          <cell r="B1042" t="str">
            <v/>
          </cell>
          <cell r="C1042" t="str">
            <v>Future</v>
          </cell>
          <cell r="D1042" t="e">
            <v>#N/A</v>
          </cell>
          <cell r="E1042">
            <v>-31.427272727272481</v>
          </cell>
          <cell r="F1042">
            <v>48.754545454545834</v>
          </cell>
          <cell r="G1042">
            <v>29.663636363635529</v>
          </cell>
          <cell r="H1042">
            <v>29.663636363635529</v>
          </cell>
          <cell r="I1042" t="e">
            <v>#N/A</v>
          </cell>
          <cell r="J1042" t="e">
            <v>#N/A</v>
          </cell>
          <cell r="K1042">
            <v>42</v>
          </cell>
          <cell r="L1042">
            <v>32</v>
          </cell>
          <cell r="M1042" t="e">
            <v>#N/A</v>
          </cell>
          <cell r="N1042">
            <v>37</v>
          </cell>
          <cell r="O1042" t="e">
            <v>#N/A</v>
          </cell>
          <cell r="P1042" t="str">
            <v/>
          </cell>
          <cell r="Q1042" t="str">
            <v/>
          </cell>
          <cell r="R1042" t="e">
            <v>#N/A</v>
          </cell>
        </row>
        <row r="1043">
          <cell r="A1043" t="str">
            <v/>
          </cell>
          <cell r="B1043" t="str">
            <v/>
          </cell>
          <cell r="C1043" t="str">
            <v>Future</v>
          </cell>
          <cell r="D1043" t="e">
            <v>#N/A</v>
          </cell>
          <cell r="E1043">
            <v>-31.563913043478014</v>
          </cell>
          <cell r="F1043">
            <v>48.783913043478641</v>
          </cell>
          <cell r="G1043">
            <v>29.653478260868731</v>
          </cell>
          <cell r="H1043">
            <v>29.653478260868731</v>
          </cell>
          <cell r="I1043" t="e">
            <v>#N/A</v>
          </cell>
          <cell r="J1043" t="e">
            <v>#N/A</v>
          </cell>
          <cell r="K1043">
            <v>42</v>
          </cell>
          <cell r="L1043">
            <v>32</v>
          </cell>
          <cell r="M1043" t="e">
            <v>#N/A</v>
          </cell>
          <cell r="N1043">
            <v>37</v>
          </cell>
          <cell r="O1043" t="e">
            <v>#N/A</v>
          </cell>
          <cell r="P1043" t="str">
            <v/>
          </cell>
          <cell r="Q1043" t="str">
            <v/>
          </cell>
          <cell r="R1043" t="e">
            <v>#N/A</v>
          </cell>
        </row>
        <row r="1044">
          <cell r="A1044" t="str">
            <v/>
          </cell>
          <cell r="B1044" t="str">
            <v/>
          </cell>
          <cell r="C1044" t="str">
            <v>Future</v>
          </cell>
          <cell r="D1044" t="e">
            <v>#N/A</v>
          </cell>
          <cell r="E1044">
            <v>-31.700553359683546</v>
          </cell>
          <cell r="F1044">
            <v>48.813280632411448</v>
          </cell>
          <cell r="G1044">
            <v>29.643320158101933</v>
          </cell>
          <cell r="H1044">
            <v>29.643320158101933</v>
          </cell>
          <cell r="I1044" t="e">
            <v>#N/A</v>
          </cell>
          <cell r="J1044" t="e">
            <v>#N/A</v>
          </cell>
          <cell r="K1044">
            <v>42</v>
          </cell>
          <cell r="L1044">
            <v>32</v>
          </cell>
          <cell r="M1044" t="e">
            <v>#N/A</v>
          </cell>
          <cell r="N1044">
            <v>37</v>
          </cell>
          <cell r="O1044" t="e">
            <v>#N/A</v>
          </cell>
          <cell r="P1044" t="str">
            <v/>
          </cell>
          <cell r="Q1044" t="str">
            <v/>
          </cell>
          <cell r="R1044" t="e">
            <v>#N/A</v>
          </cell>
        </row>
        <row r="1045">
          <cell r="A1045" t="str">
            <v/>
          </cell>
          <cell r="B1045" t="str">
            <v/>
          </cell>
          <cell r="C1045" t="str">
            <v>Future</v>
          </cell>
          <cell r="D1045" t="e">
            <v>#N/A</v>
          </cell>
          <cell r="E1045">
            <v>-31.837193675889079</v>
          </cell>
          <cell r="F1045">
            <v>48.842648221344255</v>
          </cell>
          <cell r="G1045">
            <v>29.633162055335134</v>
          </cell>
          <cell r="H1045">
            <v>29.633162055335134</v>
          </cell>
          <cell r="I1045" t="e">
            <v>#N/A</v>
          </cell>
          <cell r="J1045" t="e">
            <v>#N/A</v>
          </cell>
          <cell r="K1045">
            <v>42</v>
          </cell>
          <cell r="L1045">
            <v>32</v>
          </cell>
          <cell r="M1045" t="e">
            <v>#N/A</v>
          </cell>
          <cell r="N1045">
            <v>37</v>
          </cell>
          <cell r="O1045" t="e">
            <v>#N/A</v>
          </cell>
          <cell r="P1045" t="str">
            <v/>
          </cell>
          <cell r="Q1045" t="str">
            <v/>
          </cell>
          <cell r="R1045" t="e">
            <v>#N/A</v>
          </cell>
        </row>
        <row r="1046">
          <cell r="A1046" t="str">
            <v/>
          </cell>
          <cell r="B1046" t="str">
            <v/>
          </cell>
          <cell r="C1046" t="str">
            <v>Future</v>
          </cell>
          <cell r="D1046" t="e">
            <v>#N/A</v>
          </cell>
          <cell r="E1046">
            <v>-31.973833992094612</v>
          </cell>
          <cell r="F1046">
            <v>48.872015810277063</v>
          </cell>
          <cell r="G1046">
            <v>29.623003952568336</v>
          </cell>
          <cell r="H1046">
            <v>29.623003952568336</v>
          </cell>
          <cell r="I1046" t="e">
            <v>#N/A</v>
          </cell>
          <cell r="J1046" t="e">
            <v>#N/A</v>
          </cell>
          <cell r="K1046">
            <v>42</v>
          </cell>
          <cell r="L1046">
            <v>32</v>
          </cell>
          <cell r="M1046" t="e">
            <v>#N/A</v>
          </cell>
          <cell r="N1046">
            <v>37</v>
          </cell>
          <cell r="O1046" t="e">
            <v>#N/A</v>
          </cell>
          <cell r="P1046" t="str">
            <v/>
          </cell>
          <cell r="Q1046" t="str">
            <v/>
          </cell>
          <cell r="R1046" t="e">
            <v>#N/A</v>
          </cell>
        </row>
        <row r="1047">
          <cell r="A1047" t="str">
            <v/>
          </cell>
          <cell r="B1047" t="str">
            <v/>
          </cell>
          <cell r="C1047" t="str">
            <v>Future</v>
          </cell>
          <cell r="D1047" t="e">
            <v>#N/A</v>
          </cell>
          <cell r="E1047">
            <v>-32.110474308300148</v>
          </cell>
          <cell r="F1047">
            <v>48.90138339920987</v>
          </cell>
          <cell r="G1047">
            <v>29.612845849801538</v>
          </cell>
          <cell r="H1047">
            <v>29.612845849801538</v>
          </cell>
          <cell r="I1047" t="e">
            <v>#N/A</v>
          </cell>
          <cell r="J1047" t="e">
            <v>#N/A</v>
          </cell>
          <cell r="K1047">
            <v>42</v>
          </cell>
          <cell r="L1047">
            <v>32</v>
          </cell>
          <cell r="M1047" t="e">
            <v>#N/A</v>
          </cell>
          <cell r="N1047">
            <v>37</v>
          </cell>
          <cell r="O1047" t="e">
            <v>#N/A</v>
          </cell>
          <cell r="P1047" t="str">
            <v/>
          </cell>
          <cell r="Q1047" t="str">
            <v/>
          </cell>
          <cell r="R1047" t="e">
            <v>#N/A</v>
          </cell>
        </row>
        <row r="1048">
          <cell r="A1048" t="str">
            <v/>
          </cell>
          <cell r="B1048" t="str">
            <v/>
          </cell>
          <cell r="C1048" t="str">
            <v>Future</v>
          </cell>
          <cell r="D1048" t="e">
            <v>#N/A</v>
          </cell>
          <cell r="E1048">
            <v>-32.247114624505684</v>
          </cell>
          <cell r="F1048">
            <v>48.930750988142677</v>
          </cell>
          <cell r="G1048">
            <v>29.602687747034739</v>
          </cell>
          <cell r="H1048">
            <v>29.602687747034739</v>
          </cell>
          <cell r="I1048" t="e">
            <v>#N/A</v>
          </cell>
          <cell r="J1048" t="e">
            <v>#N/A</v>
          </cell>
          <cell r="K1048">
            <v>42</v>
          </cell>
          <cell r="L1048">
            <v>32</v>
          </cell>
          <cell r="M1048" t="e">
            <v>#N/A</v>
          </cell>
          <cell r="N1048">
            <v>37</v>
          </cell>
          <cell r="O1048" t="e">
            <v>#N/A</v>
          </cell>
          <cell r="P1048" t="str">
            <v/>
          </cell>
          <cell r="Q1048" t="str">
            <v/>
          </cell>
          <cell r="R1048" t="e">
            <v>#N/A</v>
          </cell>
        </row>
        <row r="1049">
          <cell r="A1049" t="str">
            <v/>
          </cell>
          <cell r="B1049" t="str">
            <v/>
          </cell>
          <cell r="C1049" t="str">
            <v>Future</v>
          </cell>
          <cell r="D1049" t="e">
            <v>#N/A</v>
          </cell>
          <cell r="E1049">
            <v>-32.383754940711221</v>
          </cell>
          <cell r="F1049">
            <v>48.960118577075484</v>
          </cell>
          <cell r="G1049">
            <v>29.592529644267941</v>
          </cell>
          <cell r="H1049">
            <v>29.592529644267941</v>
          </cell>
          <cell r="I1049" t="e">
            <v>#N/A</v>
          </cell>
          <cell r="J1049" t="e">
            <v>#N/A</v>
          </cell>
          <cell r="K1049">
            <v>42</v>
          </cell>
          <cell r="L1049">
            <v>32</v>
          </cell>
          <cell r="M1049" t="e">
            <v>#N/A</v>
          </cell>
          <cell r="N1049">
            <v>37</v>
          </cell>
          <cell r="O1049" t="e">
            <v>#N/A</v>
          </cell>
          <cell r="P1049" t="str">
            <v/>
          </cell>
          <cell r="Q1049" t="str">
            <v/>
          </cell>
          <cell r="R1049" t="e">
            <v>#N/A</v>
          </cell>
        </row>
        <row r="1050">
          <cell r="A1050" t="str">
            <v/>
          </cell>
          <cell r="B1050" t="str">
            <v/>
          </cell>
          <cell r="C1050" t="str">
            <v>Future</v>
          </cell>
          <cell r="D1050" t="e">
            <v>#N/A</v>
          </cell>
          <cell r="E1050">
            <v>-32.520395256916757</v>
          </cell>
          <cell r="F1050">
            <v>48.989486166008291</v>
          </cell>
          <cell r="G1050">
            <v>29.582371541501143</v>
          </cell>
          <cell r="H1050">
            <v>29.582371541501143</v>
          </cell>
          <cell r="I1050" t="e">
            <v>#N/A</v>
          </cell>
          <cell r="J1050" t="e">
            <v>#N/A</v>
          </cell>
          <cell r="K1050">
            <v>42</v>
          </cell>
          <cell r="L1050">
            <v>32</v>
          </cell>
          <cell r="M1050" t="e">
            <v>#N/A</v>
          </cell>
          <cell r="N1050">
            <v>37</v>
          </cell>
          <cell r="O1050" t="e">
            <v>#N/A</v>
          </cell>
          <cell r="P1050" t="str">
            <v/>
          </cell>
          <cell r="Q1050" t="str">
            <v/>
          </cell>
          <cell r="R1050" t="e">
            <v>#N/A</v>
          </cell>
        </row>
        <row r="1051">
          <cell r="A1051" t="str">
            <v/>
          </cell>
          <cell r="B1051" t="str">
            <v/>
          </cell>
          <cell r="C1051" t="str">
            <v>Future</v>
          </cell>
          <cell r="D1051" t="e">
            <v>#N/A</v>
          </cell>
          <cell r="E1051">
            <v>-32.657035573122293</v>
          </cell>
          <cell r="F1051">
            <v>49.018853754941098</v>
          </cell>
          <cell r="G1051">
            <v>29.572213438734344</v>
          </cell>
          <cell r="H1051">
            <v>29.572213438734344</v>
          </cell>
          <cell r="I1051" t="e">
            <v>#N/A</v>
          </cell>
          <cell r="J1051" t="e">
            <v>#N/A</v>
          </cell>
          <cell r="K1051">
            <v>42</v>
          </cell>
          <cell r="L1051">
            <v>32</v>
          </cell>
          <cell r="M1051" t="e">
            <v>#N/A</v>
          </cell>
          <cell r="N1051">
            <v>37</v>
          </cell>
          <cell r="O1051" t="e">
            <v>#N/A</v>
          </cell>
          <cell r="P1051" t="str">
            <v/>
          </cell>
          <cell r="Q1051" t="str">
            <v/>
          </cell>
          <cell r="R1051" t="e">
            <v>#N/A</v>
          </cell>
        </row>
        <row r="1052">
          <cell r="A1052" t="str">
            <v/>
          </cell>
          <cell r="B1052" t="str">
            <v/>
          </cell>
          <cell r="C1052" t="str">
            <v>Future</v>
          </cell>
          <cell r="D1052" t="e">
            <v>#N/A</v>
          </cell>
          <cell r="E1052">
            <v>-32.79367588932783</v>
          </cell>
          <cell r="F1052">
            <v>49.048221343873905</v>
          </cell>
          <cell r="G1052">
            <v>29.562055335967546</v>
          </cell>
          <cell r="H1052">
            <v>29.562055335967546</v>
          </cell>
          <cell r="I1052" t="e">
            <v>#N/A</v>
          </cell>
          <cell r="J1052" t="e">
            <v>#N/A</v>
          </cell>
          <cell r="K1052">
            <v>42</v>
          </cell>
          <cell r="L1052">
            <v>32</v>
          </cell>
          <cell r="M1052" t="e">
            <v>#N/A</v>
          </cell>
          <cell r="N1052">
            <v>37</v>
          </cell>
          <cell r="O1052" t="e">
            <v>#N/A</v>
          </cell>
          <cell r="P1052" t="str">
            <v/>
          </cell>
          <cell r="Q1052" t="str">
            <v/>
          </cell>
          <cell r="R1052" t="e">
            <v>#N/A</v>
          </cell>
        </row>
        <row r="1053">
          <cell r="A1053" t="str">
            <v/>
          </cell>
          <cell r="B1053" t="str">
            <v/>
          </cell>
          <cell r="C1053" t="str">
            <v>Future</v>
          </cell>
          <cell r="D1053" t="e">
            <v>#N/A</v>
          </cell>
          <cell r="E1053">
            <v>-32.930316205533366</v>
          </cell>
          <cell r="F1053">
            <v>49.077588932806712</v>
          </cell>
          <cell r="G1053">
            <v>29.551897233200748</v>
          </cell>
          <cell r="H1053">
            <v>29.551897233200748</v>
          </cell>
          <cell r="I1053" t="e">
            <v>#N/A</v>
          </cell>
          <cell r="J1053" t="e">
            <v>#N/A</v>
          </cell>
          <cell r="K1053">
            <v>42</v>
          </cell>
          <cell r="L1053">
            <v>32</v>
          </cell>
          <cell r="M1053" t="e">
            <v>#N/A</v>
          </cell>
          <cell r="N1053">
            <v>37</v>
          </cell>
          <cell r="O1053" t="e">
            <v>#N/A</v>
          </cell>
          <cell r="P1053" t="str">
            <v/>
          </cell>
          <cell r="Q1053" t="str">
            <v/>
          </cell>
          <cell r="R1053" t="e">
            <v>#N/A</v>
          </cell>
        </row>
        <row r="1054">
          <cell r="A1054" t="str">
            <v/>
          </cell>
          <cell r="B1054" t="str">
            <v/>
          </cell>
          <cell r="C1054" t="str">
            <v>Future</v>
          </cell>
          <cell r="D1054" t="e">
            <v>#N/A</v>
          </cell>
          <cell r="E1054">
            <v>-33.066956521738902</v>
          </cell>
          <cell r="F1054">
            <v>49.106956521739519</v>
          </cell>
          <cell r="G1054">
            <v>29.54173913043395</v>
          </cell>
          <cell r="H1054">
            <v>29.54173913043395</v>
          </cell>
          <cell r="I1054" t="e">
            <v>#N/A</v>
          </cell>
          <cell r="J1054" t="e">
            <v>#N/A</v>
          </cell>
          <cell r="K1054">
            <v>42</v>
          </cell>
          <cell r="L1054">
            <v>32</v>
          </cell>
          <cell r="M1054" t="e">
            <v>#N/A</v>
          </cell>
          <cell r="N1054">
            <v>37</v>
          </cell>
          <cell r="O1054" t="e">
            <v>#N/A</v>
          </cell>
          <cell r="P1054" t="str">
            <v/>
          </cell>
          <cell r="Q1054" t="str">
            <v/>
          </cell>
          <cell r="R1054" t="e">
            <v>#N/A</v>
          </cell>
        </row>
        <row r="1055">
          <cell r="A1055" t="str">
            <v/>
          </cell>
          <cell r="B1055" t="str">
            <v/>
          </cell>
          <cell r="C1055" t="str">
            <v>Future</v>
          </cell>
          <cell r="D1055" t="e">
            <v>#N/A</v>
          </cell>
          <cell r="E1055">
            <v>-33.203596837944438</v>
          </cell>
          <cell r="F1055">
            <v>49.136324110672327</v>
          </cell>
          <cell r="G1055">
            <v>29.531581027667151</v>
          </cell>
          <cell r="H1055">
            <v>29.531581027667151</v>
          </cell>
          <cell r="I1055" t="e">
            <v>#N/A</v>
          </cell>
          <cell r="J1055" t="e">
            <v>#N/A</v>
          </cell>
          <cell r="K1055">
            <v>42</v>
          </cell>
          <cell r="L1055">
            <v>32</v>
          </cell>
          <cell r="M1055" t="e">
            <v>#N/A</v>
          </cell>
          <cell r="N1055">
            <v>37</v>
          </cell>
          <cell r="O1055" t="e">
            <v>#N/A</v>
          </cell>
          <cell r="P1055" t="str">
            <v/>
          </cell>
          <cell r="Q1055" t="str">
            <v/>
          </cell>
          <cell r="R1055" t="e">
            <v>#N/A</v>
          </cell>
        </row>
        <row r="1056">
          <cell r="A1056" t="str">
            <v/>
          </cell>
          <cell r="B1056" t="str">
            <v/>
          </cell>
          <cell r="C1056" t="str">
            <v>Future</v>
          </cell>
          <cell r="D1056" t="e">
            <v>#N/A</v>
          </cell>
          <cell r="E1056">
            <v>-33.340237154149975</v>
          </cell>
          <cell r="F1056">
            <v>49.165691699605134</v>
          </cell>
          <cell r="G1056">
            <v>29.521422924900353</v>
          </cell>
          <cell r="H1056">
            <v>29.521422924900353</v>
          </cell>
          <cell r="I1056" t="e">
            <v>#N/A</v>
          </cell>
          <cell r="J1056" t="e">
            <v>#N/A</v>
          </cell>
          <cell r="K1056">
            <v>42</v>
          </cell>
          <cell r="L1056">
            <v>32</v>
          </cell>
          <cell r="M1056" t="e">
            <v>#N/A</v>
          </cell>
          <cell r="N1056">
            <v>37</v>
          </cell>
          <cell r="O1056" t="e">
            <v>#N/A</v>
          </cell>
          <cell r="P1056" t="str">
            <v/>
          </cell>
          <cell r="Q1056" t="str">
            <v/>
          </cell>
          <cell r="R1056" t="e">
            <v>#N/A</v>
          </cell>
        </row>
        <row r="1057">
          <cell r="A1057" t="str">
            <v/>
          </cell>
          <cell r="B1057" t="str">
            <v/>
          </cell>
          <cell r="C1057" t="str">
            <v>Future</v>
          </cell>
          <cell r="D1057" t="e">
            <v>#N/A</v>
          </cell>
          <cell r="E1057">
            <v>-33.476877470355511</v>
          </cell>
          <cell r="F1057">
            <v>49.195059288537941</v>
          </cell>
          <cell r="G1057">
            <v>29.511264822133555</v>
          </cell>
          <cell r="H1057">
            <v>29.511264822133555</v>
          </cell>
          <cell r="I1057" t="e">
            <v>#N/A</v>
          </cell>
          <cell r="J1057" t="e">
            <v>#N/A</v>
          </cell>
          <cell r="K1057">
            <v>42</v>
          </cell>
          <cell r="L1057">
            <v>32</v>
          </cell>
          <cell r="M1057" t="e">
            <v>#N/A</v>
          </cell>
          <cell r="N1057">
            <v>37</v>
          </cell>
          <cell r="O1057" t="e">
            <v>#N/A</v>
          </cell>
          <cell r="P1057" t="str">
            <v/>
          </cell>
          <cell r="Q1057" t="str">
            <v/>
          </cell>
          <cell r="R1057" t="e">
            <v>#N/A</v>
          </cell>
        </row>
        <row r="1058">
          <cell r="A1058" t="str">
            <v/>
          </cell>
          <cell r="B1058" t="str">
            <v/>
          </cell>
          <cell r="C1058" t="str">
            <v>Future</v>
          </cell>
          <cell r="D1058" t="e">
            <v>#N/A</v>
          </cell>
          <cell r="E1058">
            <v>-33.613517786561047</v>
          </cell>
          <cell r="F1058">
            <v>49.224426877470748</v>
          </cell>
          <cell r="G1058">
            <v>29.501106719366756</v>
          </cell>
          <cell r="H1058">
            <v>29.501106719366756</v>
          </cell>
          <cell r="I1058" t="e">
            <v>#N/A</v>
          </cell>
          <cell r="J1058" t="e">
            <v>#N/A</v>
          </cell>
          <cell r="K1058">
            <v>42</v>
          </cell>
          <cell r="L1058">
            <v>32</v>
          </cell>
          <cell r="M1058" t="e">
            <v>#N/A</v>
          </cell>
          <cell r="N1058">
            <v>37</v>
          </cell>
          <cell r="O1058" t="e">
            <v>#N/A</v>
          </cell>
          <cell r="P1058" t="str">
            <v/>
          </cell>
          <cell r="Q1058" t="str">
            <v/>
          </cell>
          <cell r="R1058" t="e">
            <v>#N/A</v>
          </cell>
        </row>
        <row r="1059">
          <cell r="A1059" t="str">
            <v/>
          </cell>
          <cell r="B1059" t="str">
            <v/>
          </cell>
          <cell r="C1059" t="str">
            <v>Future</v>
          </cell>
          <cell r="D1059" t="e">
            <v>#N/A</v>
          </cell>
          <cell r="E1059">
            <v>-33.750158102766584</v>
          </cell>
          <cell r="F1059">
            <v>49.253794466403555</v>
          </cell>
          <cell r="G1059">
            <v>29.490948616599958</v>
          </cell>
          <cell r="H1059">
            <v>29.490948616599958</v>
          </cell>
          <cell r="I1059" t="e">
            <v>#N/A</v>
          </cell>
          <cell r="J1059" t="e">
            <v>#N/A</v>
          </cell>
          <cell r="K1059">
            <v>42</v>
          </cell>
          <cell r="L1059">
            <v>32</v>
          </cell>
          <cell r="M1059" t="e">
            <v>#N/A</v>
          </cell>
          <cell r="N1059">
            <v>37</v>
          </cell>
          <cell r="O1059" t="e">
            <v>#N/A</v>
          </cell>
          <cell r="P1059" t="str">
            <v/>
          </cell>
          <cell r="Q1059" t="str">
            <v/>
          </cell>
          <cell r="R1059" t="e">
            <v>#N/A</v>
          </cell>
        </row>
        <row r="1060">
          <cell r="A1060" t="str">
            <v/>
          </cell>
          <cell r="B1060" t="str">
            <v/>
          </cell>
          <cell r="C1060" t="str">
            <v>Future</v>
          </cell>
          <cell r="D1060" t="e">
            <v>#N/A</v>
          </cell>
          <cell r="E1060">
            <v>-33.88679841897212</v>
          </cell>
          <cell r="F1060">
            <v>49.283162055336362</v>
          </cell>
          <cell r="G1060">
            <v>29.48079051383316</v>
          </cell>
          <cell r="H1060">
            <v>29.48079051383316</v>
          </cell>
          <cell r="I1060" t="e">
            <v>#N/A</v>
          </cell>
          <cell r="J1060" t="e">
            <v>#N/A</v>
          </cell>
          <cell r="K1060">
            <v>42</v>
          </cell>
          <cell r="L1060">
            <v>32</v>
          </cell>
          <cell r="M1060" t="e">
            <v>#N/A</v>
          </cell>
          <cell r="N1060">
            <v>37</v>
          </cell>
          <cell r="O1060" t="e">
            <v>#N/A</v>
          </cell>
          <cell r="P1060" t="str">
            <v/>
          </cell>
          <cell r="Q1060" t="str">
            <v/>
          </cell>
          <cell r="R1060" t="e">
            <v>#N/A</v>
          </cell>
        </row>
        <row r="1061">
          <cell r="A1061" t="str">
            <v/>
          </cell>
          <cell r="B1061" t="str">
            <v/>
          </cell>
          <cell r="C1061" t="str">
            <v>Future</v>
          </cell>
          <cell r="D1061" t="e">
            <v>#N/A</v>
          </cell>
          <cell r="E1061">
            <v>-34.023438735177656</v>
          </cell>
          <cell r="F1061">
            <v>49.312529644269169</v>
          </cell>
          <cell r="G1061">
            <v>29.470632411066362</v>
          </cell>
          <cell r="H1061">
            <v>29.470632411066362</v>
          </cell>
          <cell r="I1061" t="e">
            <v>#N/A</v>
          </cell>
          <cell r="J1061" t="e">
            <v>#N/A</v>
          </cell>
          <cell r="K1061">
            <v>42</v>
          </cell>
          <cell r="L1061">
            <v>32</v>
          </cell>
          <cell r="M1061" t="e">
            <v>#N/A</v>
          </cell>
          <cell r="N1061">
            <v>37</v>
          </cell>
          <cell r="O1061" t="e">
            <v>#N/A</v>
          </cell>
          <cell r="P1061" t="str">
            <v/>
          </cell>
          <cell r="Q1061" t="str">
            <v/>
          </cell>
          <cell r="R1061" t="e">
            <v>#N/A</v>
          </cell>
        </row>
        <row r="1062">
          <cell r="A1062" t="str">
            <v/>
          </cell>
          <cell r="B1062" t="str">
            <v/>
          </cell>
          <cell r="C1062" t="str">
            <v>Future</v>
          </cell>
          <cell r="D1062" t="e">
            <v>#N/A</v>
          </cell>
          <cell r="E1062">
            <v>-34.160079051383192</v>
          </cell>
          <cell r="F1062">
            <v>49.341897233201976</v>
          </cell>
          <cell r="G1062">
            <v>29.460474308299563</v>
          </cell>
          <cell r="H1062">
            <v>29.460474308299563</v>
          </cell>
          <cell r="I1062" t="e">
            <v>#N/A</v>
          </cell>
          <cell r="J1062" t="e">
            <v>#N/A</v>
          </cell>
          <cell r="K1062">
            <v>42</v>
          </cell>
          <cell r="L1062">
            <v>32</v>
          </cell>
          <cell r="M1062" t="e">
            <v>#N/A</v>
          </cell>
          <cell r="N1062">
            <v>37</v>
          </cell>
          <cell r="O1062" t="e">
            <v>#N/A</v>
          </cell>
          <cell r="P1062" t="str">
            <v/>
          </cell>
          <cell r="Q1062" t="str">
            <v/>
          </cell>
          <cell r="R1062" t="e">
            <v>#N/A</v>
          </cell>
        </row>
        <row r="1063">
          <cell r="A1063" t="str">
            <v/>
          </cell>
          <cell r="B1063" t="str">
            <v/>
          </cell>
          <cell r="C1063" t="str">
            <v>Future</v>
          </cell>
          <cell r="D1063" t="e">
            <v>#N/A</v>
          </cell>
          <cell r="E1063">
            <v>-34.296719367588729</v>
          </cell>
          <cell r="F1063">
            <v>49.371264822134783</v>
          </cell>
          <cell r="G1063">
            <v>29.450316205532765</v>
          </cell>
          <cell r="H1063">
            <v>29.450316205532765</v>
          </cell>
          <cell r="I1063" t="e">
            <v>#N/A</v>
          </cell>
          <cell r="J1063" t="e">
            <v>#N/A</v>
          </cell>
          <cell r="K1063">
            <v>42</v>
          </cell>
          <cell r="L1063">
            <v>32</v>
          </cell>
          <cell r="M1063" t="e">
            <v>#N/A</v>
          </cell>
          <cell r="N1063">
            <v>37</v>
          </cell>
          <cell r="O1063" t="e">
            <v>#N/A</v>
          </cell>
          <cell r="P1063" t="str">
            <v/>
          </cell>
          <cell r="Q1063" t="str">
            <v/>
          </cell>
          <cell r="R1063" t="e">
            <v>#N/A</v>
          </cell>
        </row>
        <row r="1064">
          <cell r="A1064" t="str">
            <v/>
          </cell>
          <cell r="B1064" t="str">
            <v/>
          </cell>
          <cell r="C1064" t="str">
            <v>Future</v>
          </cell>
          <cell r="D1064" t="e">
            <v>#N/A</v>
          </cell>
          <cell r="E1064">
            <v>-34.433359683794265</v>
          </cell>
          <cell r="F1064">
            <v>49.400632411067591</v>
          </cell>
          <cell r="G1064">
            <v>29.440158102765967</v>
          </cell>
          <cell r="H1064">
            <v>29.440158102765967</v>
          </cell>
          <cell r="I1064" t="e">
            <v>#N/A</v>
          </cell>
          <cell r="J1064" t="e">
            <v>#N/A</v>
          </cell>
          <cell r="K1064">
            <v>42</v>
          </cell>
          <cell r="L1064">
            <v>32</v>
          </cell>
          <cell r="M1064" t="e">
            <v>#N/A</v>
          </cell>
          <cell r="N1064">
            <v>37</v>
          </cell>
          <cell r="O1064" t="e">
            <v>#N/A</v>
          </cell>
          <cell r="P1064" t="str">
            <v/>
          </cell>
          <cell r="Q1064" t="str">
            <v/>
          </cell>
          <cell r="R1064" t="e">
            <v>#N/A</v>
          </cell>
        </row>
        <row r="1065">
          <cell r="A1065" t="str">
            <v/>
          </cell>
          <cell r="B1065" t="str">
            <v/>
          </cell>
          <cell r="C1065" t="str">
            <v>Future</v>
          </cell>
          <cell r="D1065" t="e">
            <v>#N/A</v>
          </cell>
          <cell r="E1065">
            <v>-34.569999999999801</v>
          </cell>
          <cell r="F1065">
            <v>49.430000000000398</v>
          </cell>
          <cell r="G1065">
            <v>29.429999999999168</v>
          </cell>
          <cell r="H1065">
            <v>29.429999999999168</v>
          </cell>
          <cell r="I1065" t="e">
            <v>#N/A</v>
          </cell>
          <cell r="J1065" t="e">
            <v>#N/A</v>
          </cell>
          <cell r="K1065">
            <v>42</v>
          </cell>
          <cell r="L1065">
            <v>32</v>
          </cell>
          <cell r="M1065" t="e">
            <v>#N/A</v>
          </cell>
          <cell r="N1065">
            <v>37</v>
          </cell>
          <cell r="O1065" t="e">
            <v>#N/A</v>
          </cell>
          <cell r="P1065" t="str">
            <v/>
          </cell>
          <cell r="Q1065" t="str">
            <v/>
          </cell>
          <cell r="R1065" t="e">
            <v>#N/A</v>
          </cell>
        </row>
        <row r="1066">
          <cell r="A1066" t="str">
            <v/>
          </cell>
          <cell r="B1066" t="str">
            <v/>
          </cell>
          <cell r="C1066" t="str">
            <v>Future</v>
          </cell>
          <cell r="D1066" t="e">
            <v>#N/A</v>
          </cell>
          <cell r="E1066">
            <v>-34.706640316205338</v>
          </cell>
          <cell r="F1066">
            <v>49.459367588933205</v>
          </cell>
          <cell r="G1066">
            <v>29.41984189723237</v>
          </cell>
          <cell r="H1066">
            <v>29.41984189723237</v>
          </cell>
          <cell r="I1066" t="e">
            <v>#N/A</v>
          </cell>
          <cell r="J1066" t="e">
            <v>#N/A</v>
          </cell>
          <cell r="K1066">
            <v>42</v>
          </cell>
          <cell r="L1066">
            <v>32</v>
          </cell>
          <cell r="M1066" t="e">
            <v>#N/A</v>
          </cell>
          <cell r="N1066">
            <v>37</v>
          </cell>
          <cell r="O1066" t="e">
            <v>#N/A</v>
          </cell>
          <cell r="P1066" t="str">
            <v/>
          </cell>
          <cell r="Q1066" t="str">
            <v/>
          </cell>
          <cell r="R1066" t="e">
            <v>#N/A</v>
          </cell>
        </row>
        <row r="1067">
          <cell r="A1067" t="str">
            <v/>
          </cell>
          <cell r="B1067" t="str">
            <v/>
          </cell>
          <cell r="C1067" t="str">
            <v>Future</v>
          </cell>
          <cell r="D1067" t="e">
            <v>#N/A</v>
          </cell>
          <cell r="E1067">
            <v>-34.843280632410874</v>
          </cell>
          <cell r="F1067">
            <v>49.488735177866012</v>
          </cell>
          <cell r="G1067">
            <v>29.409683794465572</v>
          </cell>
          <cell r="H1067">
            <v>29.409683794465572</v>
          </cell>
          <cell r="I1067" t="e">
            <v>#N/A</v>
          </cell>
          <cell r="J1067" t="e">
            <v>#N/A</v>
          </cell>
          <cell r="K1067">
            <v>42</v>
          </cell>
          <cell r="L1067">
            <v>32</v>
          </cell>
          <cell r="M1067" t="e">
            <v>#N/A</v>
          </cell>
          <cell r="N1067">
            <v>37</v>
          </cell>
          <cell r="O1067" t="e">
            <v>#N/A</v>
          </cell>
          <cell r="P1067" t="str">
            <v/>
          </cell>
          <cell r="Q1067" t="str">
            <v/>
          </cell>
          <cell r="R1067" t="e">
            <v>#N/A</v>
          </cell>
        </row>
        <row r="1068">
          <cell r="A1068" t="str">
            <v/>
          </cell>
          <cell r="B1068" t="str">
            <v/>
          </cell>
          <cell r="C1068" t="str">
            <v>Future</v>
          </cell>
          <cell r="D1068" t="e">
            <v>#N/A</v>
          </cell>
          <cell r="E1068">
            <v>-34.97992094861641</v>
          </cell>
          <cell r="F1068">
            <v>49.518102766798819</v>
          </cell>
          <cell r="G1068">
            <v>29.399525691698773</v>
          </cell>
          <cell r="H1068">
            <v>29.399525691698773</v>
          </cell>
          <cell r="I1068" t="e">
            <v>#N/A</v>
          </cell>
          <cell r="J1068" t="e">
            <v>#N/A</v>
          </cell>
          <cell r="K1068">
            <v>42</v>
          </cell>
          <cell r="L1068">
            <v>32</v>
          </cell>
          <cell r="M1068" t="e">
            <v>#N/A</v>
          </cell>
          <cell r="N1068">
            <v>37</v>
          </cell>
          <cell r="O1068" t="e">
            <v>#N/A</v>
          </cell>
          <cell r="P1068" t="str">
            <v/>
          </cell>
          <cell r="Q1068" t="str">
            <v/>
          </cell>
          <cell r="R1068" t="e">
            <v>#N/A</v>
          </cell>
        </row>
        <row r="1069">
          <cell r="A1069" t="str">
            <v/>
          </cell>
          <cell r="B1069" t="str">
            <v/>
          </cell>
          <cell r="C1069" t="str">
            <v>Future</v>
          </cell>
          <cell r="D1069" t="e">
            <v>#N/A</v>
          </cell>
          <cell r="E1069">
            <v>-35.116561264821947</v>
          </cell>
          <cell r="F1069">
            <v>49.547470355731626</v>
          </cell>
          <cell r="G1069">
            <v>29.389367588931975</v>
          </cell>
          <cell r="H1069">
            <v>29.389367588931975</v>
          </cell>
          <cell r="I1069" t="e">
            <v>#N/A</v>
          </cell>
          <cell r="J1069" t="e">
            <v>#N/A</v>
          </cell>
          <cell r="K1069">
            <v>42</v>
          </cell>
          <cell r="L1069">
            <v>32</v>
          </cell>
          <cell r="M1069" t="e">
            <v>#N/A</v>
          </cell>
          <cell r="N1069">
            <v>37</v>
          </cell>
          <cell r="O1069" t="e">
            <v>#N/A</v>
          </cell>
          <cell r="P1069" t="str">
            <v/>
          </cell>
          <cell r="Q1069" t="str">
            <v/>
          </cell>
          <cell r="R1069" t="e">
            <v>#N/A</v>
          </cell>
        </row>
        <row r="1070">
          <cell r="A1070" t="str">
            <v/>
          </cell>
          <cell r="B1070" t="str">
            <v/>
          </cell>
          <cell r="C1070" t="str">
            <v>Future</v>
          </cell>
          <cell r="D1070" t="e">
            <v>#N/A</v>
          </cell>
          <cell r="E1070">
            <v>-35.253201581027483</v>
          </cell>
          <cell r="F1070">
            <v>49.576837944664433</v>
          </cell>
          <cell r="G1070">
            <v>29.379209486165177</v>
          </cell>
          <cell r="H1070">
            <v>29.379209486165177</v>
          </cell>
          <cell r="I1070" t="e">
            <v>#N/A</v>
          </cell>
          <cell r="J1070" t="e">
            <v>#N/A</v>
          </cell>
          <cell r="K1070">
            <v>42</v>
          </cell>
          <cell r="L1070">
            <v>32</v>
          </cell>
          <cell r="M1070" t="e">
            <v>#N/A</v>
          </cell>
          <cell r="N1070">
            <v>37</v>
          </cell>
          <cell r="O1070" t="e">
            <v>#N/A</v>
          </cell>
          <cell r="P1070" t="str">
            <v/>
          </cell>
          <cell r="Q1070" t="str">
            <v/>
          </cell>
          <cell r="R1070" t="e">
            <v>#N/A</v>
          </cell>
        </row>
        <row r="1071">
          <cell r="A1071" t="str">
            <v/>
          </cell>
          <cell r="B1071" t="str">
            <v/>
          </cell>
          <cell r="C1071" t="str">
            <v>Future</v>
          </cell>
          <cell r="D1071" t="e">
            <v>#N/A</v>
          </cell>
          <cell r="E1071">
            <v>-35.389841897233019</v>
          </cell>
          <cell r="F1071">
            <v>49.60620553359724</v>
          </cell>
          <cell r="G1071">
            <v>29.369051383398379</v>
          </cell>
          <cell r="H1071">
            <v>29.369051383398379</v>
          </cell>
          <cell r="I1071" t="e">
            <v>#N/A</v>
          </cell>
          <cell r="J1071" t="e">
            <v>#N/A</v>
          </cell>
          <cell r="K1071">
            <v>42</v>
          </cell>
          <cell r="L1071">
            <v>32</v>
          </cell>
          <cell r="M1071" t="e">
            <v>#N/A</v>
          </cell>
          <cell r="N1071">
            <v>37</v>
          </cell>
          <cell r="O1071" t="e">
            <v>#N/A</v>
          </cell>
          <cell r="P1071" t="str">
            <v/>
          </cell>
          <cell r="Q1071" t="str">
            <v/>
          </cell>
          <cell r="R1071" t="e">
            <v>#N/A</v>
          </cell>
        </row>
        <row r="1072">
          <cell r="A1072" t="str">
            <v/>
          </cell>
          <cell r="B1072" t="str">
            <v/>
          </cell>
          <cell r="C1072" t="str">
            <v>Future</v>
          </cell>
          <cell r="D1072" t="e">
            <v>#N/A</v>
          </cell>
          <cell r="E1072">
            <v>-35.526482213438555</v>
          </cell>
          <cell r="F1072">
            <v>49.635573122530047</v>
          </cell>
          <cell r="G1072">
            <v>29.35889328063158</v>
          </cell>
          <cell r="H1072">
            <v>29.35889328063158</v>
          </cell>
          <cell r="I1072" t="e">
            <v>#N/A</v>
          </cell>
          <cell r="J1072" t="e">
            <v>#N/A</v>
          </cell>
          <cell r="K1072">
            <v>42</v>
          </cell>
          <cell r="L1072">
            <v>32</v>
          </cell>
          <cell r="M1072" t="e">
            <v>#N/A</v>
          </cell>
          <cell r="N1072">
            <v>37</v>
          </cell>
          <cell r="O1072" t="e">
            <v>#N/A</v>
          </cell>
          <cell r="P1072" t="str">
            <v/>
          </cell>
          <cell r="Q1072" t="str">
            <v/>
          </cell>
          <cell r="R1072" t="e">
            <v>#N/A</v>
          </cell>
        </row>
        <row r="1073">
          <cell r="A1073" t="str">
            <v/>
          </cell>
          <cell r="B1073" t="str">
            <v/>
          </cell>
          <cell r="C1073" t="str">
            <v>Future</v>
          </cell>
          <cell r="D1073" t="e">
            <v>#N/A</v>
          </cell>
          <cell r="E1073">
            <v>-35.663122529644092</v>
          </cell>
          <cell r="F1073">
            <v>49.664940711462854</v>
          </cell>
          <cell r="G1073">
            <v>29.348735177864782</v>
          </cell>
          <cell r="H1073">
            <v>29.348735177864782</v>
          </cell>
          <cell r="I1073" t="e">
            <v>#N/A</v>
          </cell>
          <cell r="J1073" t="e">
            <v>#N/A</v>
          </cell>
          <cell r="K1073">
            <v>42</v>
          </cell>
          <cell r="L1073">
            <v>32</v>
          </cell>
          <cell r="M1073" t="e">
            <v>#N/A</v>
          </cell>
          <cell r="N1073">
            <v>37</v>
          </cell>
          <cell r="O1073" t="e">
            <v>#N/A</v>
          </cell>
          <cell r="P1073" t="str">
            <v/>
          </cell>
          <cell r="Q1073" t="str">
            <v/>
          </cell>
          <cell r="R1073" t="e">
            <v>#N/A</v>
          </cell>
        </row>
        <row r="1074">
          <cell r="A1074" t="str">
            <v/>
          </cell>
          <cell r="B1074" t="str">
            <v/>
          </cell>
          <cell r="C1074" t="str">
            <v>Future</v>
          </cell>
          <cell r="D1074" t="e">
            <v>#N/A</v>
          </cell>
          <cell r="E1074">
            <v>-35.799762845849628</v>
          </cell>
          <cell r="F1074">
            <v>49.694308300395662</v>
          </cell>
          <cell r="G1074">
            <v>29.338577075097984</v>
          </cell>
          <cell r="H1074">
            <v>29.338577075097984</v>
          </cell>
          <cell r="I1074" t="e">
            <v>#N/A</v>
          </cell>
          <cell r="J1074" t="e">
            <v>#N/A</v>
          </cell>
          <cell r="K1074">
            <v>42</v>
          </cell>
          <cell r="L1074">
            <v>32</v>
          </cell>
          <cell r="M1074" t="e">
            <v>#N/A</v>
          </cell>
          <cell r="N1074">
            <v>37</v>
          </cell>
          <cell r="O1074" t="e">
            <v>#N/A</v>
          </cell>
          <cell r="P1074" t="str">
            <v/>
          </cell>
          <cell r="Q1074" t="str">
            <v/>
          </cell>
          <cell r="R1074" t="e">
            <v>#N/A</v>
          </cell>
        </row>
        <row r="1075">
          <cell r="A1075" t="str">
            <v/>
          </cell>
          <cell r="B1075" t="str">
            <v/>
          </cell>
          <cell r="C1075" t="str">
            <v>Future</v>
          </cell>
          <cell r="D1075" t="e">
            <v>#N/A</v>
          </cell>
          <cell r="E1075">
            <v>-35.936403162055164</v>
          </cell>
          <cell r="F1075">
            <v>49.723675889328469</v>
          </cell>
          <cell r="G1075">
            <v>29.328418972331185</v>
          </cell>
          <cell r="H1075">
            <v>29.328418972331185</v>
          </cell>
          <cell r="I1075" t="e">
            <v>#N/A</v>
          </cell>
          <cell r="J1075" t="e">
            <v>#N/A</v>
          </cell>
          <cell r="K1075">
            <v>42</v>
          </cell>
          <cell r="L1075">
            <v>32</v>
          </cell>
          <cell r="M1075" t="e">
            <v>#N/A</v>
          </cell>
          <cell r="N1075">
            <v>37</v>
          </cell>
          <cell r="O1075" t="e">
            <v>#N/A</v>
          </cell>
          <cell r="P1075" t="str">
            <v/>
          </cell>
          <cell r="Q1075" t="str">
            <v/>
          </cell>
          <cell r="R1075" t="e">
            <v>#N/A</v>
          </cell>
        </row>
        <row r="1076">
          <cell r="A1076" t="str">
            <v/>
          </cell>
          <cell r="B1076" t="str">
            <v/>
          </cell>
          <cell r="C1076" t="str">
            <v>Future</v>
          </cell>
          <cell r="D1076" t="e">
            <v>#N/A</v>
          </cell>
          <cell r="E1076">
            <v>-36.073043478260701</v>
          </cell>
          <cell r="F1076">
            <v>49.753043478261276</v>
          </cell>
          <cell r="G1076">
            <v>29.318260869564387</v>
          </cell>
          <cell r="H1076">
            <v>29.318260869564387</v>
          </cell>
          <cell r="I1076" t="e">
            <v>#N/A</v>
          </cell>
          <cell r="J1076" t="e">
            <v>#N/A</v>
          </cell>
          <cell r="K1076">
            <v>42</v>
          </cell>
          <cell r="L1076">
            <v>32</v>
          </cell>
          <cell r="M1076" t="e">
            <v>#N/A</v>
          </cell>
          <cell r="N1076">
            <v>37</v>
          </cell>
          <cell r="O1076" t="e">
            <v>#N/A</v>
          </cell>
          <cell r="P1076" t="str">
            <v/>
          </cell>
          <cell r="Q1076" t="str">
            <v/>
          </cell>
          <cell r="R1076" t="e">
            <v>#N/A</v>
          </cell>
        </row>
        <row r="1077">
          <cell r="A1077" t="str">
            <v/>
          </cell>
          <cell r="B1077" t="str">
            <v/>
          </cell>
          <cell r="C1077" t="str">
            <v>Future</v>
          </cell>
          <cell r="D1077" t="e">
            <v>#N/A</v>
          </cell>
          <cell r="E1077">
            <v>-36.209683794466237</v>
          </cell>
          <cell r="F1077">
            <v>49.782411067194083</v>
          </cell>
          <cell r="G1077">
            <v>29.308102766797589</v>
          </cell>
          <cell r="H1077">
            <v>29.308102766797589</v>
          </cell>
          <cell r="I1077" t="e">
            <v>#N/A</v>
          </cell>
          <cell r="J1077" t="e">
            <v>#N/A</v>
          </cell>
          <cell r="K1077">
            <v>42</v>
          </cell>
          <cell r="L1077">
            <v>32</v>
          </cell>
          <cell r="M1077" t="e">
            <v>#N/A</v>
          </cell>
          <cell r="N1077">
            <v>37</v>
          </cell>
          <cell r="O1077" t="e">
            <v>#N/A</v>
          </cell>
          <cell r="P1077" t="str">
            <v/>
          </cell>
          <cell r="Q1077" t="str">
            <v/>
          </cell>
          <cell r="R1077" t="e">
            <v>#N/A</v>
          </cell>
        </row>
        <row r="1078">
          <cell r="A1078" t="str">
            <v/>
          </cell>
          <cell r="B1078" t="str">
            <v/>
          </cell>
          <cell r="C1078" t="str">
            <v>Future</v>
          </cell>
          <cell r="D1078" t="e">
            <v>#N/A</v>
          </cell>
          <cell r="E1078">
            <v>-36.346324110671773</v>
          </cell>
          <cell r="F1078">
            <v>49.81177865612689</v>
          </cell>
          <cell r="G1078">
            <v>29.297944664030791</v>
          </cell>
          <cell r="H1078">
            <v>29.297944664030791</v>
          </cell>
          <cell r="I1078" t="e">
            <v>#N/A</v>
          </cell>
          <cell r="J1078" t="e">
            <v>#N/A</v>
          </cell>
          <cell r="K1078">
            <v>42</v>
          </cell>
          <cell r="L1078">
            <v>32</v>
          </cell>
          <cell r="M1078" t="e">
            <v>#N/A</v>
          </cell>
          <cell r="N1078">
            <v>37</v>
          </cell>
          <cell r="O1078" t="e">
            <v>#N/A</v>
          </cell>
          <cell r="P1078" t="str">
            <v/>
          </cell>
          <cell r="Q1078" t="str">
            <v/>
          </cell>
          <cell r="R1078" t="e">
            <v>#N/A</v>
          </cell>
        </row>
        <row r="1079">
          <cell r="A1079" t="str">
            <v/>
          </cell>
          <cell r="B1079" t="str">
            <v/>
          </cell>
          <cell r="C1079" t="str">
            <v>Future</v>
          </cell>
          <cell r="D1079" t="e">
            <v>#N/A</v>
          </cell>
          <cell r="E1079">
            <v>-36.482964426877309</v>
          </cell>
          <cell r="F1079">
            <v>49.841146245059697</v>
          </cell>
          <cell r="G1079">
            <v>29.287786561263992</v>
          </cell>
          <cell r="H1079">
            <v>29.287786561263992</v>
          </cell>
          <cell r="I1079" t="e">
            <v>#N/A</v>
          </cell>
          <cell r="J1079" t="e">
            <v>#N/A</v>
          </cell>
          <cell r="K1079">
            <v>42</v>
          </cell>
          <cell r="L1079">
            <v>32</v>
          </cell>
          <cell r="M1079" t="e">
            <v>#N/A</v>
          </cell>
          <cell r="N1079">
            <v>37</v>
          </cell>
          <cell r="O1079" t="e">
            <v>#N/A</v>
          </cell>
          <cell r="P1079" t="str">
            <v/>
          </cell>
          <cell r="Q1079" t="str">
            <v/>
          </cell>
          <cell r="R1079" t="e">
            <v>#N/A</v>
          </cell>
        </row>
        <row r="1080">
          <cell r="A1080" t="str">
            <v/>
          </cell>
          <cell r="B1080" t="str">
            <v/>
          </cell>
          <cell r="C1080" t="str">
            <v>Future</v>
          </cell>
          <cell r="D1080" t="e">
            <v>#N/A</v>
          </cell>
          <cell r="E1080">
            <v>-36.619604743082846</v>
          </cell>
          <cell r="F1080">
            <v>49.870513833992504</v>
          </cell>
          <cell r="G1080">
            <v>29.277628458497194</v>
          </cell>
          <cell r="H1080">
            <v>29.277628458497194</v>
          </cell>
          <cell r="I1080" t="e">
            <v>#N/A</v>
          </cell>
          <cell r="J1080" t="e">
            <v>#N/A</v>
          </cell>
          <cell r="K1080">
            <v>42</v>
          </cell>
          <cell r="L1080">
            <v>32</v>
          </cell>
          <cell r="M1080" t="e">
            <v>#N/A</v>
          </cell>
          <cell r="N1080">
            <v>37</v>
          </cell>
          <cell r="O1080" t="e">
            <v>#N/A</v>
          </cell>
          <cell r="P1080" t="str">
            <v/>
          </cell>
          <cell r="Q1080" t="str">
            <v/>
          </cell>
          <cell r="R1080" t="e">
            <v>#N/A</v>
          </cell>
        </row>
        <row r="1081">
          <cell r="A1081" t="str">
            <v/>
          </cell>
          <cell r="B1081" t="str">
            <v/>
          </cell>
          <cell r="C1081" t="str">
            <v>Future</v>
          </cell>
          <cell r="D1081" t="e">
            <v>#N/A</v>
          </cell>
          <cell r="E1081">
            <v>-36.756245059288382</v>
          </cell>
          <cell r="F1081">
            <v>49.899881422925311</v>
          </cell>
          <cell r="G1081">
            <v>29.267470355730396</v>
          </cell>
          <cell r="H1081">
            <v>29.267470355730396</v>
          </cell>
          <cell r="I1081" t="e">
            <v>#N/A</v>
          </cell>
          <cell r="J1081" t="e">
            <v>#N/A</v>
          </cell>
          <cell r="K1081">
            <v>42</v>
          </cell>
          <cell r="L1081">
            <v>32</v>
          </cell>
          <cell r="M1081" t="e">
            <v>#N/A</v>
          </cell>
          <cell r="N1081">
            <v>37</v>
          </cell>
          <cell r="O1081" t="e">
            <v>#N/A</v>
          </cell>
          <cell r="P1081" t="str">
            <v/>
          </cell>
          <cell r="Q1081" t="str">
            <v/>
          </cell>
          <cell r="R1081" t="e">
            <v>#N/A</v>
          </cell>
        </row>
        <row r="1082">
          <cell r="A1082" t="str">
            <v/>
          </cell>
          <cell r="B1082" t="str">
            <v/>
          </cell>
          <cell r="C1082" t="str">
            <v>Future</v>
          </cell>
          <cell r="D1082" t="e">
            <v>#N/A</v>
          </cell>
          <cell r="E1082">
            <v>-36.892885375493918</v>
          </cell>
          <cell r="F1082">
            <v>49.929249011858118</v>
          </cell>
          <cell r="G1082">
            <v>29.257312252963597</v>
          </cell>
          <cell r="H1082">
            <v>29.257312252963597</v>
          </cell>
          <cell r="I1082" t="e">
            <v>#N/A</v>
          </cell>
          <cell r="J1082" t="e">
            <v>#N/A</v>
          </cell>
          <cell r="K1082">
            <v>42</v>
          </cell>
          <cell r="L1082">
            <v>32</v>
          </cell>
          <cell r="M1082" t="e">
            <v>#N/A</v>
          </cell>
          <cell r="N1082">
            <v>37</v>
          </cell>
          <cell r="O1082" t="e">
            <v>#N/A</v>
          </cell>
          <cell r="P1082" t="str">
            <v/>
          </cell>
          <cell r="Q1082" t="str">
            <v/>
          </cell>
          <cell r="R1082" t="e">
            <v>#N/A</v>
          </cell>
        </row>
        <row r="1083">
          <cell r="A1083" t="str">
            <v/>
          </cell>
          <cell r="B1083" t="str">
            <v/>
          </cell>
          <cell r="C1083" t="str">
            <v>Future</v>
          </cell>
          <cell r="D1083" t="e">
            <v>#N/A</v>
          </cell>
          <cell r="E1083">
            <v>-37.029525691699455</v>
          </cell>
          <cell r="F1083">
            <v>49.958616600790926</v>
          </cell>
          <cell r="G1083">
            <v>29.247154150196799</v>
          </cell>
          <cell r="H1083">
            <v>29.247154150196799</v>
          </cell>
          <cell r="I1083" t="e">
            <v>#N/A</v>
          </cell>
          <cell r="J1083" t="e">
            <v>#N/A</v>
          </cell>
          <cell r="K1083">
            <v>42</v>
          </cell>
          <cell r="L1083">
            <v>32</v>
          </cell>
          <cell r="M1083" t="e">
            <v>#N/A</v>
          </cell>
          <cell r="N1083">
            <v>37</v>
          </cell>
          <cell r="O1083" t="e">
            <v>#N/A</v>
          </cell>
          <cell r="P1083" t="str">
            <v/>
          </cell>
          <cell r="Q1083" t="str">
            <v/>
          </cell>
          <cell r="R1083" t="e">
            <v>#N/A</v>
          </cell>
        </row>
        <row r="1084">
          <cell r="A1084" t="str">
            <v/>
          </cell>
          <cell r="B1084" t="str">
            <v/>
          </cell>
          <cell r="C1084" t="str">
            <v>Future</v>
          </cell>
          <cell r="D1084" t="e">
            <v>#N/A</v>
          </cell>
          <cell r="E1084">
            <v>-37.166166007904991</v>
          </cell>
          <cell r="F1084">
            <v>49.987984189723733</v>
          </cell>
          <cell r="G1084">
            <v>29.236996047430001</v>
          </cell>
          <cell r="H1084">
            <v>29.236996047430001</v>
          </cell>
          <cell r="I1084" t="e">
            <v>#N/A</v>
          </cell>
          <cell r="J1084" t="e">
            <v>#N/A</v>
          </cell>
          <cell r="K1084">
            <v>42</v>
          </cell>
          <cell r="L1084">
            <v>32</v>
          </cell>
          <cell r="M1084" t="e">
            <v>#N/A</v>
          </cell>
          <cell r="N1084">
            <v>37</v>
          </cell>
          <cell r="O1084" t="e">
            <v>#N/A</v>
          </cell>
          <cell r="P1084" t="str">
            <v/>
          </cell>
          <cell r="Q1084" t="str">
            <v/>
          </cell>
          <cell r="R1084" t="e">
            <v>#N/A</v>
          </cell>
        </row>
        <row r="1085">
          <cell r="A1085" t="str">
            <v/>
          </cell>
          <cell r="B1085" t="str">
            <v/>
          </cell>
          <cell r="C1085" t="str">
            <v>Future</v>
          </cell>
          <cell r="D1085" t="e">
            <v>#N/A</v>
          </cell>
          <cell r="E1085">
            <v>-37.302806324110527</v>
          </cell>
          <cell r="F1085">
            <v>50.01735177865654</v>
          </cell>
          <cell r="G1085">
            <v>29.226837944663203</v>
          </cell>
          <cell r="H1085">
            <v>29.226837944663203</v>
          </cell>
          <cell r="I1085" t="e">
            <v>#N/A</v>
          </cell>
          <cell r="J1085" t="e">
            <v>#N/A</v>
          </cell>
          <cell r="K1085">
            <v>42</v>
          </cell>
          <cell r="L1085">
            <v>32</v>
          </cell>
          <cell r="M1085" t="e">
            <v>#N/A</v>
          </cell>
          <cell r="N1085">
            <v>37</v>
          </cell>
          <cell r="O1085" t="e">
            <v>#N/A</v>
          </cell>
          <cell r="P1085" t="str">
            <v/>
          </cell>
          <cell r="Q1085" t="str">
            <v/>
          </cell>
          <cell r="R1085" t="e">
            <v>#N/A</v>
          </cell>
        </row>
        <row r="1086">
          <cell r="A1086" t="str">
            <v/>
          </cell>
          <cell r="B1086" t="str">
            <v/>
          </cell>
          <cell r="C1086" t="str">
            <v>Future</v>
          </cell>
          <cell r="D1086" t="e">
            <v>#N/A</v>
          </cell>
          <cell r="E1086">
            <v>-37.439446640316064</v>
          </cell>
          <cell r="F1086">
            <v>50.046719367589347</v>
          </cell>
          <cell r="G1086">
            <v>29.216679841896404</v>
          </cell>
          <cell r="H1086">
            <v>29.216679841896404</v>
          </cell>
          <cell r="I1086" t="e">
            <v>#N/A</v>
          </cell>
          <cell r="J1086" t="e">
            <v>#N/A</v>
          </cell>
          <cell r="K1086">
            <v>42</v>
          </cell>
          <cell r="L1086">
            <v>32</v>
          </cell>
          <cell r="M1086" t="e">
            <v>#N/A</v>
          </cell>
          <cell r="N1086">
            <v>37</v>
          </cell>
          <cell r="O1086" t="e">
            <v>#N/A</v>
          </cell>
          <cell r="P1086" t="str">
            <v/>
          </cell>
          <cell r="Q1086" t="str">
            <v/>
          </cell>
          <cell r="R1086" t="e">
            <v>#N/A</v>
          </cell>
        </row>
        <row r="1087">
          <cell r="A1087" t="str">
            <v/>
          </cell>
          <cell r="B1087" t="str">
            <v/>
          </cell>
          <cell r="C1087" t="str">
            <v>Future</v>
          </cell>
          <cell r="D1087" t="e">
            <v>#N/A</v>
          </cell>
          <cell r="E1087">
            <v>-37.5760869565216</v>
          </cell>
          <cell r="F1087">
            <v>50.076086956522154</v>
          </cell>
          <cell r="G1087">
            <v>29.206521739129606</v>
          </cell>
          <cell r="H1087">
            <v>29.206521739129606</v>
          </cell>
          <cell r="I1087" t="e">
            <v>#N/A</v>
          </cell>
          <cell r="J1087" t="e">
            <v>#N/A</v>
          </cell>
          <cell r="K1087">
            <v>42</v>
          </cell>
          <cell r="L1087">
            <v>32</v>
          </cell>
          <cell r="M1087" t="e">
            <v>#N/A</v>
          </cell>
          <cell r="N1087">
            <v>37</v>
          </cell>
          <cell r="O1087" t="e">
            <v>#N/A</v>
          </cell>
          <cell r="P1087" t="str">
            <v/>
          </cell>
          <cell r="Q1087" t="str">
            <v/>
          </cell>
          <cell r="R1087" t="e">
            <v>#N/A</v>
          </cell>
        </row>
        <row r="1088">
          <cell r="A1088" t="str">
            <v/>
          </cell>
          <cell r="B1088" t="str">
            <v/>
          </cell>
          <cell r="C1088" t="str">
            <v>Future</v>
          </cell>
          <cell r="D1088" t="e">
            <v>#N/A</v>
          </cell>
          <cell r="E1088">
            <v>-37.712727272727136</v>
          </cell>
          <cell r="F1088">
            <v>50.105454545454961</v>
          </cell>
          <cell r="G1088">
            <v>29.196363636362808</v>
          </cell>
          <cell r="H1088">
            <v>29.196363636362808</v>
          </cell>
          <cell r="I1088" t="e">
            <v>#N/A</v>
          </cell>
          <cell r="J1088" t="e">
            <v>#N/A</v>
          </cell>
          <cell r="K1088">
            <v>42</v>
          </cell>
          <cell r="L1088">
            <v>32</v>
          </cell>
          <cell r="M1088" t="e">
            <v>#N/A</v>
          </cell>
          <cell r="N1088">
            <v>37</v>
          </cell>
          <cell r="O1088" t="e">
            <v>#N/A</v>
          </cell>
          <cell r="P1088" t="str">
            <v/>
          </cell>
          <cell r="Q1088" t="str">
            <v/>
          </cell>
          <cell r="R1088" t="e">
            <v>#N/A</v>
          </cell>
        </row>
        <row r="1089">
          <cell r="A1089" t="str">
            <v/>
          </cell>
          <cell r="B1089" t="str">
            <v/>
          </cell>
          <cell r="C1089" t="str">
            <v>Future</v>
          </cell>
          <cell r="D1089" t="e">
            <v>#N/A</v>
          </cell>
          <cell r="E1089">
            <v>-37.849367588932672</v>
          </cell>
          <cell r="F1089">
            <v>50.134822134387768</v>
          </cell>
          <cell r="G1089">
            <v>29.186205533596009</v>
          </cell>
          <cell r="H1089">
            <v>29.186205533596009</v>
          </cell>
          <cell r="I1089" t="e">
            <v>#N/A</v>
          </cell>
          <cell r="J1089" t="e">
            <v>#N/A</v>
          </cell>
          <cell r="K1089">
            <v>42</v>
          </cell>
          <cell r="L1089">
            <v>32</v>
          </cell>
          <cell r="M1089" t="e">
            <v>#N/A</v>
          </cell>
          <cell r="N1089">
            <v>37</v>
          </cell>
          <cell r="O1089" t="e">
            <v>#N/A</v>
          </cell>
          <cell r="P1089" t="str">
            <v/>
          </cell>
          <cell r="Q1089" t="str">
            <v/>
          </cell>
          <cell r="R1089" t="e">
            <v>#N/A</v>
          </cell>
        </row>
        <row r="1090">
          <cell r="A1090" t="str">
            <v/>
          </cell>
          <cell r="B1090" t="str">
            <v/>
          </cell>
          <cell r="C1090" t="str">
            <v>Future</v>
          </cell>
          <cell r="D1090" t="e">
            <v>#N/A</v>
          </cell>
          <cell r="E1090">
            <v>-37.986007905138209</v>
          </cell>
          <cell r="F1090">
            <v>50.164189723320575</v>
          </cell>
          <cell r="G1090">
            <v>29.176047430829211</v>
          </cell>
          <cell r="H1090">
            <v>29.176047430829211</v>
          </cell>
          <cell r="I1090" t="e">
            <v>#N/A</v>
          </cell>
          <cell r="J1090" t="e">
            <v>#N/A</v>
          </cell>
          <cell r="K1090">
            <v>42</v>
          </cell>
          <cell r="L1090">
            <v>32</v>
          </cell>
          <cell r="M1090" t="e">
            <v>#N/A</v>
          </cell>
          <cell r="N1090">
            <v>37</v>
          </cell>
          <cell r="O1090" t="e">
            <v>#N/A</v>
          </cell>
          <cell r="P1090" t="str">
            <v/>
          </cell>
          <cell r="Q1090" t="str">
            <v/>
          </cell>
          <cell r="R1090" t="e">
            <v>#N/A</v>
          </cell>
        </row>
        <row r="1091">
          <cell r="A1091" t="str">
            <v/>
          </cell>
          <cell r="B1091" t="str">
            <v/>
          </cell>
          <cell r="C1091" t="str">
            <v>Future</v>
          </cell>
          <cell r="D1091" t="e">
            <v>#N/A</v>
          </cell>
          <cell r="E1091">
            <v>-38.122648221343745</v>
          </cell>
          <cell r="F1091">
            <v>50.193557312253382</v>
          </cell>
          <cell r="G1091">
            <v>29.165889328062413</v>
          </cell>
          <cell r="H1091">
            <v>29.165889328062413</v>
          </cell>
          <cell r="I1091" t="e">
            <v>#N/A</v>
          </cell>
          <cell r="J1091" t="e">
            <v>#N/A</v>
          </cell>
          <cell r="K1091">
            <v>42</v>
          </cell>
          <cell r="L1091">
            <v>32</v>
          </cell>
          <cell r="M1091" t="e">
            <v>#N/A</v>
          </cell>
          <cell r="N1091">
            <v>37</v>
          </cell>
          <cell r="O1091" t="e">
            <v>#N/A</v>
          </cell>
          <cell r="P1091" t="str">
            <v/>
          </cell>
          <cell r="Q1091" t="str">
            <v/>
          </cell>
          <cell r="R1091" t="e">
            <v>#N/A</v>
          </cell>
        </row>
        <row r="1092">
          <cell r="A1092" t="str">
            <v/>
          </cell>
          <cell r="B1092" t="str">
            <v/>
          </cell>
          <cell r="C1092" t="str">
            <v>Future</v>
          </cell>
          <cell r="D1092" t="e">
            <v>#N/A</v>
          </cell>
          <cell r="E1092">
            <v>-38.259288537549281</v>
          </cell>
          <cell r="F1092">
            <v>50.22292490118619</v>
          </cell>
          <cell r="G1092">
            <v>29.155731225295614</v>
          </cell>
          <cell r="H1092">
            <v>29.155731225295614</v>
          </cell>
          <cell r="I1092" t="e">
            <v>#N/A</v>
          </cell>
          <cell r="J1092" t="e">
            <v>#N/A</v>
          </cell>
          <cell r="K1092">
            <v>42</v>
          </cell>
          <cell r="L1092">
            <v>32</v>
          </cell>
          <cell r="M1092" t="e">
            <v>#N/A</v>
          </cell>
          <cell r="N1092">
            <v>37</v>
          </cell>
          <cell r="O1092" t="e">
            <v>#N/A</v>
          </cell>
          <cell r="P1092" t="str">
            <v/>
          </cell>
          <cell r="Q1092" t="str">
            <v/>
          </cell>
          <cell r="R1092" t="e">
            <v>#N/A</v>
          </cell>
        </row>
        <row r="1093">
          <cell r="A1093" t="str">
            <v/>
          </cell>
          <cell r="B1093" t="str">
            <v/>
          </cell>
          <cell r="C1093" t="str">
            <v>Future</v>
          </cell>
          <cell r="D1093" t="e">
            <v>#N/A</v>
          </cell>
          <cell r="E1093">
            <v>-38.395928853754818</v>
          </cell>
          <cell r="F1093">
            <v>50.252292490118997</v>
          </cell>
          <cell r="G1093">
            <v>29.145573122528816</v>
          </cell>
          <cell r="H1093">
            <v>29.145573122528816</v>
          </cell>
          <cell r="I1093" t="e">
            <v>#N/A</v>
          </cell>
          <cell r="J1093" t="e">
            <v>#N/A</v>
          </cell>
          <cell r="K1093">
            <v>42</v>
          </cell>
          <cell r="L1093">
            <v>32</v>
          </cell>
          <cell r="M1093" t="e">
            <v>#N/A</v>
          </cell>
          <cell r="N1093">
            <v>37</v>
          </cell>
          <cell r="O1093" t="e">
            <v>#N/A</v>
          </cell>
          <cell r="P1093" t="str">
            <v/>
          </cell>
          <cell r="Q1093" t="str">
            <v/>
          </cell>
          <cell r="R1093" t="e">
            <v>#N/A</v>
          </cell>
        </row>
        <row r="1094">
          <cell r="A1094" t="str">
            <v/>
          </cell>
          <cell r="B1094" t="str">
            <v/>
          </cell>
          <cell r="C1094" t="str">
            <v>Future</v>
          </cell>
          <cell r="D1094" t="e">
            <v>#N/A</v>
          </cell>
          <cell r="E1094">
            <v>-38.532569169960354</v>
          </cell>
          <cell r="F1094">
            <v>50.281660079051804</v>
          </cell>
          <cell r="G1094">
            <v>29.135415019762018</v>
          </cell>
          <cell r="H1094">
            <v>29.135415019762018</v>
          </cell>
          <cell r="I1094" t="e">
            <v>#N/A</v>
          </cell>
          <cell r="J1094" t="e">
            <v>#N/A</v>
          </cell>
          <cell r="K1094">
            <v>42</v>
          </cell>
          <cell r="L1094">
            <v>32</v>
          </cell>
          <cell r="M1094" t="e">
            <v>#N/A</v>
          </cell>
          <cell r="N1094">
            <v>37</v>
          </cell>
          <cell r="O1094" t="e">
            <v>#N/A</v>
          </cell>
          <cell r="P1094" t="str">
            <v/>
          </cell>
          <cell r="Q1094" t="str">
            <v/>
          </cell>
          <cell r="R1094" t="e">
            <v>#N/A</v>
          </cell>
        </row>
        <row r="1095">
          <cell r="A1095" t="str">
            <v/>
          </cell>
          <cell r="B1095" t="str">
            <v/>
          </cell>
          <cell r="C1095" t="str">
            <v>Future</v>
          </cell>
          <cell r="D1095" t="e">
            <v>#N/A</v>
          </cell>
          <cell r="E1095">
            <v>-38.66920948616589</v>
          </cell>
          <cell r="F1095">
            <v>50.311027667984611</v>
          </cell>
          <cell r="G1095">
            <v>29.12525691699522</v>
          </cell>
          <cell r="H1095">
            <v>29.12525691699522</v>
          </cell>
          <cell r="I1095" t="e">
            <v>#N/A</v>
          </cell>
          <cell r="J1095" t="e">
            <v>#N/A</v>
          </cell>
          <cell r="K1095">
            <v>42</v>
          </cell>
          <cell r="L1095">
            <v>32</v>
          </cell>
          <cell r="M1095" t="e">
            <v>#N/A</v>
          </cell>
          <cell r="N1095">
            <v>37</v>
          </cell>
          <cell r="O1095" t="e">
            <v>#N/A</v>
          </cell>
          <cell r="P1095" t="str">
            <v/>
          </cell>
          <cell r="Q1095" t="str">
            <v/>
          </cell>
          <cell r="R1095" t="e">
            <v>#N/A</v>
          </cell>
        </row>
        <row r="1096">
          <cell r="A1096" t="str">
            <v/>
          </cell>
          <cell r="B1096" t="str">
            <v/>
          </cell>
          <cell r="C1096" t="str">
            <v>Future</v>
          </cell>
          <cell r="D1096" t="e">
            <v>#N/A</v>
          </cell>
          <cell r="E1096">
            <v>-38.805849802371426</v>
          </cell>
          <cell r="F1096">
            <v>50.340395256917418</v>
          </cell>
          <cell r="G1096">
            <v>29.115098814228421</v>
          </cell>
          <cell r="H1096">
            <v>29.115098814228421</v>
          </cell>
          <cell r="I1096" t="e">
            <v>#N/A</v>
          </cell>
          <cell r="J1096" t="e">
            <v>#N/A</v>
          </cell>
          <cell r="K1096">
            <v>42</v>
          </cell>
          <cell r="L1096">
            <v>32</v>
          </cell>
          <cell r="M1096" t="e">
            <v>#N/A</v>
          </cell>
          <cell r="N1096">
            <v>37</v>
          </cell>
          <cell r="O1096" t="e">
            <v>#N/A</v>
          </cell>
          <cell r="P1096" t="str">
            <v/>
          </cell>
          <cell r="Q1096" t="str">
            <v/>
          </cell>
          <cell r="R1096" t="e">
            <v>#N/A</v>
          </cell>
        </row>
        <row r="1097">
          <cell r="A1097" t="str">
            <v/>
          </cell>
          <cell r="B1097" t="str">
            <v/>
          </cell>
          <cell r="C1097" t="str">
            <v>Future</v>
          </cell>
          <cell r="D1097" t="e">
            <v>#N/A</v>
          </cell>
          <cell r="E1097">
            <v>-38.942490118576963</v>
          </cell>
          <cell r="F1097">
            <v>50.369762845850225</v>
          </cell>
          <cell r="G1097">
            <v>29.104940711461623</v>
          </cell>
          <cell r="H1097">
            <v>29.104940711461623</v>
          </cell>
          <cell r="I1097" t="e">
            <v>#N/A</v>
          </cell>
          <cell r="J1097" t="e">
            <v>#N/A</v>
          </cell>
          <cell r="K1097">
            <v>42</v>
          </cell>
          <cell r="L1097">
            <v>32</v>
          </cell>
          <cell r="M1097" t="e">
            <v>#N/A</v>
          </cell>
          <cell r="N1097">
            <v>37</v>
          </cell>
          <cell r="O1097" t="e">
            <v>#N/A</v>
          </cell>
          <cell r="P1097" t="str">
            <v/>
          </cell>
          <cell r="Q1097" t="str">
            <v/>
          </cell>
          <cell r="R1097" t="e">
            <v>#N/A</v>
          </cell>
        </row>
        <row r="1098">
          <cell r="A1098" t="str">
            <v/>
          </cell>
          <cell r="B1098" t="str">
            <v/>
          </cell>
          <cell r="C1098" t="str">
            <v>Future</v>
          </cell>
          <cell r="D1098" t="e">
            <v>#N/A</v>
          </cell>
          <cell r="E1098">
            <v>-39.079130434782499</v>
          </cell>
          <cell r="F1098">
            <v>50.399130434783032</v>
          </cell>
          <cell r="G1098">
            <v>29.094782608694825</v>
          </cell>
          <cell r="H1098">
            <v>29.094782608694825</v>
          </cell>
          <cell r="I1098" t="e">
            <v>#N/A</v>
          </cell>
          <cell r="J1098" t="e">
            <v>#N/A</v>
          </cell>
          <cell r="K1098">
            <v>42</v>
          </cell>
          <cell r="L1098">
            <v>32</v>
          </cell>
          <cell r="M1098" t="e">
            <v>#N/A</v>
          </cell>
          <cell r="N1098">
            <v>37</v>
          </cell>
          <cell r="O1098" t="e">
            <v>#N/A</v>
          </cell>
          <cell r="P1098" t="str">
            <v/>
          </cell>
          <cell r="Q1098" t="str">
            <v/>
          </cell>
          <cell r="R1098" t="e">
            <v>#N/A</v>
          </cell>
        </row>
        <row r="1099">
          <cell r="A1099" t="str">
            <v/>
          </cell>
          <cell r="B1099" t="str">
            <v/>
          </cell>
          <cell r="C1099" t="str">
            <v>Future</v>
          </cell>
          <cell r="D1099" t="e">
            <v>#N/A</v>
          </cell>
          <cell r="E1099">
            <v>-39.215770750988035</v>
          </cell>
          <cell r="F1099">
            <v>50.428498023715839</v>
          </cell>
          <cell r="G1099">
            <v>29.084624505928026</v>
          </cell>
          <cell r="H1099">
            <v>29.084624505928026</v>
          </cell>
          <cell r="I1099" t="e">
            <v>#N/A</v>
          </cell>
          <cell r="J1099" t="e">
            <v>#N/A</v>
          </cell>
          <cell r="K1099">
            <v>42</v>
          </cell>
          <cell r="L1099">
            <v>32</v>
          </cell>
          <cell r="M1099" t="e">
            <v>#N/A</v>
          </cell>
          <cell r="N1099">
            <v>37</v>
          </cell>
          <cell r="O1099" t="e">
            <v>#N/A</v>
          </cell>
          <cell r="P1099" t="str">
            <v/>
          </cell>
          <cell r="Q1099" t="str">
            <v/>
          </cell>
          <cell r="R1099" t="e">
            <v>#N/A</v>
          </cell>
        </row>
        <row r="1100">
          <cell r="A1100" t="str">
            <v/>
          </cell>
          <cell r="B1100" t="str">
            <v/>
          </cell>
          <cell r="C1100" t="str">
            <v>Future</v>
          </cell>
          <cell r="D1100" t="e">
            <v>#N/A</v>
          </cell>
          <cell r="E1100">
            <v>-39.352411067193572</v>
          </cell>
          <cell r="F1100">
            <v>50.457865612648646</v>
          </cell>
          <cell r="G1100">
            <v>29.074466403161228</v>
          </cell>
          <cell r="H1100">
            <v>29.074466403161228</v>
          </cell>
          <cell r="I1100" t="e">
            <v>#N/A</v>
          </cell>
          <cell r="J1100" t="e">
            <v>#N/A</v>
          </cell>
          <cell r="K1100">
            <v>42</v>
          </cell>
          <cell r="L1100">
            <v>32</v>
          </cell>
          <cell r="M1100" t="e">
            <v>#N/A</v>
          </cell>
          <cell r="N1100">
            <v>37</v>
          </cell>
          <cell r="O1100" t="e">
            <v>#N/A</v>
          </cell>
          <cell r="P1100" t="str">
            <v/>
          </cell>
          <cell r="Q1100" t="str">
            <v/>
          </cell>
          <cell r="R1100" t="e">
            <v>#N/A</v>
          </cell>
        </row>
        <row r="1101">
          <cell r="A1101" t="str">
            <v/>
          </cell>
          <cell r="B1101" t="str">
            <v/>
          </cell>
          <cell r="C1101" t="str">
            <v>Future</v>
          </cell>
          <cell r="D1101" t="e">
            <v>#N/A</v>
          </cell>
          <cell r="E1101">
            <v>-39.489051383399108</v>
          </cell>
          <cell r="F1101">
            <v>50.487233201581454</v>
          </cell>
          <cell r="G1101">
            <v>29.06430830039443</v>
          </cell>
          <cell r="H1101">
            <v>29.06430830039443</v>
          </cell>
          <cell r="I1101" t="e">
            <v>#N/A</v>
          </cell>
          <cell r="J1101" t="e">
            <v>#N/A</v>
          </cell>
          <cell r="K1101">
            <v>42</v>
          </cell>
          <cell r="L1101">
            <v>32</v>
          </cell>
          <cell r="M1101" t="e">
            <v>#N/A</v>
          </cell>
          <cell r="N1101">
            <v>37</v>
          </cell>
          <cell r="O1101" t="e">
            <v>#N/A</v>
          </cell>
          <cell r="P1101" t="str">
            <v/>
          </cell>
          <cell r="Q1101" t="str">
            <v/>
          </cell>
          <cell r="R1101" t="e">
            <v>#N/A</v>
          </cell>
        </row>
        <row r="1102">
          <cell r="A1102" t="str">
            <v/>
          </cell>
          <cell r="B1102" t="str">
            <v/>
          </cell>
          <cell r="C1102" t="str">
            <v>Future</v>
          </cell>
          <cell r="D1102" t="e">
            <v>#N/A</v>
          </cell>
          <cell r="E1102">
            <v>-39.625691699604644</v>
          </cell>
          <cell r="F1102">
            <v>50.516600790514261</v>
          </cell>
          <cell r="G1102">
            <v>29.054150197627632</v>
          </cell>
          <cell r="H1102">
            <v>29.054150197627632</v>
          </cell>
          <cell r="I1102" t="e">
            <v>#N/A</v>
          </cell>
          <cell r="J1102" t="e">
            <v>#N/A</v>
          </cell>
          <cell r="K1102">
            <v>42</v>
          </cell>
          <cell r="L1102">
            <v>32</v>
          </cell>
          <cell r="M1102" t="e">
            <v>#N/A</v>
          </cell>
          <cell r="N1102">
            <v>37</v>
          </cell>
          <cell r="O1102" t="e">
            <v>#N/A</v>
          </cell>
          <cell r="P1102" t="str">
            <v/>
          </cell>
          <cell r="Q1102" t="str">
            <v/>
          </cell>
          <cell r="R1102" t="e">
            <v>#N/A</v>
          </cell>
        </row>
        <row r="1103">
          <cell r="A1103" t="str">
            <v/>
          </cell>
          <cell r="B1103" t="str">
            <v/>
          </cell>
          <cell r="C1103" t="str">
            <v>Future</v>
          </cell>
          <cell r="D1103" t="e">
            <v>#N/A</v>
          </cell>
          <cell r="E1103">
            <v>-39.762332015810181</v>
          </cell>
          <cell r="F1103">
            <v>50.545968379447068</v>
          </cell>
          <cell r="G1103">
            <v>29.043992094860833</v>
          </cell>
          <cell r="H1103">
            <v>29.043992094860833</v>
          </cell>
          <cell r="I1103" t="e">
            <v>#N/A</v>
          </cell>
          <cell r="J1103" t="e">
            <v>#N/A</v>
          </cell>
          <cell r="K1103">
            <v>42</v>
          </cell>
          <cell r="L1103">
            <v>32</v>
          </cell>
          <cell r="M1103" t="e">
            <v>#N/A</v>
          </cell>
          <cell r="N1103">
            <v>37</v>
          </cell>
          <cell r="O1103" t="e">
            <v>#N/A</v>
          </cell>
          <cell r="P1103" t="str">
            <v/>
          </cell>
          <cell r="Q1103" t="str">
            <v/>
          </cell>
          <cell r="R1103" t="e">
            <v>#N/A</v>
          </cell>
        </row>
        <row r="1104">
          <cell r="A1104" t="str">
            <v/>
          </cell>
          <cell r="B1104" t="str">
            <v/>
          </cell>
          <cell r="C1104" t="str">
            <v>Future</v>
          </cell>
          <cell r="D1104" t="e">
            <v>#N/A</v>
          </cell>
          <cell r="E1104">
            <v>-39.898972332015717</v>
          </cell>
          <cell r="F1104">
            <v>50.575335968379875</v>
          </cell>
          <cell r="G1104">
            <v>29.033833992094035</v>
          </cell>
          <cell r="H1104">
            <v>29.033833992094035</v>
          </cell>
          <cell r="I1104" t="e">
            <v>#N/A</v>
          </cell>
          <cell r="J1104" t="e">
            <v>#N/A</v>
          </cell>
          <cell r="K1104">
            <v>42</v>
          </cell>
          <cell r="L1104">
            <v>32</v>
          </cell>
          <cell r="M1104" t="e">
            <v>#N/A</v>
          </cell>
          <cell r="N1104">
            <v>37</v>
          </cell>
          <cell r="O1104" t="e">
            <v>#N/A</v>
          </cell>
          <cell r="P1104" t="str">
            <v/>
          </cell>
          <cell r="Q1104" t="str">
            <v/>
          </cell>
          <cell r="R1104" t="e">
            <v>#N/A</v>
          </cell>
        </row>
        <row r="1105">
          <cell r="A1105" t="str">
            <v/>
          </cell>
          <cell r="B1105" t="str">
            <v/>
          </cell>
          <cell r="C1105" t="str">
            <v>Future</v>
          </cell>
          <cell r="D1105" t="e">
            <v>#N/A</v>
          </cell>
          <cell r="E1105">
            <v>-40.035612648221253</v>
          </cell>
          <cell r="F1105">
            <v>50.604703557312682</v>
          </cell>
          <cell r="G1105">
            <v>29.023675889327237</v>
          </cell>
          <cell r="H1105">
            <v>29.023675889327237</v>
          </cell>
          <cell r="I1105" t="e">
            <v>#N/A</v>
          </cell>
          <cell r="J1105" t="e">
            <v>#N/A</v>
          </cell>
          <cell r="K1105">
            <v>42</v>
          </cell>
          <cell r="L1105">
            <v>32</v>
          </cell>
          <cell r="M1105" t="e">
            <v>#N/A</v>
          </cell>
          <cell r="N1105">
            <v>37</v>
          </cell>
          <cell r="O1105" t="e">
            <v>#N/A</v>
          </cell>
          <cell r="P1105" t="str">
            <v/>
          </cell>
          <cell r="Q1105" t="str">
            <v/>
          </cell>
          <cell r="R1105" t="e">
            <v>#N/A</v>
          </cell>
        </row>
        <row r="1106">
          <cell r="A1106" t="str">
            <v/>
          </cell>
          <cell r="B1106" t="str">
            <v/>
          </cell>
          <cell r="C1106" t="str">
            <v>Future</v>
          </cell>
          <cell r="D1106" t="e">
            <v>#N/A</v>
          </cell>
          <cell r="E1106">
            <v>-40.172252964426789</v>
          </cell>
          <cell r="F1106">
            <v>50.634071146245489</v>
          </cell>
          <cell r="G1106">
            <v>29.013517786560438</v>
          </cell>
          <cell r="H1106">
            <v>29.013517786560438</v>
          </cell>
          <cell r="I1106" t="e">
            <v>#N/A</v>
          </cell>
          <cell r="J1106" t="e">
            <v>#N/A</v>
          </cell>
          <cell r="K1106">
            <v>42</v>
          </cell>
          <cell r="L1106">
            <v>32</v>
          </cell>
          <cell r="M1106" t="e">
            <v>#N/A</v>
          </cell>
          <cell r="N1106">
            <v>37</v>
          </cell>
          <cell r="O1106" t="e">
            <v>#N/A</v>
          </cell>
          <cell r="P1106" t="str">
            <v/>
          </cell>
          <cell r="Q1106" t="str">
            <v/>
          </cell>
          <cell r="R1106" t="e">
            <v>#N/A</v>
          </cell>
        </row>
        <row r="1107">
          <cell r="A1107" t="str">
            <v/>
          </cell>
          <cell r="B1107" t="str">
            <v/>
          </cell>
          <cell r="C1107" t="str">
            <v>Future</v>
          </cell>
          <cell r="D1107" t="e">
            <v>#N/A</v>
          </cell>
          <cell r="E1107">
            <v>-40.308893280632326</v>
          </cell>
          <cell r="F1107">
            <v>50.663438735178296</v>
          </cell>
          <cell r="G1107">
            <v>29.00335968379364</v>
          </cell>
          <cell r="H1107">
            <v>29.00335968379364</v>
          </cell>
          <cell r="I1107" t="e">
            <v>#N/A</v>
          </cell>
          <cell r="J1107" t="e">
            <v>#N/A</v>
          </cell>
          <cell r="K1107">
            <v>42</v>
          </cell>
          <cell r="L1107">
            <v>32</v>
          </cell>
          <cell r="M1107" t="e">
            <v>#N/A</v>
          </cell>
          <cell r="N1107">
            <v>37</v>
          </cell>
          <cell r="O1107" t="e">
            <v>#N/A</v>
          </cell>
          <cell r="P1107" t="str">
            <v/>
          </cell>
          <cell r="Q1107" t="str">
            <v/>
          </cell>
          <cell r="R1107" t="e">
            <v>#N/A</v>
          </cell>
        </row>
        <row r="1108">
          <cell r="A1108" t="str">
            <v/>
          </cell>
          <cell r="B1108" t="str">
            <v/>
          </cell>
          <cell r="C1108" t="str">
            <v>Future</v>
          </cell>
          <cell r="D1108" t="e">
            <v>#N/A</v>
          </cell>
          <cell r="E1108">
            <v>-40.445533596837862</v>
          </cell>
          <cell r="F1108">
            <v>50.692806324111103</v>
          </cell>
          <cell r="G1108">
            <v>28.993201581026842</v>
          </cell>
          <cell r="H1108">
            <v>28.993201581026842</v>
          </cell>
          <cell r="I1108" t="e">
            <v>#N/A</v>
          </cell>
          <cell r="J1108" t="e">
            <v>#N/A</v>
          </cell>
          <cell r="K1108">
            <v>42</v>
          </cell>
          <cell r="L1108">
            <v>32</v>
          </cell>
          <cell r="M1108" t="e">
            <v>#N/A</v>
          </cell>
          <cell r="N1108">
            <v>37</v>
          </cell>
          <cell r="O1108" t="e">
            <v>#N/A</v>
          </cell>
          <cell r="P1108" t="str">
            <v/>
          </cell>
          <cell r="Q1108" t="str">
            <v/>
          </cell>
          <cell r="R1108" t="e">
            <v>#N/A</v>
          </cell>
        </row>
        <row r="1109">
          <cell r="A1109" t="str">
            <v/>
          </cell>
          <cell r="B1109" t="str">
            <v/>
          </cell>
          <cell r="C1109" t="str">
            <v>Future</v>
          </cell>
          <cell r="D1109" t="e">
            <v>#N/A</v>
          </cell>
          <cell r="E1109">
            <v>-40.582173913043398</v>
          </cell>
          <cell r="F1109">
            <v>50.72217391304391</v>
          </cell>
          <cell r="G1109">
            <v>28.983043478260043</v>
          </cell>
          <cell r="H1109">
            <v>28.983043478260043</v>
          </cell>
          <cell r="I1109" t="e">
            <v>#N/A</v>
          </cell>
          <cell r="J1109" t="e">
            <v>#N/A</v>
          </cell>
          <cell r="K1109">
            <v>42</v>
          </cell>
          <cell r="L1109">
            <v>32</v>
          </cell>
          <cell r="M1109" t="e">
            <v>#N/A</v>
          </cell>
          <cell r="N1109">
            <v>37</v>
          </cell>
          <cell r="O1109" t="e">
            <v>#N/A</v>
          </cell>
          <cell r="P1109" t="str">
            <v/>
          </cell>
          <cell r="Q1109" t="str">
            <v/>
          </cell>
          <cell r="R1109" t="e">
            <v>#N/A</v>
          </cell>
        </row>
        <row r="1110">
          <cell r="A1110" t="str">
            <v/>
          </cell>
          <cell r="B1110" t="str">
            <v/>
          </cell>
          <cell r="C1110" t="str">
            <v>Future</v>
          </cell>
          <cell r="D1110" t="e">
            <v>#N/A</v>
          </cell>
          <cell r="E1110">
            <v>-40.718814229248935</v>
          </cell>
          <cell r="F1110">
            <v>50.751541501976718</v>
          </cell>
          <cell r="G1110">
            <v>28.972885375493245</v>
          </cell>
          <cell r="H1110">
            <v>28.972885375493245</v>
          </cell>
          <cell r="I1110" t="e">
            <v>#N/A</v>
          </cell>
          <cell r="J1110" t="e">
            <v>#N/A</v>
          </cell>
          <cell r="K1110">
            <v>42</v>
          </cell>
          <cell r="L1110">
            <v>32</v>
          </cell>
          <cell r="M1110" t="e">
            <v>#N/A</v>
          </cell>
          <cell r="N1110">
            <v>37</v>
          </cell>
          <cell r="O1110" t="e">
            <v>#N/A</v>
          </cell>
          <cell r="P1110" t="str">
            <v/>
          </cell>
          <cell r="Q1110" t="str">
            <v/>
          </cell>
          <cell r="R1110" t="e">
            <v>#N/A</v>
          </cell>
        </row>
        <row r="1111">
          <cell r="A1111" t="str">
            <v/>
          </cell>
          <cell r="B1111" t="str">
            <v/>
          </cell>
          <cell r="C1111" t="str">
            <v>Future</v>
          </cell>
          <cell r="D1111" t="e">
            <v>#N/A</v>
          </cell>
          <cell r="E1111">
            <v>-40.855454545454471</v>
          </cell>
          <cell r="F1111">
            <v>50.780909090909525</v>
          </cell>
          <cell r="G1111">
            <v>28.962727272726447</v>
          </cell>
          <cell r="H1111">
            <v>28.962727272726447</v>
          </cell>
          <cell r="I1111" t="e">
            <v>#N/A</v>
          </cell>
          <cell r="J1111" t="e">
            <v>#N/A</v>
          </cell>
          <cell r="K1111">
            <v>42</v>
          </cell>
          <cell r="L1111">
            <v>32</v>
          </cell>
          <cell r="M1111" t="e">
            <v>#N/A</v>
          </cell>
          <cell r="N1111">
            <v>37</v>
          </cell>
          <cell r="O1111" t="e">
            <v>#N/A</v>
          </cell>
          <cell r="P1111" t="str">
            <v/>
          </cell>
          <cell r="Q1111" t="str">
            <v/>
          </cell>
          <cell r="R1111" t="e">
            <v>#N/A</v>
          </cell>
        </row>
        <row r="1112">
          <cell r="A1112" t="str">
            <v/>
          </cell>
          <cell r="B1112" t="str">
            <v/>
          </cell>
          <cell r="C1112" t="str">
            <v>Future</v>
          </cell>
          <cell r="D1112" t="e">
            <v>#N/A</v>
          </cell>
          <cell r="E1112">
            <v>-40.992094861660007</v>
          </cell>
          <cell r="F1112">
            <v>50.810276679842332</v>
          </cell>
          <cell r="G1112">
            <v>28.952569169959649</v>
          </cell>
          <cell r="H1112">
            <v>28.952569169959649</v>
          </cell>
          <cell r="I1112" t="e">
            <v>#N/A</v>
          </cell>
          <cell r="J1112" t="e">
            <v>#N/A</v>
          </cell>
          <cell r="K1112">
            <v>42</v>
          </cell>
          <cell r="L1112">
            <v>32</v>
          </cell>
          <cell r="M1112" t="e">
            <v>#N/A</v>
          </cell>
          <cell r="N1112">
            <v>37</v>
          </cell>
          <cell r="O1112" t="e">
            <v>#N/A</v>
          </cell>
          <cell r="P1112" t="str">
            <v/>
          </cell>
          <cell r="Q1112" t="str">
            <v/>
          </cell>
          <cell r="R1112" t="e">
            <v>#N/A</v>
          </cell>
        </row>
        <row r="1113">
          <cell r="A1113" t="str">
            <v/>
          </cell>
          <cell r="B1113" t="str">
            <v/>
          </cell>
          <cell r="C1113" t="str">
            <v>Future</v>
          </cell>
          <cell r="D1113" t="e">
            <v>#N/A</v>
          </cell>
          <cell r="E1113">
            <v>-41.128735177865543</v>
          </cell>
          <cell r="F1113">
            <v>50.839644268775139</v>
          </cell>
          <cell r="G1113">
            <v>28.94241106719285</v>
          </cell>
          <cell r="H1113">
            <v>28.94241106719285</v>
          </cell>
          <cell r="I1113" t="e">
            <v>#N/A</v>
          </cell>
          <cell r="J1113" t="e">
            <v>#N/A</v>
          </cell>
          <cell r="K1113">
            <v>42</v>
          </cell>
          <cell r="L1113">
            <v>32</v>
          </cell>
          <cell r="M1113" t="e">
            <v>#N/A</v>
          </cell>
          <cell r="N1113">
            <v>37</v>
          </cell>
          <cell r="O1113" t="e">
            <v>#N/A</v>
          </cell>
          <cell r="P1113" t="str">
            <v/>
          </cell>
          <cell r="Q1113" t="str">
            <v/>
          </cell>
          <cell r="R1113" t="e">
            <v>#N/A</v>
          </cell>
        </row>
        <row r="1114">
          <cell r="A1114" t="str">
            <v/>
          </cell>
          <cell r="B1114" t="str">
            <v/>
          </cell>
          <cell r="C1114" t="str">
            <v>Future</v>
          </cell>
          <cell r="D1114" t="e">
            <v>#N/A</v>
          </cell>
          <cell r="E1114">
            <v>-41.26537549407108</v>
          </cell>
          <cell r="F1114">
            <v>50.869011857707946</v>
          </cell>
          <cell r="G1114">
            <v>28.932252964426052</v>
          </cell>
          <cell r="H1114">
            <v>28.932252964426052</v>
          </cell>
          <cell r="I1114" t="e">
            <v>#N/A</v>
          </cell>
          <cell r="J1114" t="e">
            <v>#N/A</v>
          </cell>
          <cell r="K1114">
            <v>42</v>
          </cell>
          <cell r="L1114">
            <v>32</v>
          </cell>
          <cell r="M1114" t="e">
            <v>#N/A</v>
          </cell>
          <cell r="N1114">
            <v>37</v>
          </cell>
          <cell r="O1114" t="e">
            <v>#N/A</v>
          </cell>
          <cell r="P1114" t="str">
            <v/>
          </cell>
          <cell r="Q1114" t="str">
            <v/>
          </cell>
          <cell r="R1114" t="e">
            <v>#N/A</v>
          </cell>
        </row>
        <row r="1115">
          <cell r="A1115" t="str">
            <v/>
          </cell>
          <cell r="B1115" t="str">
            <v/>
          </cell>
          <cell r="C1115" t="str">
            <v>Future</v>
          </cell>
          <cell r="D1115" t="e">
            <v>#N/A</v>
          </cell>
          <cell r="E1115">
            <v>-41.402015810276616</v>
          </cell>
          <cell r="F1115">
            <v>50.898379446640753</v>
          </cell>
          <cell r="G1115">
            <v>28.922094861659254</v>
          </cell>
          <cell r="H1115">
            <v>28.922094861659254</v>
          </cell>
          <cell r="I1115" t="e">
            <v>#N/A</v>
          </cell>
          <cell r="J1115" t="e">
            <v>#N/A</v>
          </cell>
          <cell r="K1115">
            <v>42</v>
          </cell>
          <cell r="L1115">
            <v>32</v>
          </cell>
          <cell r="M1115" t="e">
            <v>#N/A</v>
          </cell>
          <cell r="N1115">
            <v>37</v>
          </cell>
          <cell r="O1115" t="e">
            <v>#N/A</v>
          </cell>
          <cell r="P1115" t="str">
            <v/>
          </cell>
          <cell r="Q1115" t="str">
            <v/>
          </cell>
          <cell r="R1115" t="e">
            <v>#N/A</v>
          </cell>
        </row>
        <row r="1116">
          <cell r="A1116" t="str">
            <v/>
          </cell>
          <cell r="B1116" t="str">
            <v/>
          </cell>
          <cell r="C1116" t="str">
            <v>Future</v>
          </cell>
          <cell r="D1116" t="e">
            <v>#N/A</v>
          </cell>
          <cell r="E1116">
            <v>-41.538656126482152</v>
          </cell>
          <cell r="F1116">
            <v>50.92774703557356</v>
          </cell>
          <cell r="G1116">
            <v>28.911936758892455</v>
          </cell>
          <cell r="H1116">
            <v>28.911936758892455</v>
          </cell>
          <cell r="I1116" t="e">
            <v>#N/A</v>
          </cell>
          <cell r="J1116" t="e">
            <v>#N/A</v>
          </cell>
          <cell r="K1116">
            <v>42</v>
          </cell>
          <cell r="L1116">
            <v>32</v>
          </cell>
          <cell r="M1116" t="e">
            <v>#N/A</v>
          </cell>
          <cell r="N1116">
            <v>37</v>
          </cell>
          <cell r="O1116" t="e">
            <v>#N/A</v>
          </cell>
          <cell r="P1116" t="str">
            <v/>
          </cell>
          <cell r="Q1116" t="str">
            <v/>
          </cell>
          <cell r="R1116" t="e">
            <v>#N/A</v>
          </cell>
        </row>
        <row r="1117">
          <cell r="A1117" t="str">
            <v/>
          </cell>
          <cell r="B1117" t="str">
            <v/>
          </cell>
          <cell r="C1117" t="str">
            <v>Future</v>
          </cell>
          <cell r="D1117" t="e">
            <v>#N/A</v>
          </cell>
          <cell r="E1117">
            <v>-41.675296442687689</v>
          </cell>
          <cell r="F1117">
            <v>50.957114624506367</v>
          </cell>
          <cell r="G1117">
            <v>28.901778656125657</v>
          </cell>
          <cell r="H1117">
            <v>28.901778656125657</v>
          </cell>
          <cell r="I1117" t="e">
            <v>#N/A</v>
          </cell>
          <cell r="J1117" t="e">
            <v>#N/A</v>
          </cell>
          <cell r="K1117">
            <v>42</v>
          </cell>
          <cell r="L1117">
            <v>32</v>
          </cell>
          <cell r="M1117" t="e">
            <v>#N/A</v>
          </cell>
          <cell r="N1117">
            <v>37</v>
          </cell>
          <cell r="O1117" t="e">
            <v>#N/A</v>
          </cell>
          <cell r="P1117" t="str">
            <v/>
          </cell>
          <cell r="Q1117" t="str">
            <v/>
          </cell>
          <cell r="R1117" t="e">
            <v>#N/A</v>
          </cell>
        </row>
        <row r="1118">
          <cell r="A1118" t="str">
            <v/>
          </cell>
          <cell r="B1118" t="str">
            <v/>
          </cell>
          <cell r="C1118" t="str">
            <v>Future</v>
          </cell>
          <cell r="D1118" t="e">
            <v>#N/A</v>
          </cell>
          <cell r="E1118">
            <v>-41.811936758893225</v>
          </cell>
          <cell r="F1118">
            <v>50.986482213439174</v>
          </cell>
          <cell r="G1118">
            <v>28.891620553358859</v>
          </cell>
          <cell r="H1118">
            <v>28.891620553358859</v>
          </cell>
          <cell r="I1118" t="e">
            <v>#N/A</v>
          </cell>
          <cell r="J1118" t="e">
            <v>#N/A</v>
          </cell>
          <cell r="K1118">
            <v>42</v>
          </cell>
          <cell r="L1118">
            <v>32</v>
          </cell>
          <cell r="M1118" t="e">
            <v>#N/A</v>
          </cell>
          <cell r="N1118">
            <v>37</v>
          </cell>
          <cell r="O1118" t="e">
            <v>#N/A</v>
          </cell>
          <cell r="P1118" t="str">
            <v/>
          </cell>
          <cell r="Q1118" t="str">
            <v/>
          </cell>
          <cell r="R1118" t="e">
            <v>#N/A</v>
          </cell>
        </row>
        <row r="1119">
          <cell r="A1119" t="str">
            <v/>
          </cell>
          <cell r="B1119" t="str">
            <v/>
          </cell>
          <cell r="C1119" t="str">
            <v>Future</v>
          </cell>
          <cell r="D1119" t="e">
            <v>#N/A</v>
          </cell>
          <cell r="E1119">
            <v>-41.948577075098761</v>
          </cell>
          <cell r="F1119">
            <v>51.015849802371982</v>
          </cell>
          <cell r="G1119">
            <v>28.881462450592061</v>
          </cell>
          <cell r="H1119">
            <v>28.881462450592061</v>
          </cell>
          <cell r="I1119" t="e">
            <v>#N/A</v>
          </cell>
          <cell r="J1119" t="e">
            <v>#N/A</v>
          </cell>
          <cell r="K1119">
            <v>42</v>
          </cell>
          <cell r="L1119">
            <v>32</v>
          </cell>
          <cell r="M1119" t="e">
            <v>#N/A</v>
          </cell>
          <cell r="N1119">
            <v>37</v>
          </cell>
          <cell r="O1119" t="e">
            <v>#N/A</v>
          </cell>
          <cell r="P1119" t="str">
            <v/>
          </cell>
          <cell r="Q1119" t="str">
            <v/>
          </cell>
          <cell r="R1119" t="e">
            <v>#N/A</v>
          </cell>
        </row>
        <row r="1120">
          <cell r="A1120" t="str">
            <v/>
          </cell>
          <cell r="B1120" t="str">
            <v/>
          </cell>
          <cell r="C1120" t="str">
            <v>Future</v>
          </cell>
          <cell r="D1120" t="e">
            <v>#N/A</v>
          </cell>
          <cell r="E1120">
            <v>-42.085217391304298</v>
          </cell>
          <cell r="F1120">
            <v>51.045217391304789</v>
          </cell>
          <cell r="G1120">
            <v>28.871304347825262</v>
          </cell>
          <cell r="H1120">
            <v>28.871304347825262</v>
          </cell>
          <cell r="I1120" t="e">
            <v>#N/A</v>
          </cell>
          <cell r="J1120" t="e">
            <v>#N/A</v>
          </cell>
          <cell r="K1120">
            <v>42</v>
          </cell>
          <cell r="L1120">
            <v>32</v>
          </cell>
          <cell r="M1120" t="e">
            <v>#N/A</v>
          </cell>
          <cell r="N1120">
            <v>37</v>
          </cell>
          <cell r="O1120" t="e">
            <v>#N/A</v>
          </cell>
          <cell r="P1120" t="str">
            <v/>
          </cell>
          <cell r="Q1120" t="str">
            <v/>
          </cell>
          <cell r="R1120" t="e">
            <v>#N/A</v>
          </cell>
        </row>
        <row r="1121">
          <cell r="A1121" t="str">
            <v/>
          </cell>
          <cell r="B1121" t="str">
            <v/>
          </cell>
          <cell r="C1121" t="str">
            <v>Future</v>
          </cell>
          <cell r="D1121" t="e">
            <v>#N/A</v>
          </cell>
          <cell r="E1121">
            <v>-42.221857707509834</v>
          </cell>
          <cell r="F1121">
            <v>51.074584980237596</v>
          </cell>
          <cell r="G1121">
            <v>28.861146245058464</v>
          </cell>
          <cell r="H1121">
            <v>28.861146245058464</v>
          </cell>
          <cell r="I1121" t="e">
            <v>#N/A</v>
          </cell>
          <cell r="J1121" t="e">
            <v>#N/A</v>
          </cell>
          <cell r="K1121">
            <v>42</v>
          </cell>
          <cell r="L1121">
            <v>32</v>
          </cell>
          <cell r="M1121" t="e">
            <v>#N/A</v>
          </cell>
          <cell r="N1121">
            <v>37</v>
          </cell>
          <cell r="O1121" t="e">
            <v>#N/A</v>
          </cell>
          <cell r="P1121" t="str">
            <v/>
          </cell>
          <cell r="Q1121" t="str">
            <v/>
          </cell>
          <cell r="R1121" t="e">
            <v>#N/A</v>
          </cell>
        </row>
        <row r="1122">
          <cell r="A1122" t="str">
            <v/>
          </cell>
          <cell r="B1122" t="str">
            <v/>
          </cell>
          <cell r="C1122" t="str">
            <v>Future</v>
          </cell>
          <cell r="D1122" t="e">
            <v>#N/A</v>
          </cell>
          <cell r="E1122">
            <v>-42.35849802371537</v>
          </cell>
          <cell r="F1122">
            <v>51.103952569170403</v>
          </cell>
          <cell r="G1122">
            <v>28.850988142291666</v>
          </cell>
          <cell r="H1122">
            <v>28.850988142291666</v>
          </cell>
          <cell r="I1122" t="e">
            <v>#N/A</v>
          </cell>
          <cell r="J1122" t="e">
            <v>#N/A</v>
          </cell>
          <cell r="K1122">
            <v>42</v>
          </cell>
          <cell r="L1122">
            <v>32</v>
          </cell>
          <cell r="M1122" t="e">
            <v>#N/A</v>
          </cell>
          <cell r="N1122">
            <v>37</v>
          </cell>
          <cell r="O1122" t="e">
            <v>#N/A</v>
          </cell>
          <cell r="P1122" t="str">
            <v/>
          </cell>
          <cell r="Q1122" t="str">
            <v/>
          </cell>
          <cell r="R1122" t="e">
            <v>#N/A</v>
          </cell>
        </row>
        <row r="1123">
          <cell r="A1123" t="str">
            <v/>
          </cell>
          <cell r="B1123" t="str">
            <v/>
          </cell>
          <cell r="C1123" t="str">
            <v>Future</v>
          </cell>
          <cell r="D1123" t="e">
            <v>#N/A</v>
          </cell>
          <cell r="E1123">
            <v>-42.495138339920906</v>
          </cell>
          <cell r="F1123">
            <v>51.13332015810321</v>
          </cell>
          <cell r="G1123">
            <v>28.840830039524867</v>
          </cell>
          <cell r="H1123">
            <v>28.840830039524867</v>
          </cell>
          <cell r="I1123" t="e">
            <v>#N/A</v>
          </cell>
          <cell r="J1123" t="e">
            <v>#N/A</v>
          </cell>
          <cell r="K1123">
            <v>42</v>
          </cell>
          <cell r="L1123">
            <v>32</v>
          </cell>
          <cell r="M1123" t="e">
            <v>#N/A</v>
          </cell>
          <cell r="N1123">
            <v>37</v>
          </cell>
          <cell r="O1123" t="e">
            <v>#N/A</v>
          </cell>
          <cell r="P1123" t="str">
            <v/>
          </cell>
          <cell r="Q1123" t="str">
            <v/>
          </cell>
          <cell r="R1123" t="e">
            <v>#N/A</v>
          </cell>
        </row>
        <row r="1124">
          <cell r="A1124" t="str">
            <v/>
          </cell>
          <cell r="B1124" t="str">
            <v/>
          </cell>
          <cell r="C1124" t="str">
            <v>Future</v>
          </cell>
          <cell r="D1124" t="e">
            <v>#N/A</v>
          </cell>
          <cell r="E1124">
            <v>-42.631778656126443</v>
          </cell>
          <cell r="F1124">
            <v>51.162687747036017</v>
          </cell>
          <cell r="G1124">
            <v>28.830671936758069</v>
          </cell>
          <cell r="H1124">
            <v>28.830671936758069</v>
          </cell>
          <cell r="I1124" t="e">
            <v>#N/A</v>
          </cell>
          <cell r="J1124" t="e">
            <v>#N/A</v>
          </cell>
          <cell r="K1124">
            <v>42</v>
          </cell>
          <cell r="L1124">
            <v>32</v>
          </cell>
          <cell r="M1124" t="e">
            <v>#N/A</v>
          </cell>
          <cell r="N1124">
            <v>37</v>
          </cell>
          <cell r="O1124" t="e">
            <v>#N/A</v>
          </cell>
          <cell r="P1124" t="str">
            <v/>
          </cell>
          <cell r="Q1124" t="str">
            <v/>
          </cell>
          <cell r="R1124" t="e">
            <v>#N/A</v>
          </cell>
        </row>
        <row r="1125">
          <cell r="A1125" t="str">
            <v/>
          </cell>
          <cell r="B1125" t="str">
            <v/>
          </cell>
          <cell r="C1125" t="str">
            <v>Future</v>
          </cell>
          <cell r="D1125" t="e">
            <v>#N/A</v>
          </cell>
          <cell r="E1125">
            <v>-42.768418972331979</v>
          </cell>
          <cell r="F1125">
            <v>51.192055335968824</v>
          </cell>
          <cell r="G1125">
            <v>28.820513833991271</v>
          </cell>
          <cell r="H1125">
            <v>28.820513833991271</v>
          </cell>
          <cell r="I1125" t="e">
            <v>#N/A</v>
          </cell>
          <cell r="J1125" t="e">
            <v>#N/A</v>
          </cell>
          <cell r="K1125">
            <v>42</v>
          </cell>
          <cell r="L1125">
            <v>32</v>
          </cell>
          <cell r="M1125" t="e">
            <v>#N/A</v>
          </cell>
          <cell r="N1125">
            <v>37</v>
          </cell>
          <cell r="O1125" t="e">
            <v>#N/A</v>
          </cell>
          <cell r="P1125" t="str">
            <v/>
          </cell>
          <cell r="Q1125" t="str">
            <v/>
          </cell>
          <cell r="R1125" t="e">
            <v>#N/A</v>
          </cell>
        </row>
        <row r="1126">
          <cell r="A1126" t="str">
            <v/>
          </cell>
          <cell r="B1126" t="str">
            <v/>
          </cell>
          <cell r="C1126" t="str">
            <v>Future</v>
          </cell>
          <cell r="D1126" t="e">
            <v>#N/A</v>
          </cell>
          <cell r="E1126">
            <v>-42.905059288537515</v>
          </cell>
          <cell r="F1126">
            <v>51.221422924901631</v>
          </cell>
          <cell r="G1126">
            <v>28.810355731224472</v>
          </cell>
          <cell r="H1126">
            <v>28.810355731224472</v>
          </cell>
          <cell r="I1126" t="e">
            <v>#N/A</v>
          </cell>
          <cell r="J1126" t="e">
            <v>#N/A</v>
          </cell>
          <cell r="K1126">
            <v>42</v>
          </cell>
          <cell r="L1126">
            <v>32</v>
          </cell>
          <cell r="M1126" t="e">
            <v>#N/A</v>
          </cell>
          <cell r="N1126">
            <v>37</v>
          </cell>
          <cell r="O1126" t="e">
            <v>#N/A</v>
          </cell>
          <cell r="P1126" t="str">
            <v/>
          </cell>
          <cell r="Q1126" t="str">
            <v/>
          </cell>
          <cell r="R1126" t="e">
            <v>#N/A</v>
          </cell>
        </row>
        <row r="1127">
          <cell r="A1127" t="str">
            <v/>
          </cell>
          <cell r="B1127" t="str">
            <v/>
          </cell>
          <cell r="C1127" t="str">
            <v>Future</v>
          </cell>
          <cell r="D1127" t="e">
            <v>#N/A</v>
          </cell>
          <cell r="E1127">
            <v>-43.041699604743052</v>
          </cell>
          <cell r="F1127">
            <v>51.250790513834438</v>
          </cell>
          <cell r="G1127">
            <v>28.800197628457674</v>
          </cell>
          <cell r="H1127">
            <v>28.800197628457674</v>
          </cell>
          <cell r="I1127" t="e">
            <v>#N/A</v>
          </cell>
          <cell r="J1127" t="e">
            <v>#N/A</v>
          </cell>
          <cell r="K1127">
            <v>42</v>
          </cell>
          <cell r="L1127">
            <v>32</v>
          </cell>
          <cell r="M1127" t="e">
            <v>#N/A</v>
          </cell>
          <cell r="N1127">
            <v>37</v>
          </cell>
          <cell r="O1127" t="e">
            <v>#N/A</v>
          </cell>
          <cell r="P1127" t="str">
            <v/>
          </cell>
          <cell r="Q1127" t="str">
            <v/>
          </cell>
          <cell r="R1127" t="e">
            <v>#N/A</v>
          </cell>
        </row>
        <row r="1128">
          <cell r="A1128" t="str">
            <v/>
          </cell>
          <cell r="B1128" t="str">
            <v/>
          </cell>
          <cell r="C1128" t="str">
            <v>Future</v>
          </cell>
          <cell r="D1128" t="e">
            <v>#N/A</v>
          </cell>
          <cell r="E1128">
            <v>-43.178339920948588</v>
          </cell>
          <cell r="F1128">
            <v>51.280158102767246</v>
          </cell>
          <cell r="G1128">
            <v>28.790039525690876</v>
          </cell>
          <cell r="H1128">
            <v>28.790039525690876</v>
          </cell>
          <cell r="I1128" t="e">
            <v>#N/A</v>
          </cell>
          <cell r="J1128" t="e">
            <v>#N/A</v>
          </cell>
          <cell r="K1128">
            <v>42</v>
          </cell>
          <cell r="L1128">
            <v>32</v>
          </cell>
          <cell r="M1128" t="e">
            <v>#N/A</v>
          </cell>
          <cell r="N1128">
            <v>37</v>
          </cell>
          <cell r="O1128" t="e">
            <v>#N/A</v>
          </cell>
          <cell r="P1128" t="str">
            <v/>
          </cell>
          <cell r="Q1128" t="str">
            <v/>
          </cell>
          <cell r="R1128" t="e">
            <v>#N/A</v>
          </cell>
        </row>
        <row r="1129">
          <cell r="A1129" t="str">
            <v/>
          </cell>
          <cell r="B1129" t="str">
            <v/>
          </cell>
          <cell r="C1129" t="str">
            <v>Future</v>
          </cell>
          <cell r="D1129" t="e">
            <v>#N/A</v>
          </cell>
          <cell r="E1129">
            <v>-43.314980237154124</v>
          </cell>
          <cell r="F1129">
            <v>51.309525691700053</v>
          </cell>
          <cell r="G1129">
            <v>28.779881422924078</v>
          </cell>
          <cell r="H1129">
            <v>28.779881422924078</v>
          </cell>
          <cell r="I1129" t="e">
            <v>#N/A</v>
          </cell>
          <cell r="J1129" t="e">
            <v>#N/A</v>
          </cell>
          <cell r="K1129">
            <v>42</v>
          </cell>
          <cell r="L1129">
            <v>32</v>
          </cell>
          <cell r="M1129" t="e">
            <v>#N/A</v>
          </cell>
          <cell r="N1129">
            <v>37</v>
          </cell>
          <cell r="O1129" t="e">
            <v>#N/A</v>
          </cell>
          <cell r="P1129" t="str">
            <v/>
          </cell>
          <cell r="Q1129" t="str">
            <v/>
          </cell>
          <cell r="R1129" t="e">
            <v>#N/A</v>
          </cell>
        </row>
        <row r="1130">
          <cell r="A1130" t="str">
            <v/>
          </cell>
          <cell r="B1130" t="str">
            <v/>
          </cell>
          <cell r="C1130" t="str">
            <v>Future</v>
          </cell>
          <cell r="D1130" t="e">
            <v>#N/A</v>
          </cell>
          <cell r="E1130">
            <v>-43.45162055335966</v>
          </cell>
          <cell r="F1130">
            <v>51.33889328063286</v>
          </cell>
          <cell r="G1130">
            <v>28.769723320157279</v>
          </cell>
          <cell r="H1130">
            <v>28.769723320157279</v>
          </cell>
          <cell r="I1130" t="e">
            <v>#N/A</v>
          </cell>
          <cell r="J1130" t="e">
            <v>#N/A</v>
          </cell>
          <cell r="K1130">
            <v>42</v>
          </cell>
          <cell r="L1130">
            <v>32</v>
          </cell>
          <cell r="M1130" t="e">
            <v>#N/A</v>
          </cell>
          <cell r="N1130">
            <v>37</v>
          </cell>
          <cell r="O1130" t="e">
            <v>#N/A</v>
          </cell>
          <cell r="P1130" t="str">
            <v/>
          </cell>
          <cell r="Q1130" t="str">
            <v/>
          </cell>
          <cell r="R1130" t="e">
            <v>#N/A</v>
          </cell>
        </row>
        <row r="1131">
          <cell r="A1131" t="str">
            <v/>
          </cell>
          <cell r="B1131" t="str">
            <v/>
          </cell>
          <cell r="C1131" t="str">
            <v>Future</v>
          </cell>
          <cell r="D1131" t="e">
            <v>#N/A</v>
          </cell>
          <cell r="E1131">
            <v>-43.588260869565197</v>
          </cell>
          <cell r="F1131">
            <v>51.368260869565667</v>
          </cell>
          <cell r="G1131">
            <v>28.759565217390481</v>
          </cell>
          <cell r="H1131">
            <v>28.759565217390481</v>
          </cell>
          <cell r="I1131" t="e">
            <v>#N/A</v>
          </cell>
          <cell r="J1131" t="e">
            <v>#N/A</v>
          </cell>
          <cell r="K1131">
            <v>42</v>
          </cell>
          <cell r="L1131">
            <v>32</v>
          </cell>
          <cell r="M1131" t="e">
            <v>#N/A</v>
          </cell>
          <cell r="N1131">
            <v>37</v>
          </cell>
          <cell r="O1131" t="e">
            <v>#N/A</v>
          </cell>
          <cell r="P1131" t="str">
            <v/>
          </cell>
          <cell r="Q1131" t="str">
            <v/>
          </cell>
          <cell r="R1131" t="e">
            <v>#N/A</v>
          </cell>
        </row>
        <row r="1132">
          <cell r="A1132" t="str">
            <v/>
          </cell>
          <cell r="B1132" t="str">
            <v/>
          </cell>
          <cell r="C1132" t="str">
            <v>Future</v>
          </cell>
          <cell r="D1132" t="e">
            <v>#N/A</v>
          </cell>
          <cell r="E1132">
            <v>-43.724901185770733</v>
          </cell>
          <cell r="F1132">
            <v>51.397628458498474</v>
          </cell>
          <cell r="G1132">
            <v>28.749407114623683</v>
          </cell>
          <cell r="H1132">
            <v>28.749407114623683</v>
          </cell>
          <cell r="I1132" t="e">
            <v>#N/A</v>
          </cell>
          <cell r="J1132" t="e">
            <v>#N/A</v>
          </cell>
          <cell r="K1132">
            <v>42</v>
          </cell>
          <cell r="L1132">
            <v>32</v>
          </cell>
          <cell r="M1132" t="e">
            <v>#N/A</v>
          </cell>
          <cell r="N1132">
            <v>37</v>
          </cell>
          <cell r="O1132" t="e">
            <v>#N/A</v>
          </cell>
          <cell r="P1132" t="str">
            <v/>
          </cell>
          <cell r="Q1132" t="str">
            <v/>
          </cell>
          <cell r="R1132" t="e">
            <v>#N/A</v>
          </cell>
        </row>
        <row r="1133">
          <cell r="A1133" t="str">
            <v/>
          </cell>
          <cell r="B1133" t="str">
            <v/>
          </cell>
          <cell r="C1133" t="str">
            <v>Future</v>
          </cell>
          <cell r="D1133" t="e">
            <v>#N/A</v>
          </cell>
          <cell r="E1133">
            <v>-43.861541501976269</v>
          </cell>
          <cell r="F1133">
            <v>51.426996047431281</v>
          </cell>
          <cell r="G1133">
            <v>28.739249011856884</v>
          </cell>
          <cell r="H1133">
            <v>28.739249011856884</v>
          </cell>
          <cell r="I1133" t="e">
            <v>#N/A</v>
          </cell>
          <cell r="J1133" t="e">
            <v>#N/A</v>
          </cell>
          <cell r="K1133">
            <v>42</v>
          </cell>
          <cell r="L1133">
            <v>32</v>
          </cell>
          <cell r="M1133" t="e">
            <v>#N/A</v>
          </cell>
          <cell r="N1133">
            <v>37</v>
          </cell>
          <cell r="O1133" t="e">
            <v>#N/A</v>
          </cell>
          <cell r="P1133" t="str">
            <v/>
          </cell>
          <cell r="Q1133" t="str">
            <v/>
          </cell>
          <cell r="R1133" t="e">
            <v>#N/A</v>
          </cell>
        </row>
        <row r="1134">
          <cell r="A1134" t="str">
            <v/>
          </cell>
          <cell r="B1134" t="str">
            <v/>
          </cell>
          <cell r="C1134" t="str">
            <v>Future</v>
          </cell>
          <cell r="D1134" t="e">
            <v>#N/A</v>
          </cell>
          <cell r="E1134">
            <v>-43.998181818181806</v>
          </cell>
          <cell r="F1134">
            <v>51.456363636364088</v>
          </cell>
          <cell r="G1134">
            <v>28.729090909090086</v>
          </cell>
          <cell r="H1134">
            <v>28.729090909090086</v>
          </cell>
          <cell r="I1134" t="e">
            <v>#N/A</v>
          </cell>
          <cell r="J1134" t="e">
            <v>#N/A</v>
          </cell>
          <cell r="K1134">
            <v>42</v>
          </cell>
          <cell r="L1134">
            <v>32</v>
          </cell>
          <cell r="M1134" t="e">
            <v>#N/A</v>
          </cell>
          <cell r="N1134">
            <v>37</v>
          </cell>
          <cell r="O1134" t="e">
            <v>#N/A</v>
          </cell>
          <cell r="P1134" t="str">
            <v/>
          </cell>
          <cell r="Q1134" t="str">
            <v/>
          </cell>
          <cell r="R1134" t="e">
            <v>#N/A</v>
          </cell>
        </row>
        <row r="1135">
          <cell r="A1135" t="str">
            <v/>
          </cell>
          <cell r="B1135" t="str">
            <v/>
          </cell>
          <cell r="C1135" t="str">
            <v>Future</v>
          </cell>
          <cell r="D1135" t="e">
            <v>#N/A</v>
          </cell>
          <cell r="E1135">
            <v>-44.134822134387342</v>
          </cell>
          <cell r="F1135">
            <v>51.485731225296895</v>
          </cell>
          <cell r="G1135">
            <v>28.718932806323288</v>
          </cell>
          <cell r="H1135">
            <v>28.718932806323288</v>
          </cell>
          <cell r="I1135" t="e">
            <v>#N/A</v>
          </cell>
          <cell r="J1135" t="e">
            <v>#N/A</v>
          </cell>
          <cell r="K1135">
            <v>42</v>
          </cell>
          <cell r="L1135">
            <v>32</v>
          </cell>
          <cell r="M1135" t="e">
            <v>#N/A</v>
          </cell>
          <cell r="N1135">
            <v>37</v>
          </cell>
          <cell r="O1135" t="e">
            <v>#N/A</v>
          </cell>
          <cell r="P1135" t="str">
            <v/>
          </cell>
          <cell r="Q1135" t="str">
            <v/>
          </cell>
          <cell r="R1135" t="e">
            <v>#N/A</v>
          </cell>
        </row>
        <row r="1136">
          <cell r="A1136" t="str">
            <v/>
          </cell>
          <cell r="B1136" t="str">
            <v/>
          </cell>
          <cell r="C1136" t="str">
            <v>Future</v>
          </cell>
          <cell r="D1136" t="e">
            <v>#N/A</v>
          </cell>
          <cell r="E1136">
            <v>-44.271462450592878</v>
          </cell>
          <cell r="F1136">
            <v>51.515098814229702</v>
          </cell>
          <cell r="G1136">
            <v>28.70877470355649</v>
          </cell>
          <cell r="H1136">
            <v>28.70877470355649</v>
          </cell>
          <cell r="I1136" t="e">
            <v>#N/A</v>
          </cell>
          <cell r="J1136" t="e">
            <v>#N/A</v>
          </cell>
          <cell r="K1136">
            <v>42</v>
          </cell>
          <cell r="L1136">
            <v>32</v>
          </cell>
          <cell r="M1136" t="e">
            <v>#N/A</v>
          </cell>
          <cell r="N1136">
            <v>37</v>
          </cell>
          <cell r="O1136" t="e">
            <v>#N/A</v>
          </cell>
          <cell r="P1136" t="str">
            <v/>
          </cell>
          <cell r="Q1136" t="str">
            <v/>
          </cell>
          <cell r="R1136" t="e">
            <v>#N/A</v>
          </cell>
        </row>
        <row r="1137">
          <cell r="A1137" t="str">
            <v/>
          </cell>
          <cell r="B1137" t="str">
            <v/>
          </cell>
          <cell r="C1137" t="str">
            <v>Future</v>
          </cell>
          <cell r="D1137" t="e">
            <v>#N/A</v>
          </cell>
          <cell r="E1137">
            <v>-44.408102766798415</v>
          </cell>
          <cell r="F1137">
            <v>51.544466403162509</v>
          </cell>
          <cell r="G1137">
            <v>28.698616600789691</v>
          </cell>
          <cell r="H1137">
            <v>28.698616600789691</v>
          </cell>
          <cell r="I1137" t="e">
            <v>#N/A</v>
          </cell>
          <cell r="J1137" t="e">
            <v>#N/A</v>
          </cell>
          <cell r="K1137">
            <v>42</v>
          </cell>
          <cell r="L1137">
            <v>32</v>
          </cell>
          <cell r="M1137" t="e">
            <v>#N/A</v>
          </cell>
          <cell r="N1137">
            <v>37</v>
          </cell>
          <cell r="O1137" t="e">
            <v>#N/A</v>
          </cell>
          <cell r="P1137" t="str">
            <v/>
          </cell>
          <cell r="Q1137" t="str">
            <v/>
          </cell>
          <cell r="R1137" t="e">
            <v>#N/A</v>
          </cell>
        </row>
        <row r="1138">
          <cell r="A1138" t="str">
            <v/>
          </cell>
          <cell r="B1138" t="str">
            <v/>
          </cell>
          <cell r="C1138" t="str">
            <v>Future</v>
          </cell>
          <cell r="D1138" t="e">
            <v>#N/A</v>
          </cell>
          <cell r="E1138">
            <v>-44.544743083003951</v>
          </cell>
          <cell r="F1138">
            <v>51.573833992095317</v>
          </cell>
          <cell r="G1138">
            <v>28.688458498022893</v>
          </cell>
          <cell r="H1138">
            <v>28.688458498022893</v>
          </cell>
          <cell r="I1138" t="e">
            <v>#N/A</v>
          </cell>
          <cell r="J1138" t="e">
            <v>#N/A</v>
          </cell>
          <cell r="K1138">
            <v>42</v>
          </cell>
          <cell r="L1138">
            <v>32</v>
          </cell>
          <cell r="M1138" t="e">
            <v>#N/A</v>
          </cell>
          <cell r="N1138">
            <v>37</v>
          </cell>
          <cell r="O1138" t="e">
            <v>#N/A</v>
          </cell>
          <cell r="P1138" t="str">
            <v/>
          </cell>
          <cell r="Q1138" t="str">
            <v/>
          </cell>
          <cell r="R1138" t="e">
            <v>#N/A</v>
          </cell>
        </row>
        <row r="1139">
          <cell r="A1139" t="str">
            <v/>
          </cell>
          <cell r="B1139" t="str">
            <v/>
          </cell>
          <cell r="C1139" t="str">
            <v>Future</v>
          </cell>
          <cell r="D1139" t="e">
            <v>#N/A</v>
          </cell>
          <cell r="E1139">
            <v>-44.681383399209487</v>
          </cell>
          <cell r="F1139">
            <v>51.603201581028124</v>
          </cell>
          <cell r="G1139">
            <v>28.678300395256095</v>
          </cell>
          <cell r="H1139">
            <v>28.678300395256095</v>
          </cell>
          <cell r="I1139" t="e">
            <v>#N/A</v>
          </cell>
          <cell r="J1139" t="e">
            <v>#N/A</v>
          </cell>
          <cell r="K1139">
            <v>42</v>
          </cell>
          <cell r="L1139">
            <v>32</v>
          </cell>
          <cell r="M1139" t="e">
            <v>#N/A</v>
          </cell>
          <cell r="N1139">
            <v>37</v>
          </cell>
          <cell r="O1139" t="e">
            <v>#N/A</v>
          </cell>
          <cell r="P1139" t="str">
            <v/>
          </cell>
          <cell r="Q1139" t="str">
            <v/>
          </cell>
          <cell r="R1139" t="e">
            <v>#N/A</v>
          </cell>
        </row>
        <row r="1140">
          <cell r="A1140" t="str">
            <v/>
          </cell>
          <cell r="B1140" t="str">
            <v/>
          </cell>
          <cell r="C1140" t="str">
            <v>Future</v>
          </cell>
          <cell r="D1140" t="e">
            <v>#N/A</v>
          </cell>
          <cell r="E1140">
            <v>-44.818023715415023</v>
          </cell>
          <cell r="F1140">
            <v>51.632569169960931</v>
          </cell>
          <cell r="G1140">
            <v>28.668142292489296</v>
          </cell>
          <cell r="H1140">
            <v>28.668142292489296</v>
          </cell>
          <cell r="I1140" t="e">
            <v>#N/A</v>
          </cell>
          <cell r="J1140" t="e">
            <v>#N/A</v>
          </cell>
          <cell r="K1140">
            <v>42</v>
          </cell>
          <cell r="L1140">
            <v>32</v>
          </cell>
          <cell r="M1140" t="e">
            <v>#N/A</v>
          </cell>
          <cell r="N1140">
            <v>37</v>
          </cell>
          <cell r="O1140" t="e">
            <v>#N/A</v>
          </cell>
          <cell r="P1140" t="str">
            <v/>
          </cell>
          <cell r="Q1140" t="str">
            <v/>
          </cell>
          <cell r="R1140" t="e">
            <v>#N/A</v>
          </cell>
        </row>
        <row r="1141">
          <cell r="A1141" t="str">
            <v/>
          </cell>
          <cell r="B1141" t="str">
            <v/>
          </cell>
          <cell r="C1141" t="str">
            <v>Future</v>
          </cell>
          <cell r="D1141" t="e">
            <v>#N/A</v>
          </cell>
          <cell r="E1141">
            <v>-44.95466403162056</v>
          </cell>
          <cell r="F1141">
            <v>51.661936758893738</v>
          </cell>
          <cell r="G1141">
            <v>28.657984189722498</v>
          </cell>
          <cell r="H1141">
            <v>28.657984189722498</v>
          </cell>
          <cell r="I1141" t="e">
            <v>#N/A</v>
          </cell>
          <cell r="J1141" t="e">
            <v>#N/A</v>
          </cell>
          <cell r="K1141">
            <v>42</v>
          </cell>
          <cell r="L1141">
            <v>32</v>
          </cell>
          <cell r="M1141" t="e">
            <v>#N/A</v>
          </cell>
          <cell r="N1141">
            <v>37</v>
          </cell>
          <cell r="O1141" t="e">
            <v>#N/A</v>
          </cell>
          <cell r="P1141" t="str">
            <v/>
          </cell>
          <cell r="Q1141" t="str">
            <v/>
          </cell>
          <cell r="R1141" t="e">
            <v>#N/A</v>
          </cell>
        </row>
        <row r="1142">
          <cell r="A1142" t="str">
            <v/>
          </cell>
          <cell r="B1142" t="str">
            <v/>
          </cell>
          <cell r="C1142" t="str">
            <v>Future</v>
          </cell>
          <cell r="D1142" t="e">
            <v>#N/A</v>
          </cell>
          <cell r="E1142">
            <v>-45.091304347826096</v>
          </cell>
          <cell r="F1142">
            <v>51.691304347826545</v>
          </cell>
          <cell r="G1142">
            <v>28.6478260869557</v>
          </cell>
          <cell r="H1142">
            <v>28.6478260869557</v>
          </cell>
          <cell r="I1142" t="e">
            <v>#N/A</v>
          </cell>
          <cell r="J1142" t="e">
            <v>#N/A</v>
          </cell>
          <cell r="K1142">
            <v>42</v>
          </cell>
          <cell r="L1142">
            <v>32</v>
          </cell>
          <cell r="M1142" t="e">
            <v>#N/A</v>
          </cell>
          <cell r="N1142">
            <v>37</v>
          </cell>
          <cell r="O1142" t="e">
            <v>#N/A</v>
          </cell>
          <cell r="P1142" t="str">
            <v/>
          </cell>
          <cell r="Q1142" t="str">
            <v/>
          </cell>
          <cell r="R1142" t="e">
            <v>#N/A</v>
          </cell>
        </row>
        <row r="1143">
          <cell r="A1143" t="str">
            <v/>
          </cell>
          <cell r="B1143" t="str">
            <v/>
          </cell>
          <cell r="C1143" t="str">
            <v>Future</v>
          </cell>
          <cell r="D1143" t="e">
            <v>#N/A</v>
          </cell>
          <cell r="E1143">
            <v>-45.227944664031632</v>
          </cell>
          <cell r="F1143">
            <v>51.720671936759352</v>
          </cell>
          <cell r="G1143">
            <v>28.637667984188901</v>
          </cell>
          <cell r="H1143">
            <v>28.637667984188901</v>
          </cell>
          <cell r="I1143" t="e">
            <v>#N/A</v>
          </cell>
          <cell r="J1143" t="e">
            <v>#N/A</v>
          </cell>
          <cell r="K1143">
            <v>42</v>
          </cell>
          <cell r="L1143">
            <v>32</v>
          </cell>
          <cell r="M1143" t="e">
            <v>#N/A</v>
          </cell>
          <cell r="N1143">
            <v>37</v>
          </cell>
          <cell r="O1143" t="e">
            <v>#N/A</v>
          </cell>
          <cell r="P1143" t="str">
            <v/>
          </cell>
          <cell r="Q1143" t="str">
            <v/>
          </cell>
          <cell r="R1143" t="e">
            <v>#N/A</v>
          </cell>
        </row>
        <row r="1144">
          <cell r="A1144" t="str">
            <v/>
          </cell>
          <cell r="B1144" t="str">
            <v/>
          </cell>
          <cell r="C1144" t="str">
            <v>Future</v>
          </cell>
          <cell r="D1144" t="e">
            <v>#N/A</v>
          </cell>
          <cell r="E1144">
            <v>-45.364584980237169</v>
          </cell>
          <cell r="F1144">
            <v>51.750039525692159</v>
          </cell>
          <cell r="G1144">
            <v>28.627509881422103</v>
          </cell>
          <cell r="H1144">
            <v>28.627509881422103</v>
          </cell>
          <cell r="I1144" t="e">
            <v>#N/A</v>
          </cell>
          <cell r="J1144" t="e">
            <v>#N/A</v>
          </cell>
          <cell r="K1144">
            <v>42</v>
          </cell>
          <cell r="L1144">
            <v>32</v>
          </cell>
          <cell r="M1144" t="e">
            <v>#N/A</v>
          </cell>
          <cell r="N1144">
            <v>37</v>
          </cell>
          <cell r="O1144" t="e">
            <v>#N/A</v>
          </cell>
          <cell r="P1144" t="str">
            <v/>
          </cell>
          <cell r="Q1144" t="str">
            <v/>
          </cell>
          <cell r="R1144" t="e">
            <v>#N/A</v>
          </cell>
        </row>
        <row r="1145">
          <cell r="A1145" t="str">
            <v/>
          </cell>
          <cell r="B1145" t="str">
            <v/>
          </cell>
          <cell r="C1145" t="str">
            <v>Future</v>
          </cell>
          <cell r="D1145" t="e">
            <v>#N/A</v>
          </cell>
          <cell r="E1145">
            <v>-45.501225296442705</v>
          </cell>
          <cell r="F1145">
            <v>51.779407114624966</v>
          </cell>
          <cell r="G1145">
            <v>28.617351778655305</v>
          </cell>
          <cell r="H1145">
            <v>28.617351778655305</v>
          </cell>
          <cell r="I1145" t="e">
            <v>#N/A</v>
          </cell>
          <cell r="J1145" t="e">
            <v>#N/A</v>
          </cell>
          <cell r="K1145">
            <v>42</v>
          </cell>
          <cell r="L1145">
            <v>32</v>
          </cell>
          <cell r="M1145" t="e">
            <v>#N/A</v>
          </cell>
          <cell r="N1145">
            <v>37</v>
          </cell>
          <cell r="O1145" t="e">
            <v>#N/A</v>
          </cell>
          <cell r="P1145" t="str">
            <v/>
          </cell>
          <cell r="Q1145" t="str">
            <v/>
          </cell>
          <cell r="R1145" t="e">
            <v>#N/A</v>
          </cell>
        </row>
        <row r="1146">
          <cell r="A1146" t="str">
            <v/>
          </cell>
          <cell r="B1146" t="str">
            <v/>
          </cell>
          <cell r="C1146" t="str">
            <v>Future</v>
          </cell>
          <cell r="D1146" t="e">
            <v>#N/A</v>
          </cell>
          <cell r="E1146">
            <v>-45.637865612648241</v>
          </cell>
          <cell r="F1146">
            <v>51.808774703557773</v>
          </cell>
          <cell r="G1146">
            <v>28.607193675888507</v>
          </cell>
          <cell r="H1146">
            <v>28.607193675888507</v>
          </cell>
          <cell r="I1146" t="e">
            <v>#N/A</v>
          </cell>
          <cell r="J1146" t="e">
            <v>#N/A</v>
          </cell>
          <cell r="K1146">
            <v>42</v>
          </cell>
          <cell r="L1146">
            <v>32</v>
          </cell>
          <cell r="M1146" t="e">
            <v>#N/A</v>
          </cell>
          <cell r="N1146">
            <v>37</v>
          </cell>
          <cell r="O1146" t="e">
            <v>#N/A</v>
          </cell>
          <cell r="P1146" t="str">
            <v/>
          </cell>
          <cell r="Q1146" t="str">
            <v/>
          </cell>
          <cell r="R1146" t="e">
            <v>#N/A</v>
          </cell>
        </row>
        <row r="1147">
          <cell r="A1147" t="str">
            <v/>
          </cell>
          <cell r="B1147" t="str">
            <v/>
          </cell>
          <cell r="C1147" t="str">
            <v>Future</v>
          </cell>
          <cell r="D1147" t="e">
            <v>#N/A</v>
          </cell>
          <cell r="E1147">
            <v>-45.774505928853777</v>
          </cell>
          <cell r="F1147">
            <v>51.838142292490581</v>
          </cell>
          <cell r="G1147">
            <v>28.597035573121708</v>
          </cell>
          <cell r="H1147">
            <v>28.597035573121708</v>
          </cell>
          <cell r="I1147" t="e">
            <v>#N/A</v>
          </cell>
          <cell r="J1147" t="e">
            <v>#N/A</v>
          </cell>
          <cell r="K1147">
            <v>42</v>
          </cell>
          <cell r="L1147">
            <v>32</v>
          </cell>
          <cell r="M1147" t="e">
            <v>#N/A</v>
          </cell>
          <cell r="N1147">
            <v>37</v>
          </cell>
          <cell r="O1147" t="e">
            <v>#N/A</v>
          </cell>
          <cell r="P1147" t="str">
            <v/>
          </cell>
          <cell r="Q1147" t="str">
            <v/>
          </cell>
          <cell r="R1147" t="e">
            <v>#N/A</v>
          </cell>
        </row>
        <row r="1148">
          <cell r="A1148" t="str">
            <v/>
          </cell>
          <cell r="B1148" t="str">
            <v/>
          </cell>
          <cell r="C1148" t="str">
            <v>Future</v>
          </cell>
          <cell r="D1148" t="e">
            <v>#N/A</v>
          </cell>
          <cell r="E1148">
            <v>-45.911146245059314</v>
          </cell>
          <cell r="F1148">
            <v>51.867509881423388</v>
          </cell>
          <cell r="G1148">
            <v>28.58687747035491</v>
          </cell>
          <cell r="H1148">
            <v>28.58687747035491</v>
          </cell>
          <cell r="I1148" t="e">
            <v>#N/A</v>
          </cell>
          <cell r="J1148" t="e">
            <v>#N/A</v>
          </cell>
          <cell r="K1148">
            <v>42</v>
          </cell>
          <cell r="L1148">
            <v>32</v>
          </cell>
          <cell r="M1148" t="e">
            <v>#N/A</v>
          </cell>
          <cell r="N1148">
            <v>37</v>
          </cell>
          <cell r="O1148" t="e">
            <v>#N/A</v>
          </cell>
          <cell r="P1148" t="str">
            <v/>
          </cell>
          <cell r="Q1148" t="str">
            <v/>
          </cell>
          <cell r="R1148" t="e">
            <v>#N/A</v>
          </cell>
        </row>
        <row r="1149">
          <cell r="A1149" t="str">
            <v/>
          </cell>
          <cell r="B1149" t="str">
            <v/>
          </cell>
          <cell r="C1149" t="str">
            <v>Future</v>
          </cell>
          <cell r="D1149" t="e">
            <v>#N/A</v>
          </cell>
          <cell r="E1149">
            <v>-46.04778656126485</v>
          </cell>
          <cell r="F1149">
            <v>51.896877470356195</v>
          </cell>
          <cell r="G1149">
            <v>28.576719367588112</v>
          </cell>
          <cell r="H1149">
            <v>28.576719367588112</v>
          </cell>
          <cell r="I1149" t="e">
            <v>#N/A</v>
          </cell>
          <cell r="J1149" t="e">
            <v>#N/A</v>
          </cell>
          <cell r="K1149">
            <v>42</v>
          </cell>
          <cell r="L1149">
            <v>32</v>
          </cell>
          <cell r="M1149" t="e">
            <v>#N/A</v>
          </cell>
          <cell r="N1149">
            <v>37</v>
          </cell>
          <cell r="O1149" t="e">
            <v>#N/A</v>
          </cell>
          <cell r="P1149" t="str">
            <v/>
          </cell>
          <cell r="Q1149" t="str">
            <v/>
          </cell>
          <cell r="R1149" t="e">
            <v>#N/A</v>
          </cell>
        </row>
        <row r="1150">
          <cell r="A1150" t="str">
            <v/>
          </cell>
          <cell r="B1150" t="str">
            <v/>
          </cell>
          <cell r="C1150" t="str">
            <v>Future</v>
          </cell>
          <cell r="D1150" t="e">
            <v>#N/A</v>
          </cell>
          <cell r="E1150">
            <v>-46.184426877470386</v>
          </cell>
          <cell r="F1150">
            <v>51.926245059289002</v>
          </cell>
          <cell r="G1150">
            <v>28.566561264821313</v>
          </cell>
          <cell r="H1150">
            <v>28.566561264821313</v>
          </cell>
          <cell r="I1150" t="e">
            <v>#N/A</v>
          </cell>
          <cell r="J1150" t="e">
            <v>#N/A</v>
          </cell>
          <cell r="K1150">
            <v>42</v>
          </cell>
          <cell r="L1150">
            <v>32</v>
          </cell>
          <cell r="M1150" t="e">
            <v>#N/A</v>
          </cell>
          <cell r="N1150">
            <v>37</v>
          </cell>
          <cell r="O1150" t="e">
            <v>#N/A</v>
          </cell>
          <cell r="P1150" t="str">
            <v/>
          </cell>
          <cell r="Q1150" t="str">
            <v/>
          </cell>
          <cell r="R1150" t="e">
            <v>#N/A</v>
          </cell>
        </row>
        <row r="1151">
          <cell r="A1151" t="str">
            <v/>
          </cell>
          <cell r="B1151" t="str">
            <v/>
          </cell>
          <cell r="C1151" t="str">
            <v>Future</v>
          </cell>
          <cell r="D1151" t="e">
            <v>#N/A</v>
          </cell>
          <cell r="E1151">
            <v>-46.321067193675923</v>
          </cell>
          <cell r="F1151">
            <v>51.955612648221809</v>
          </cell>
          <cell r="G1151">
            <v>28.556403162054515</v>
          </cell>
          <cell r="H1151">
            <v>28.556403162054515</v>
          </cell>
          <cell r="I1151" t="e">
            <v>#N/A</v>
          </cell>
          <cell r="J1151" t="e">
            <v>#N/A</v>
          </cell>
          <cell r="K1151">
            <v>42</v>
          </cell>
          <cell r="L1151">
            <v>32</v>
          </cell>
          <cell r="M1151" t="e">
            <v>#N/A</v>
          </cell>
          <cell r="N1151">
            <v>37</v>
          </cell>
          <cell r="O1151" t="e">
            <v>#N/A</v>
          </cell>
          <cell r="P1151" t="str">
            <v/>
          </cell>
          <cell r="Q1151" t="str">
            <v/>
          </cell>
          <cell r="R1151" t="e">
            <v>#N/A</v>
          </cell>
        </row>
        <row r="1152">
          <cell r="A1152" t="str">
            <v/>
          </cell>
          <cell r="B1152" t="str">
            <v/>
          </cell>
          <cell r="C1152" t="str">
            <v>Future</v>
          </cell>
          <cell r="D1152" t="e">
            <v>#N/A</v>
          </cell>
          <cell r="E1152">
            <v>-46.457707509881459</v>
          </cell>
          <cell r="F1152">
            <v>51.984980237154616</v>
          </cell>
          <cell r="G1152">
            <v>28.546245059287717</v>
          </cell>
          <cell r="H1152">
            <v>28.546245059287717</v>
          </cell>
          <cell r="I1152" t="e">
            <v>#N/A</v>
          </cell>
          <cell r="J1152" t="e">
            <v>#N/A</v>
          </cell>
          <cell r="K1152">
            <v>42</v>
          </cell>
          <cell r="L1152">
            <v>32</v>
          </cell>
          <cell r="M1152" t="e">
            <v>#N/A</v>
          </cell>
          <cell r="N1152">
            <v>37</v>
          </cell>
          <cell r="O1152" t="e">
            <v>#N/A</v>
          </cell>
          <cell r="P1152" t="str">
            <v/>
          </cell>
          <cell r="Q1152" t="str">
            <v/>
          </cell>
          <cell r="R1152" t="e">
            <v>#N/A</v>
          </cell>
        </row>
        <row r="1153">
          <cell r="A1153" t="str">
            <v/>
          </cell>
          <cell r="B1153" t="str">
            <v/>
          </cell>
          <cell r="C1153" t="str">
            <v>Future</v>
          </cell>
          <cell r="D1153" t="e">
            <v>#N/A</v>
          </cell>
          <cell r="E1153">
            <v>-46.594347826086995</v>
          </cell>
          <cell r="F1153">
            <v>52.014347826087423</v>
          </cell>
          <cell r="G1153">
            <v>28.536086956520919</v>
          </cell>
          <cell r="H1153">
            <v>28.536086956520919</v>
          </cell>
          <cell r="I1153" t="e">
            <v>#N/A</v>
          </cell>
          <cell r="J1153" t="e">
            <v>#N/A</v>
          </cell>
          <cell r="K1153">
            <v>42</v>
          </cell>
          <cell r="L1153">
            <v>32</v>
          </cell>
          <cell r="M1153" t="e">
            <v>#N/A</v>
          </cell>
          <cell r="N1153">
            <v>37</v>
          </cell>
          <cell r="O1153" t="e">
            <v>#N/A</v>
          </cell>
          <cell r="P1153" t="str">
            <v/>
          </cell>
          <cell r="Q1153" t="str">
            <v/>
          </cell>
          <cell r="R1153" t="e">
            <v>#N/A</v>
          </cell>
        </row>
        <row r="1154">
          <cell r="A1154" t="str">
            <v/>
          </cell>
          <cell r="B1154" t="str">
            <v/>
          </cell>
          <cell r="C1154" t="str">
            <v>Future</v>
          </cell>
          <cell r="D1154" t="e">
            <v>#N/A</v>
          </cell>
          <cell r="E1154">
            <v>-46.730988142292532</v>
          </cell>
          <cell r="F1154">
            <v>52.04371541502023</v>
          </cell>
          <cell r="G1154">
            <v>28.52592885375412</v>
          </cell>
          <cell r="H1154">
            <v>28.52592885375412</v>
          </cell>
          <cell r="I1154" t="e">
            <v>#N/A</v>
          </cell>
          <cell r="J1154" t="e">
            <v>#N/A</v>
          </cell>
          <cell r="K1154">
            <v>42</v>
          </cell>
          <cell r="L1154">
            <v>32</v>
          </cell>
          <cell r="M1154" t="e">
            <v>#N/A</v>
          </cell>
          <cell r="N1154">
            <v>37</v>
          </cell>
          <cell r="O1154" t="e">
            <v>#N/A</v>
          </cell>
          <cell r="P1154" t="str">
            <v/>
          </cell>
          <cell r="Q1154" t="str">
            <v/>
          </cell>
          <cell r="R1154" t="e">
            <v>#N/A</v>
          </cell>
        </row>
        <row r="1155">
          <cell r="A1155" t="str">
            <v/>
          </cell>
          <cell r="B1155" t="str">
            <v/>
          </cell>
          <cell r="C1155" t="str">
            <v>Future</v>
          </cell>
          <cell r="D1155" t="e">
            <v>#N/A</v>
          </cell>
          <cell r="E1155">
            <v>-46.867628458498068</v>
          </cell>
          <cell r="F1155">
            <v>52.073083003953037</v>
          </cell>
          <cell r="G1155">
            <v>28.515770750987322</v>
          </cell>
          <cell r="H1155">
            <v>28.515770750987322</v>
          </cell>
          <cell r="I1155" t="e">
            <v>#N/A</v>
          </cell>
          <cell r="J1155" t="e">
            <v>#N/A</v>
          </cell>
          <cell r="K1155">
            <v>42</v>
          </cell>
          <cell r="L1155">
            <v>32</v>
          </cell>
          <cell r="M1155" t="e">
            <v>#N/A</v>
          </cell>
          <cell r="N1155">
            <v>37</v>
          </cell>
          <cell r="O1155" t="e">
            <v>#N/A</v>
          </cell>
          <cell r="P1155" t="str">
            <v/>
          </cell>
          <cell r="Q1155" t="str">
            <v/>
          </cell>
          <cell r="R1155" t="e">
            <v>#N/A</v>
          </cell>
        </row>
        <row r="1156">
          <cell r="A1156" t="str">
            <v/>
          </cell>
          <cell r="B1156" t="str">
            <v/>
          </cell>
          <cell r="C1156" t="str">
            <v>Future</v>
          </cell>
          <cell r="D1156" t="e">
            <v>#N/A</v>
          </cell>
          <cell r="E1156">
            <v>-47.004268774703604</v>
          </cell>
          <cell r="F1156">
            <v>52.102450592885845</v>
          </cell>
          <cell r="G1156">
            <v>28.505612648220524</v>
          </cell>
          <cell r="H1156">
            <v>28.505612648220524</v>
          </cell>
          <cell r="I1156" t="e">
            <v>#N/A</v>
          </cell>
          <cell r="J1156" t="e">
            <v>#N/A</v>
          </cell>
          <cell r="K1156">
            <v>42</v>
          </cell>
          <cell r="L1156">
            <v>32</v>
          </cell>
          <cell r="M1156" t="e">
            <v>#N/A</v>
          </cell>
          <cell r="N1156">
            <v>37</v>
          </cell>
          <cell r="O1156" t="e">
            <v>#N/A</v>
          </cell>
          <cell r="P1156" t="str">
            <v/>
          </cell>
          <cell r="Q1156" t="str">
            <v/>
          </cell>
          <cell r="R1156" t="e">
            <v>#N/A</v>
          </cell>
        </row>
        <row r="1157">
          <cell r="A1157" t="str">
            <v/>
          </cell>
          <cell r="B1157" t="str">
            <v/>
          </cell>
          <cell r="C1157" t="str">
            <v>Future</v>
          </cell>
          <cell r="D1157" t="e">
            <v>#N/A</v>
          </cell>
          <cell r="E1157">
            <v>-47.14090909090914</v>
          </cell>
          <cell r="F1157">
            <v>52.131818181818652</v>
          </cell>
          <cell r="G1157">
            <v>28.495454545453725</v>
          </cell>
          <cell r="H1157">
            <v>28.495454545453725</v>
          </cell>
          <cell r="I1157" t="e">
            <v>#N/A</v>
          </cell>
          <cell r="J1157" t="e">
            <v>#N/A</v>
          </cell>
          <cell r="K1157">
            <v>42</v>
          </cell>
          <cell r="L1157">
            <v>32</v>
          </cell>
          <cell r="M1157" t="e">
            <v>#N/A</v>
          </cell>
          <cell r="N1157">
            <v>37</v>
          </cell>
          <cell r="O1157" t="e">
            <v>#N/A</v>
          </cell>
          <cell r="P1157" t="str">
            <v/>
          </cell>
          <cell r="Q1157" t="str">
            <v/>
          </cell>
          <cell r="R1157" t="e">
            <v>#N/A</v>
          </cell>
        </row>
        <row r="1158">
          <cell r="A1158" t="str">
            <v/>
          </cell>
          <cell r="B1158" t="str">
            <v/>
          </cell>
          <cell r="C1158" t="str">
            <v>Future</v>
          </cell>
          <cell r="D1158" t="e">
            <v>#N/A</v>
          </cell>
          <cell r="E1158">
            <v>-47.277549407114677</v>
          </cell>
          <cell r="F1158">
            <v>52.161185770751459</v>
          </cell>
          <cell r="G1158">
            <v>28.485296442686927</v>
          </cell>
          <cell r="H1158">
            <v>28.485296442686927</v>
          </cell>
          <cell r="I1158" t="e">
            <v>#N/A</v>
          </cell>
          <cell r="J1158" t="e">
            <v>#N/A</v>
          </cell>
          <cell r="K1158">
            <v>42</v>
          </cell>
          <cell r="L1158">
            <v>32</v>
          </cell>
          <cell r="M1158" t="e">
            <v>#N/A</v>
          </cell>
          <cell r="N1158">
            <v>37</v>
          </cell>
          <cell r="O1158" t="e">
            <v>#N/A</v>
          </cell>
          <cell r="P1158" t="str">
            <v/>
          </cell>
          <cell r="Q1158" t="str">
            <v/>
          </cell>
          <cell r="R1158" t="e">
            <v>#N/A</v>
          </cell>
        </row>
        <row r="1159">
          <cell r="A1159" t="str">
            <v/>
          </cell>
          <cell r="B1159" t="str">
            <v/>
          </cell>
          <cell r="C1159" t="str">
            <v>Future</v>
          </cell>
          <cell r="D1159" t="e">
            <v>#N/A</v>
          </cell>
          <cell r="E1159">
            <v>-47.414189723320213</v>
          </cell>
          <cell r="F1159">
            <v>52.190553359684266</v>
          </cell>
          <cell r="G1159">
            <v>28.475138339920129</v>
          </cell>
          <cell r="H1159">
            <v>28.475138339920129</v>
          </cell>
          <cell r="I1159" t="e">
            <v>#N/A</v>
          </cell>
          <cell r="J1159" t="e">
            <v>#N/A</v>
          </cell>
          <cell r="K1159">
            <v>42</v>
          </cell>
          <cell r="L1159">
            <v>32</v>
          </cell>
          <cell r="M1159" t="e">
            <v>#N/A</v>
          </cell>
          <cell r="N1159">
            <v>37</v>
          </cell>
          <cell r="O1159" t="e">
            <v>#N/A</v>
          </cell>
          <cell r="P1159" t="str">
            <v/>
          </cell>
          <cell r="Q1159" t="str">
            <v/>
          </cell>
          <cell r="R1159" t="e">
            <v>#N/A</v>
          </cell>
        </row>
        <row r="1160">
          <cell r="A1160" t="str">
            <v/>
          </cell>
          <cell r="B1160" t="str">
            <v/>
          </cell>
          <cell r="C1160" t="str">
            <v>Future</v>
          </cell>
          <cell r="D1160" t="e">
            <v>#N/A</v>
          </cell>
          <cell r="E1160">
            <v>-47.550830039525749</v>
          </cell>
          <cell r="F1160">
            <v>52.219920948617073</v>
          </cell>
          <cell r="G1160">
            <v>28.46498023715333</v>
          </cell>
          <cell r="H1160">
            <v>28.46498023715333</v>
          </cell>
          <cell r="I1160" t="e">
            <v>#N/A</v>
          </cell>
          <cell r="J1160" t="e">
            <v>#N/A</v>
          </cell>
          <cell r="K1160">
            <v>42</v>
          </cell>
          <cell r="L1160">
            <v>32</v>
          </cell>
          <cell r="M1160" t="e">
            <v>#N/A</v>
          </cell>
          <cell r="N1160">
            <v>37</v>
          </cell>
          <cell r="O1160" t="e">
            <v>#N/A</v>
          </cell>
          <cell r="P1160" t="str">
            <v/>
          </cell>
          <cell r="Q1160" t="str">
            <v/>
          </cell>
          <cell r="R1160" t="e">
            <v>#N/A</v>
          </cell>
        </row>
        <row r="1161">
          <cell r="A1161" t="str">
            <v/>
          </cell>
          <cell r="B1161" t="str">
            <v/>
          </cell>
          <cell r="C1161" t="str">
            <v>Future</v>
          </cell>
          <cell r="D1161" t="e">
            <v>#N/A</v>
          </cell>
          <cell r="E1161">
            <v>-47.687470355731286</v>
          </cell>
          <cell r="F1161">
            <v>52.24928853754988</v>
          </cell>
          <cell r="G1161">
            <v>28.454822134386532</v>
          </cell>
          <cell r="H1161">
            <v>28.454822134386532</v>
          </cell>
          <cell r="I1161" t="e">
            <v>#N/A</v>
          </cell>
          <cell r="J1161" t="e">
            <v>#N/A</v>
          </cell>
          <cell r="K1161">
            <v>42</v>
          </cell>
          <cell r="L1161">
            <v>32</v>
          </cell>
          <cell r="M1161" t="e">
            <v>#N/A</v>
          </cell>
          <cell r="N1161">
            <v>37</v>
          </cell>
          <cell r="O1161" t="e">
            <v>#N/A</v>
          </cell>
          <cell r="P1161" t="str">
            <v/>
          </cell>
          <cell r="Q1161" t="str">
            <v/>
          </cell>
          <cell r="R1161" t="e">
            <v>#N/A</v>
          </cell>
        </row>
        <row r="1162">
          <cell r="A1162" t="str">
            <v/>
          </cell>
          <cell r="B1162" t="str">
            <v/>
          </cell>
          <cell r="C1162" t="str">
            <v>Future</v>
          </cell>
          <cell r="D1162" t="e">
            <v>#N/A</v>
          </cell>
          <cell r="E1162">
            <v>-47.824110671936822</v>
          </cell>
          <cell r="F1162">
            <v>52.278656126482687</v>
          </cell>
          <cell r="G1162">
            <v>28.444664031619734</v>
          </cell>
          <cell r="H1162">
            <v>28.444664031619734</v>
          </cell>
          <cell r="I1162" t="e">
            <v>#N/A</v>
          </cell>
          <cell r="J1162" t="e">
            <v>#N/A</v>
          </cell>
          <cell r="K1162">
            <v>42</v>
          </cell>
          <cell r="L1162">
            <v>32</v>
          </cell>
          <cell r="M1162" t="e">
            <v>#N/A</v>
          </cell>
          <cell r="N1162">
            <v>37</v>
          </cell>
          <cell r="O1162" t="e">
            <v>#N/A</v>
          </cell>
          <cell r="P1162" t="str">
            <v/>
          </cell>
          <cell r="Q1162" t="str">
            <v/>
          </cell>
          <cell r="R1162" t="e">
            <v>#N/A</v>
          </cell>
        </row>
        <row r="1163">
          <cell r="A1163" t="str">
            <v/>
          </cell>
          <cell r="B1163" t="str">
            <v/>
          </cell>
          <cell r="C1163" t="str">
            <v>Future</v>
          </cell>
          <cell r="D1163" t="e">
            <v>#N/A</v>
          </cell>
          <cell r="E1163">
            <v>-47.960750988142358</v>
          </cell>
          <cell r="F1163">
            <v>52.308023715415494</v>
          </cell>
          <cell r="G1163">
            <v>28.434505928852936</v>
          </cell>
          <cell r="H1163">
            <v>28.434505928852936</v>
          </cell>
          <cell r="I1163" t="e">
            <v>#N/A</v>
          </cell>
          <cell r="J1163" t="e">
            <v>#N/A</v>
          </cell>
          <cell r="K1163">
            <v>42</v>
          </cell>
          <cell r="L1163">
            <v>32</v>
          </cell>
          <cell r="M1163" t="e">
            <v>#N/A</v>
          </cell>
          <cell r="N1163">
            <v>37</v>
          </cell>
          <cell r="O1163" t="e">
            <v>#N/A</v>
          </cell>
          <cell r="P1163" t="str">
            <v/>
          </cell>
          <cell r="Q1163" t="str">
            <v/>
          </cell>
          <cell r="R1163" t="e">
            <v>#N/A</v>
          </cell>
        </row>
        <row r="1164">
          <cell r="A1164" t="str">
            <v/>
          </cell>
          <cell r="B1164" t="str">
            <v/>
          </cell>
          <cell r="C1164" t="str">
            <v>Future</v>
          </cell>
          <cell r="D1164" t="e">
            <v>#N/A</v>
          </cell>
          <cell r="E1164">
            <v>-48.097391304347894</v>
          </cell>
          <cell r="F1164">
            <v>52.337391304348301</v>
          </cell>
          <cell r="G1164">
            <v>28.424347826086137</v>
          </cell>
          <cell r="H1164">
            <v>28.424347826086137</v>
          </cell>
          <cell r="I1164" t="e">
            <v>#N/A</v>
          </cell>
          <cell r="J1164" t="e">
            <v>#N/A</v>
          </cell>
          <cell r="K1164">
            <v>42</v>
          </cell>
          <cell r="L1164">
            <v>32</v>
          </cell>
          <cell r="M1164" t="e">
            <v>#N/A</v>
          </cell>
          <cell r="N1164">
            <v>37</v>
          </cell>
          <cell r="O1164" t="e">
            <v>#N/A</v>
          </cell>
          <cell r="P1164" t="str">
            <v/>
          </cell>
          <cell r="Q1164" t="str">
            <v/>
          </cell>
          <cell r="R1164" t="e">
            <v>#N/A</v>
          </cell>
        </row>
        <row r="1165">
          <cell r="A1165" t="str">
            <v/>
          </cell>
          <cell r="B1165" t="str">
            <v/>
          </cell>
          <cell r="C1165" t="str">
            <v>Future</v>
          </cell>
          <cell r="D1165" t="e">
            <v>#N/A</v>
          </cell>
          <cell r="E1165">
            <v>-48.234031620553431</v>
          </cell>
          <cell r="F1165">
            <v>52.366758893281109</v>
          </cell>
          <cell r="G1165">
            <v>28.414189723319339</v>
          </cell>
          <cell r="H1165">
            <v>28.414189723319339</v>
          </cell>
          <cell r="I1165" t="e">
            <v>#N/A</v>
          </cell>
          <cell r="J1165" t="e">
            <v>#N/A</v>
          </cell>
          <cell r="K1165">
            <v>42</v>
          </cell>
          <cell r="L1165">
            <v>32</v>
          </cell>
          <cell r="M1165" t="e">
            <v>#N/A</v>
          </cell>
          <cell r="N1165">
            <v>37</v>
          </cell>
          <cell r="O1165" t="e">
            <v>#N/A</v>
          </cell>
          <cell r="P1165" t="str">
            <v/>
          </cell>
          <cell r="Q1165" t="str">
            <v/>
          </cell>
          <cell r="R1165" t="e">
            <v>#N/A</v>
          </cell>
        </row>
        <row r="1166">
          <cell r="A1166" t="str">
            <v/>
          </cell>
          <cell r="B1166" t="str">
            <v/>
          </cell>
          <cell r="C1166" t="str">
            <v>Future</v>
          </cell>
          <cell r="D1166" t="e">
            <v>#N/A</v>
          </cell>
          <cell r="E1166">
            <v>-48.370671936758967</v>
          </cell>
          <cell r="F1166">
            <v>52.396126482213916</v>
          </cell>
          <cell r="G1166">
            <v>28.404031620552541</v>
          </cell>
          <cell r="H1166">
            <v>28.404031620552541</v>
          </cell>
          <cell r="I1166" t="e">
            <v>#N/A</v>
          </cell>
          <cell r="J1166" t="e">
            <v>#N/A</v>
          </cell>
          <cell r="K1166">
            <v>42</v>
          </cell>
          <cell r="L1166">
            <v>32</v>
          </cell>
          <cell r="M1166" t="e">
            <v>#N/A</v>
          </cell>
          <cell r="N1166">
            <v>37</v>
          </cell>
          <cell r="O1166" t="e">
            <v>#N/A</v>
          </cell>
          <cell r="P1166" t="str">
            <v/>
          </cell>
          <cell r="Q1166" t="str">
            <v/>
          </cell>
          <cell r="R1166" t="e">
            <v>#N/A</v>
          </cell>
        </row>
        <row r="1167">
          <cell r="A1167" t="str">
            <v/>
          </cell>
          <cell r="B1167" t="str">
            <v/>
          </cell>
          <cell r="C1167" t="str">
            <v>Future</v>
          </cell>
          <cell r="D1167" t="e">
            <v>#N/A</v>
          </cell>
          <cell r="E1167">
            <v>-48.507312252964503</v>
          </cell>
          <cell r="F1167">
            <v>52.425494071146723</v>
          </cell>
          <cell r="G1167">
            <v>28.393873517785742</v>
          </cell>
          <cell r="H1167">
            <v>28.393873517785742</v>
          </cell>
          <cell r="I1167" t="e">
            <v>#N/A</v>
          </cell>
          <cell r="J1167" t="e">
            <v>#N/A</v>
          </cell>
          <cell r="K1167">
            <v>42</v>
          </cell>
          <cell r="L1167">
            <v>32</v>
          </cell>
          <cell r="M1167" t="e">
            <v>#N/A</v>
          </cell>
          <cell r="N1167">
            <v>37</v>
          </cell>
          <cell r="O1167" t="e">
            <v>#N/A</v>
          </cell>
          <cell r="P1167" t="str">
            <v/>
          </cell>
          <cell r="Q1167" t="str">
            <v/>
          </cell>
          <cell r="R1167" t="e">
            <v>#N/A</v>
          </cell>
        </row>
        <row r="1168">
          <cell r="A1168" t="str">
            <v/>
          </cell>
          <cell r="B1168" t="str">
            <v/>
          </cell>
          <cell r="C1168" t="str">
            <v>Future</v>
          </cell>
          <cell r="D1168" t="e">
            <v>#N/A</v>
          </cell>
          <cell r="E1168">
            <v>-48.64395256917004</v>
          </cell>
          <cell r="F1168">
            <v>52.45486166007953</v>
          </cell>
          <cell r="G1168">
            <v>28.383715415018944</v>
          </cell>
          <cell r="H1168">
            <v>28.383715415018944</v>
          </cell>
          <cell r="I1168" t="e">
            <v>#N/A</v>
          </cell>
          <cell r="J1168" t="e">
            <v>#N/A</v>
          </cell>
          <cell r="K1168">
            <v>42</v>
          </cell>
          <cell r="L1168">
            <v>32</v>
          </cell>
          <cell r="M1168" t="e">
            <v>#N/A</v>
          </cell>
          <cell r="N1168">
            <v>37</v>
          </cell>
          <cell r="O1168" t="e">
            <v>#N/A</v>
          </cell>
          <cell r="P1168" t="str">
            <v/>
          </cell>
          <cell r="Q1168" t="str">
            <v/>
          </cell>
          <cell r="R1168" t="e">
            <v>#N/A</v>
          </cell>
        </row>
        <row r="1169">
          <cell r="A1169" t="str">
            <v/>
          </cell>
          <cell r="B1169" t="str">
            <v/>
          </cell>
          <cell r="C1169" t="str">
            <v>Future</v>
          </cell>
          <cell r="D1169" t="e">
            <v>#N/A</v>
          </cell>
          <cell r="E1169">
            <v>-48.780592885375576</v>
          </cell>
          <cell r="F1169">
            <v>52.484229249012337</v>
          </cell>
          <cell r="G1169">
            <v>28.373557312252146</v>
          </cell>
          <cell r="H1169">
            <v>28.373557312252146</v>
          </cell>
          <cell r="I1169" t="e">
            <v>#N/A</v>
          </cell>
          <cell r="J1169" t="e">
            <v>#N/A</v>
          </cell>
          <cell r="K1169">
            <v>42</v>
          </cell>
          <cell r="L1169">
            <v>32</v>
          </cell>
          <cell r="M1169" t="e">
            <v>#N/A</v>
          </cell>
          <cell r="N1169">
            <v>37</v>
          </cell>
          <cell r="O1169" t="e">
            <v>#N/A</v>
          </cell>
          <cell r="P1169" t="str">
            <v/>
          </cell>
          <cell r="Q1169" t="str">
            <v/>
          </cell>
          <cell r="R1169" t="e">
            <v>#N/A</v>
          </cell>
        </row>
        <row r="1170">
          <cell r="A1170" t="str">
            <v/>
          </cell>
          <cell r="B1170" t="str">
            <v/>
          </cell>
          <cell r="C1170" t="str">
            <v>Future</v>
          </cell>
          <cell r="D1170" t="e">
            <v>#N/A</v>
          </cell>
          <cell r="E1170">
            <v>-48.917233201581112</v>
          </cell>
          <cell r="F1170">
            <v>52.513596837945144</v>
          </cell>
          <cell r="G1170">
            <v>28.363399209485348</v>
          </cell>
          <cell r="H1170">
            <v>28.363399209485348</v>
          </cell>
          <cell r="I1170" t="e">
            <v>#N/A</v>
          </cell>
          <cell r="J1170" t="e">
            <v>#N/A</v>
          </cell>
          <cell r="K1170">
            <v>42</v>
          </cell>
          <cell r="L1170">
            <v>32</v>
          </cell>
          <cell r="M1170" t="e">
            <v>#N/A</v>
          </cell>
          <cell r="N1170">
            <v>37</v>
          </cell>
          <cell r="O1170" t="e">
            <v>#N/A</v>
          </cell>
          <cell r="P1170" t="str">
            <v/>
          </cell>
          <cell r="Q1170" t="str">
            <v/>
          </cell>
          <cell r="R1170" t="e">
            <v>#N/A</v>
          </cell>
        </row>
        <row r="1171">
          <cell r="A1171" t="str">
            <v/>
          </cell>
          <cell r="B1171" t="str">
            <v/>
          </cell>
          <cell r="C1171" t="str">
            <v>Future</v>
          </cell>
          <cell r="D1171" t="e">
            <v>#N/A</v>
          </cell>
          <cell r="E1171">
            <v>-49.053873517786649</v>
          </cell>
          <cell r="F1171">
            <v>52.542964426877951</v>
          </cell>
          <cell r="G1171">
            <v>28.353241106718549</v>
          </cell>
          <cell r="H1171">
            <v>28.353241106718549</v>
          </cell>
          <cell r="I1171" t="e">
            <v>#N/A</v>
          </cell>
          <cell r="J1171" t="e">
            <v>#N/A</v>
          </cell>
          <cell r="K1171">
            <v>42</v>
          </cell>
          <cell r="L1171">
            <v>32</v>
          </cell>
          <cell r="M1171" t="e">
            <v>#N/A</v>
          </cell>
          <cell r="N1171">
            <v>37</v>
          </cell>
          <cell r="O1171" t="e">
            <v>#N/A</v>
          </cell>
          <cell r="P1171" t="str">
            <v/>
          </cell>
          <cell r="Q1171" t="str">
            <v/>
          </cell>
          <cell r="R1171" t="e">
            <v>#N/A</v>
          </cell>
        </row>
        <row r="1172">
          <cell r="A1172" t="str">
            <v/>
          </cell>
          <cell r="B1172" t="str">
            <v/>
          </cell>
          <cell r="C1172" t="str">
            <v>Future</v>
          </cell>
          <cell r="D1172" t="e">
            <v>#N/A</v>
          </cell>
          <cell r="E1172">
            <v>-49.190513833992185</v>
          </cell>
          <cell r="F1172">
            <v>52.572332015810758</v>
          </cell>
          <cell r="G1172">
            <v>28.343083003951751</v>
          </cell>
          <cell r="H1172">
            <v>28.343083003951751</v>
          </cell>
          <cell r="I1172" t="e">
            <v>#N/A</v>
          </cell>
          <cell r="J1172" t="e">
            <v>#N/A</v>
          </cell>
          <cell r="K1172">
            <v>42</v>
          </cell>
          <cell r="L1172">
            <v>32</v>
          </cell>
          <cell r="M1172" t="e">
            <v>#N/A</v>
          </cell>
          <cell r="N1172">
            <v>37</v>
          </cell>
          <cell r="O1172" t="e">
            <v>#N/A</v>
          </cell>
          <cell r="P1172" t="str">
            <v/>
          </cell>
          <cell r="Q1172" t="str">
            <v/>
          </cell>
          <cell r="R1172" t="e">
            <v>#N/A</v>
          </cell>
        </row>
        <row r="1173">
          <cell r="A1173" t="str">
            <v/>
          </cell>
          <cell r="B1173" t="str">
            <v/>
          </cell>
          <cell r="C1173" t="str">
            <v>Future</v>
          </cell>
          <cell r="D1173" t="e">
            <v>#N/A</v>
          </cell>
          <cell r="E1173">
            <v>-49.327154150197721</v>
          </cell>
          <cell r="F1173">
            <v>52.601699604743565</v>
          </cell>
          <cell r="G1173">
            <v>28.332924901184953</v>
          </cell>
          <cell r="H1173">
            <v>28.332924901184953</v>
          </cell>
          <cell r="I1173" t="e">
            <v>#N/A</v>
          </cell>
          <cell r="J1173" t="e">
            <v>#N/A</v>
          </cell>
          <cell r="K1173">
            <v>42</v>
          </cell>
          <cell r="L1173">
            <v>32</v>
          </cell>
          <cell r="M1173" t="e">
            <v>#N/A</v>
          </cell>
          <cell r="N1173">
            <v>37</v>
          </cell>
          <cell r="O1173" t="e">
            <v>#N/A</v>
          </cell>
          <cell r="P1173" t="str">
            <v/>
          </cell>
          <cell r="Q1173" t="str">
            <v/>
          </cell>
          <cell r="R1173" t="e">
            <v>#N/A</v>
          </cell>
        </row>
        <row r="1174">
          <cell r="A1174" t="str">
            <v/>
          </cell>
          <cell r="B1174" t="str">
            <v/>
          </cell>
          <cell r="C1174" t="str">
            <v>Future</v>
          </cell>
          <cell r="D1174" t="e">
            <v>#N/A</v>
          </cell>
          <cell r="E1174">
            <v>-49.463794466403257</v>
          </cell>
          <cell r="F1174">
            <v>52.631067193676373</v>
          </cell>
          <cell r="G1174">
            <v>28.322766798418154</v>
          </cell>
          <cell r="H1174">
            <v>28.322766798418154</v>
          </cell>
          <cell r="I1174" t="e">
            <v>#N/A</v>
          </cell>
          <cell r="J1174" t="e">
            <v>#N/A</v>
          </cell>
          <cell r="K1174">
            <v>42</v>
          </cell>
          <cell r="L1174">
            <v>32</v>
          </cell>
          <cell r="M1174" t="e">
            <v>#N/A</v>
          </cell>
          <cell r="N1174">
            <v>37</v>
          </cell>
          <cell r="O1174" t="e">
            <v>#N/A</v>
          </cell>
          <cell r="P1174" t="str">
            <v/>
          </cell>
          <cell r="Q1174" t="str">
            <v/>
          </cell>
          <cell r="R1174" t="e">
            <v>#N/A</v>
          </cell>
        </row>
        <row r="1175">
          <cell r="A1175" t="str">
            <v/>
          </cell>
          <cell r="B1175" t="str">
            <v/>
          </cell>
          <cell r="C1175" t="str">
            <v>Future</v>
          </cell>
          <cell r="D1175" t="e">
            <v>#N/A</v>
          </cell>
          <cell r="E1175">
            <v>-49.600434782608794</v>
          </cell>
          <cell r="F1175">
            <v>52.66043478260918</v>
          </cell>
          <cell r="G1175">
            <v>28.312608695651356</v>
          </cell>
          <cell r="H1175">
            <v>28.312608695651356</v>
          </cell>
          <cell r="I1175" t="e">
            <v>#N/A</v>
          </cell>
          <cell r="J1175" t="e">
            <v>#N/A</v>
          </cell>
          <cell r="K1175">
            <v>42</v>
          </cell>
          <cell r="L1175">
            <v>32</v>
          </cell>
          <cell r="M1175" t="e">
            <v>#N/A</v>
          </cell>
          <cell r="N1175">
            <v>37</v>
          </cell>
          <cell r="O1175" t="e">
            <v>#N/A</v>
          </cell>
          <cell r="P1175" t="str">
            <v/>
          </cell>
          <cell r="Q1175" t="str">
            <v/>
          </cell>
          <cell r="R1175" t="e">
            <v>#N/A</v>
          </cell>
        </row>
        <row r="1176">
          <cell r="A1176" t="str">
            <v/>
          </cell>
          <cell r="B1176" t="str">
            <v/>
          </cell>
          <cell r="C1176" t="str">
            <v>Future</v>
          </cell>
          <cell r="D1176" t="e">
            <v>#N/A</v>
          </cell>
          <cell r="E1176">
            <v>-49.73707509881433</v>
          </cell>
          <cell r="F1176">
            <v>52.689802371541987</v>
          </cell>
          <cell r="G1176">
            <v>28.302450592884558</v>
          </cell>
          <cell r="H1176">
            <v>28.302450592884558</v>
          </cell>
          <cell r="I1176" t="e">
            <v>#N/A</v>
          </cell>
          <cell r="J1176" t="e">
            <v>#N/A</v>
          </cell>
          <cell r="K1176">
            <v>42</v>
          </cell>
          <cell r="L1176">
            <v>32</v>
          </cell>
          <cell r="M1176" t="e">
            <v>#N/A</v>
          </cell>
          <cell r="N1176">
            <v>37</v>
          </cell>
          <cell r="O1176" t="e">
            <v>#N/A</v>
          </cell>
          <cell r="P1176" t="str">
            <v/>
          </cell>
          <cell r="Q1176" t="str">
            <v/>
          </cell>
          <cell r="R1176" t="e">
            <v>#N/A</v>
          </cell>
        </row>
        <row r="1177">
          <cell r="A1177" t="str">
            <v/>
          </cell>
          <cell r="B1177" t="str">
            <v/>
          </cell>
          <cell r="C1177" t="str">
            <v>Future</v>
          </cell>
          <cell r="D1177" t="e">
            <v>#N/A</v>
          </cell>
          <cell r="E1177">
            <v>-49.873715415019866</v>
          </cell>
          <cell r="F1177">
            <v>52.719169960474794</v>
          </cell>
          <cell r="G1177">
            <v>28.292292490117759</v>
          </cell>
          <cell r="H1177">
            <v>28.292292490117759</v>
          </cell>
          <cell r="I1177" t="e">
            <v>#N/A</v>
          </cell>
          <cell r="J1177" t="e">
            <v>#N/A</v>
          </cell>
          <cell r="K1177">
            <v>42</v>
          </cell>
          <cell r="L1177">
            <v>32</v>
          </cell>
          <cell r="M1177" t="e">
            <v>#N/A</v>
          </cell>
          <cell r="N1177">
            <v>37</v>
          </cell>
          <cell r="O1177" t="e">
            <v>#N/A</v>
          </cell>
          <cell r="P1177" t="str">
            <v/>
          </cell>
          <cell r="Q1177" t="str">
            <v/>
          </cell>
          <cell r="R1177" t="e">
            <v>#N/A</v>
          </cell>
        </row>
        <row r="1178">
          <cell r="A1178" t="str">
            <v/>
          </cell>
          <cell r="B1178" t="str">
            <v/>
          </cell>
          <cell r="C1178" t="str">
            <v>Future</v>
          </cell>
          <cell r="D1178" t="e">
            <v>#N/A</v>
          </cell>
          <cell r="E1178">
            <v>-50.010355731225403</v>
          </cell>
          <cell r="F1178">
            <v>52.748537549407601</v>
          </cell>
          <cell r="G1178">
            <v>28.282134387350961</v>
          </cell>
          <cell r="H1178">
            <v>28.282134387350961</v>
          </cell>
          <cell r="I1178" t="e">
            <v>#N/A</v>
          </cell>
          <cell r="J1178" t="e">
            <v>#N/A</v>
          </cell>
          <cell r="K1178">
            <v>42</v>
          </cell>
          <cell r="L1178">
            <v>32</v>
          </cell>
          <cell r="M1178" t="e">
            <v>#N/A</v>
          </cell>
          <cell r="N1178">
            <v>37</v>
          </cell>
          <cell r="O1178" t="e">
            <v>#N/A</v>
          </cell>
          <cell r="P1178" t="str">
            <v/>
          </cell>
          <cell r="Q1178" t="str">
            <v/>
          </cell>
          <cell r="R1178" t="e">
            <v>#N/A</v>
          </cell>
        </row>
        <row r="1179">
          <cell r="A1179" t="str">
            <v/>
          </cell>
          <cell r="B1179" t="str">
            <v/>
          </cell>
          <cell r="C1179" t="str">
            <v>Future</v>
          </cell>
          <cell r="D1179" t="e">
            <v>#N/A</v>
          </cell>
          <cell r="E1179">
            <v>-50.146996047430939</v>
          </cell>
          <cell r="F1179">
            <v>52.777905138340408</v>
          </cell>
          <cell r="G1179">
            <v>28.271976284584163</v>
          </cell>
          <cell r="H1179">
            <v>28.271976284584163</v>
          </cell>
          <cell r="I1179" t="e">
            <v>#N/A</v>
          </cell>
          <cell r="J1179" t="e">
            <v>#N/A</v>
          </cell>
          <cell r="K1179">
            <v>42</v>
          </cell>
          <cell r="L1179">
            <v>32</v>
          </cell>
          <cell r="M1179" t="e">
            <v>#N/A</v>
          </cell>
          <cell r="N1179">
            <v>37</v>
          </cell>
          <cell r="O1179" t="e">
            <v>#N/A</v>
          </cell>
          <cell r="P1179" t="str">
            <v/>
          </cell>
          <cell r="Q1179" t="str">
            <v/>
          </cell>
          <cell r="R1179" t="e">
            <v>#N/A</v>
          </cell>
        </row>
        <row r="1180">
          <cell r="A1180" t="str">
            <v/>
          </cell>
          <cell r="B1180" t="str">
            <v/>
          </cell>
          <cell r="C1180" t="str">
            <v>Future</v>
          </cell>
          <cell r="D1180" t="e">
            <v>#N/A</v>
          </cell>
          <cell r="E1180">
            <v>-50.283636363636475</v>
          </cell>
          <cell r="F1180">
            <v>52.807272727273215</v>
          </cell>
          <cell r="G1180">
            <v>28.261818181817365</v>
          </cell>
          <cell r="H1180">
            <v>28.261818181817365</v>
          </cell>
          <cell r="I1180" t="e">
            <v>#N/A</v>
          </cell>
          <cell r="J1180" t="e">
            <v>#N/A</v>
          </cell>
          <cell r="K1180">
            <v>42</v>
          </cell>
          <cell r="L1180">
            <v>32</v>
          </cell>
          <cell r="M1180" t="e">
            <v>#N/A</v>
          </cell>
          <cell r="N1180">
            <v>37</v>
          </cell>
          <cell r="O1180" t="e">
            <v>#N/A</v>
          </cell>
          <cell r="P1180" t="str">
            <v/>
          </cell>
          <cell r="Q1180" t="str">
            <v/>
          </cell>
          <cell r="R1180" t="e">
            <v>#N/A</v>
          </cell>
        </row>
        <row r="1181">
          <cell r="A1181" t="str">
            <v/>
          </cell>
          <cell r="B1181" t="str">
            <v/>
          </cell>
          <cell r="C1181" t="str">
            <v>Future</v>
          </cell>
          <cell r="D1181" t="e">
            <v>#N/A</v>
          </cell>
          <cell r="E1181">
            <v>-50.420276679842011</v>
          </cell>
          <cell r="F1181">
            <v>52.836640316206022</v>
          </cell>
          <cell r="G1181">
            <v>28.251660079050566</v>
          </cell>
          <cell r="H1181">
            <v>28.251660079050566</v>
          </cell>
          <cell r="I1181" t="e">
            <v>#N/A</v>
          </cell>
          <cell r="J1181" t="e">
            <v>#N/A</v>
          </cell>
          <cell r="K1181">
            <v>42</v>
          </cell>
          <cell r="L1181">
            <v>32</v>
          </cell>
          <cell r="M1181" t="e">
            <v>#N/A</v>
          </cell>
          <cell r="N1181">
            <v>37</v>
          </cell>
          <cell r="O1181" t="e">
            <v>#N/A</v>
          </cell>
          <cell r="P1181" t="str">
            <v/>
          </cell>
          <cell r="Q1181" t="str">
            <v/>
          </cell>
          <cell r="R1181" t="e">
            <v>#N/A</v>
          </cell>
        </row>
        <row r="1182">
          <cell r="A1182" t="str">
            <v/>
          </cell>
          <cell r="B1182" t="str">
            <v/>
          </cell>
          <cell r="C1182" t="str">
            <v>Future</v>
          </cell>
          <cell r="D1182" t="e">
            <v>#N/A</v>
          </cell>
          <cell r="E1182">
            <v>-50.556916996047548</v>
          </cell>
          <cell r="F1182">
            <v>52.866007905138829</v>
          </cell>
          <cell r="G1182">
            <v>28.241501976283768</v>
          </cell>
          <cell r="H1182">
            <v>28.241501976283768</v>
          </cell>
          <cell r="I1182" t="e">
            <v>#N/A</v>
          </cell>
          <cell r="J1182" t="e">
            <v>#N/A</v>
          </cell>
          <cell r="K1182">
            <v>42</v>
          </cell>
          <cell r="L1182">
            <v>32</v>
          </cell>
          <cell r="M1182" t="e">
            <v>#N/A</v>
          </cell>
          <cell r="N1182">
            <v>37</v>
          </cell>
          <cell r="O1182" t="e">
            <v>#N/A</v>
          </cell>
          <cell r="P1182" t="str">
            <v/>
          </cell>
          <cell r="Q1182" t="str">
            <v/>
          </cell>
          <cell r="R1182" t="e">
            <v>#N/A</v>
          </cell>
        </row>
        <row r="1183">
          <cell r="A1183" t="str">
            <v/>
          </cell>
          <cell r="B1183" t="str">
            <v/>
          </cell>
          <cell r="C1183" t="str">
            <v>Future</v>
          </cell>
          <cell r="D1183" t="e">
            <v>#N/A</v>
          </cell>
          <cell r="E1183">
            <v>-50.693557312253084</v>
          </cell>
          <cell r="F1183">
            <v>52.895375494071637</v>
          </cell>
          <cell r="G1183">
            <v>28.23134387351697</v>
          </cell>
          <cell r="H1183">
            <v>28.23134387351697</v>
          </cell>
          <cell r="I1183" t="e">
            <v>#N/A</v>
          </cell>
          <cell r="J1183" t="e">
            <v>#N/A</v>
          </cell>
          <cell r="K1183">
            <v>42</v>
          </cell>
          <cell r="L1183">
            <v>32</v>
          </cell>
          <cell r="M1183" t="e">
            <v>#N/A</v>
          </cell>
          <cell r="N1183">
            <v>37</v>
          </cell>
          <cell r="O1183" t="e">
            <v>#N/A</v>
          </cell>
          <cell r="P1183" t="str">
            <v/>
          </cell>
          <cell r="Q1183" t="str">
            <v/>
          </cell>
          <cell r="R1183" t="e">
            <v>#N/A</v>
          </cell>
        </row>
        <row r="1184">
          <cell r="A1184" t="str">
            <v/>
          </cell>
          <cell r="B1184" t="str">
            <v/>
          </cell>
          <cell r="C1184" t="str">
            <v>Future</v>
          </cell>
          <cell r="D1184" t="e">
            <v>#N/A</v>
          </cell>
          <cell r="E1184">
            <v>-50.83019762845862</v>
          </cell>
          <cell r="F1184">
            <v>52.924743083004444</v>
          </cell>
          <cell r="G1184">
            <v>28.221185770750171</v>
          </cell>
          <cell r="H1184">
            <v>28.221185770750171</v>
          </cell>
          <cell r="I1184" t="e">
            <v>#N/A</v>
          </cell>
          <cell r="J1184" t="e">
            <v>#N/A</v>
          </cell>
          <cell r="K1184">
            <v>42</v>
          </cell>
          <cell r="L1184">
            <v>32</v>
          </cell>
          <cell r="M1184" t="e">
            <v>#N/A</v>
          </cell>
          <cell r="N1184">
            <v>37</v>
          </cell>
          <cell r="O1184" t="e">
            <v>#N/A</v>
          </cell>
          <cell r="P1184" t="str">
            <v/>
          </cell>
          <cell r="Q1184" t="str">
            <v/>
          </cell>
          <cell r="R1184" t="e">
            <v>#N/A</v>
          </cell>
        </row>
        <row r="1185">
          <cell r="A1185" t="str">
            <v/>
          </cell>
          <cell r="B1185" t="str">
            <v/>
          </cell>
          <cell r="C1185" t="str">
            <v>Future</v>
          </cell>
          <cell r="D1185" t="e">
            <v>#N/A</v>
          </cell>
          <cell r="E1185">
            <v>-50.966837944664157</v>
          </cell>
          <cell r="F1185">
            <v>52.954110671937251</v>
          </cell>
          <cell r="G1185">
            <v>28.211027667983373</v>
          </cell>
          <cell r="H1185">
            <v>28.211027667983373</v>
          </cell>
          <cell r="I1185" t="e">
            <v>#N/A</v>
          </cell>
          <cell r="J1185" t="e">
            <v>#N/A</v>
          </cell>
          <cell r="K1185">
            <v>42</v>
          </cell>
          <cell r="L1185">
            <v>32</v>
          </cell>
          <cell r="M1185" t="e">
            <v>#N/A</v>
          </cell>
          <cell r="N1185">
            <v>37</v>
          </cell>
          <cell r="O1185" t="e">
            <v>#N/A</v>
          </cell>
          <cell r="P1185" t="str">
            <v/>
          </cell>
          <cell r="Q1185" t="str">
            <v/>
          </cell>
          <cell r="R1185" t="e">
            <v>#N/A</v>
          </cell>
        </row>
        <row r="1186">
          <cell r="A1186" t="str">
            <v/>
          </cell>
          <cell r="B1186" t="str">
            <v/>
          </cell>
          <cell r="C1186" t="str">
            <v>Future</v>
          </cell>
          <cell r="D1186" t="e">
            <v>#N/A</v>
          </cell>
          <cell r="E1186">
            <v>-51.103478260869693</v>
          </cell>
          <cell r="F1186">
            <v>52.983478260870058</v>
          </cell>
          <cell r="G1186">
            <v>28.200869565216575</v>
          </cell>
          <cell r="H1186">
            <v>28.200869565216575</v>
          </cell>
          <cell r="I1186" t="e">
            <v>#N/A</v>
          </cell>
          <cell r="J1186" t="e">
            <v>#N/A</v>
          </cell>
          <cell r="K1186">
            <v>42</v>
          </cell>
          <cell r="L1186">
            <v>32</v>
          </cell>
          <cell r="M1186" t="e">
            <v>#N/A</v>
          </cell>
          <cell r="N1186">
            <v>37</v>
          </cell>
          <cell r="O1186" t="e">
            <v>#N/A</v>
          </cell>
          <cell r="P1186" t="str">
            <v/>
          </cell>
          <cell r="Q1186" t="str">
            <v/>
          </cell>
          <cell r="R1186" t="e">
            <v>#N/A</v>
          </cell>
        </row>
        <row r="1187">
          <cell r="A1187" t="str">
            <v/>
          </cell>
          <cell r="B1187" t="str">
            <v/>
          </cell>
          <cell r="C1187" t="str">
            <v>Future</v>
          </cell>
          <cell r="D1187" t="e">
            <v>#N/A</v>
          </cell>
          <cell r="E1187">
            <v>-51.240118577075229</v>
          </cell>
          <cell r="F1187">
            <v>53.012845849802865</v>
          </cell>
          <cell r="G1187">
            <v>28.190711462449777</v>
          </cell>
          <cell r="H1187">
            <v>28.190711462449777</v>
          </cell>
          <cell r="I1187" t="e">
            <v>#N/A</v>
          </cell>
          <cell r="J1187" t="e">
            <v>#N/A</v>
          </cell>
          <cell r="K1187">
            <v>42</v>
          </cell>
          <cell r="L1187">
            <v>32</v>
          </cell>
          <cell r="M1187" t="e">
            <v>#N/A</v>
          </cell>
          <cell r="N1187">
            <v>37</v>
          </cell>
          <cell r="O1187" t="e">
            <v>#N/A</v>
          </cell>
          <cell r="P1187" t="str">
            <v/>
          </cell>
          <cell r="Q1187" t="str">
            <v/>
          </cell>
          <cell r="R1187" t="e">
            <v>#N/A</v>
          </cell>
        </row>
        <row r="1188">
          <cell r="A1188" t="str">
            <v/>
          </cell>
          <cell r="B1188" t="str">
            <v/>
          </cell>
          <cell r="C1188" t="str">
            <v>Future</v>
          </cell>
          <cell r="D1188" t="e">
            <v>#N/A</v>
          </cell>
          <cell r="E1188">
            <v>-51.376758893280766</v>
          </cell>
          <cell r="F1188">
            <v>53.042213438735672</v>
          </cell>
          <cell r="G1188">
            <v>28.180553359682978</v>
          </cell>
          <cell r="H1188">
            <v>28.180553359682978</v>
          </cell>
          <cell r="I1188" t="e">
            <v>#N/A</v>
          </cell>
          <cell r="J1188" t="e">
            <v>#N/A</v>
          </cell>
          <cell r="K1188">
            <v>42</v>
          </cell>
          <cell r="L1188">
            <v>32</v>
          </cell>
          <cell r="M1188" t="e">
            <v>#N/A</v>
          </cell>
          <cell r="N1188">
            <v>37</v>
          </cell>
          <cell r="O1188" t="e">
            <v>#N/A</v>
          </cell>
          <cell r="P1188" t="str">
            <v/>
          </cell>
          <cell r="Q1188" t="str">
            <v/>
          </cell>
          <cell r="R1188" t="e">
            <v>#N/A</v>
          </cell>
        </row>
        <row r="1189">
          <cell r="A1189" t="str">
            <v/>
          </cell>
          <cell r="B1189" t="str">
            <v/>
          </cell>
          <cell r="C1189" t="str">
            <v>Future</v>
          </cell>
          <cell r="D1189" t="e">
            <v>#N/A</v>
          </cell>
          <cell r="E1189">
            <v>-51.513399209486302</v>
          </cell>
          <cell r="F1189">
            <v>53.071581027668479</v>
          </cell>
          <cell r="G1189">
            <v>28.17039525691618</v>
          </cell>
          <cell r="H1189">
            <v>28.17039525691618</v>
          </cell>
          <cell r="I1189" t="e">
            <v>#N/A</v>
          </cell>
          <cell r="J1189" t="e">
            <v>#N/A</v>
          </cell>
          <cell r="K1189">
            <v>42</v>
          </cell>
          <cell r="L1189">
            <v>32</v>
          </cell>
          <cell r="M1189" t="e">
            <v>#N/A</v>
          </cell>
          <cell r="N1189">
            <v>37</v>
          </cell>
          <cell r="O1189" t="e">
            <v>#N/A</v>
          </cell>
          <cell r="P1189" t="str">
            <v/>
          </cell>
          <cell r="Q1189" t="str">
            <v/>
          </cell>
          <cell r="R1189" t="e">
            <v>#N/A</v>
          </cell>
        </row>
        <row r="1190">
          <cell r="A1190" t="str">
            <v/>
          </cell>
          <cell r="B1190" t="str">
            <v/>
          </cell>
          <cell r="C1190" t="str">
            <v>Future</v>
          </cell>
          <cell r="D1190" t="e">
            <v>#N/A</v>
          </cell>
          <cell r="E1190">
            <v>-51.650039525691838</v>
          </cell>
          <cell r="F1190">
            <v>53.100948616601286</v>
          </cell>
          <cell r="G1190">
            <v>28.160237154149382</v>
          </cell>
          <cell r="H1190">
            <v>28.160237154149382</v>
          </cell>
          <cell r="I1190" t="e">
            <v>#N/A</v>
          </cell>
          <cell r="J1190" t="e">
            <v>#N/A</v>
          </cell>
          <cell r="K1190">
            <v>42</v>
          </cell>
          <cell r="L1190">
            <v>32</v>
          </cell>
          <cell r="M1190" t="e">
            <v>#N/A</v>
          </cell>
          <cell r="N1190">
            <v>37</v>
          </cell>
          <cell r="O1190" t="e">
            <v>#N/A</v>
          </cell>
          <cell r="P1190" t="str">
            <v/>
          </cell>
          <cell r="Q1190" t="str">
            <v/>
          </cell>
          <cell r="R1190" t="e">
            <v>#N/A</v>
          </cell>
        </row>
        <row r="1191">
          <cell r="A1191" t="str">
            <v/>
          </cell>
          <cell r="B1191" t="str">
            <v/>
          </cell>
          <cell r="C1191" t="str">
            <v>Future</v>
          </cell>
          <cell r="D1191" t="e">
            <v>#N/A</v>
          </cell>
          <cell r="E1191">
            <v>-51.786679841897374</v>
          </cell>
          <cell r="F1191">
            <v>53.130316205534093</v>
          </cell>
          <cell r="G1191">
            <v>28.150079051382583</v>
          </cell>
          <cell r="H1191">
            <v>28.150079051382583</v>
          </cell>
          <cell r="I1191" t="e">
            <v>#N/A</v>
          </cell>
          <cell r="J1191" t="e">
            <v>#N/A</v>
          </cell>
          <cell r="K1191">
            <v>42</v>
          </cell>
          <cell r="L1191">
            <v>32</v>
          </cell>
          <cell r="M1191" t="e">
            <v>#N/A</v>
          </cell>
          <cell r="N1191">
            <v>37</v>
          </cell>
          <cell r="O1191" t="e">
            <v>#N/A</v>
          </cell>
          <cell r="P1191" t="str">
            <v/>
          </cell>
          <cell r="Q1191" t="str">
            <v/>
          </cell>
          <cell r="R1191" t="e">
            <v>#N/A</v>
          </cell>
        </row>
        <row r="1192">
          <cell r="A1192" t="str">
            <v/>
          </cell>
          <cell r="B1192" t="str">
            <v/>
          </cell>
          <cell r="C1192" t="str">
            <v>Future</v>
          </cell>
          <cell r="D1192" t="e">
            <v>#N/A</v>
          </cell>
          <cell r="E1192">
            <v>-51.923320158102911</v>
          </cell>
          <cell r="F1192">
            <v>53.159683794466901</v>
          </cell>
          <cell r="G1192">
            <v>28.139920948615785</v>
          </cell>
          <cell r="H1192">
            <v>28.139920948615785</v>
          </cell>
          <cell r="I1192" t="e">
            <v>#N/A</v>
          </cell>
          <cell r="J1192" t="e">
            <v>#N/A</v>
          </cell>
          <cell r="K1192">
            <v>42</v>
          </cell>
          <cell r="L1192">
            <v>32</v>
          </cell>
          <cell r="M1192" t="e">
            <v>#N/A</v>
          </cell>
          <cell r="N1192">
            <v>37</v>
          </cell>
          <cell r="O1192" t="e">
            <v>#N/A</v>
          </cell>
          <cell r="P1192" t="str">
            <v/>
          </cell>
          <cell r="Q1192" t="str">
            <v/>
          </cell>
          <cell r="R1192" t="e">
            <v>#N/A</v>
          </cell>
        </row>
        <row r="1193">
          <cell r="A1193" t="str">
            <v/>
          </cell>
          <cell r="B1193" t="str">
            <v/>
          </cell>
          <cell r="C1193" t="str">
            <v>Future</v>
          </cell>
          <cell r="D1193" t="e">
            <v>#N/A</v>
          </cell>
          <cell r="E1193">
            <v>-52.059960474308447</v>
          </cell>
          <cell r="F1193">
            <v>53.189051383399708</v>
          </cell>
          <cell r="G1193">
            <v>28.129762845848987</v>
          </cell>
          <cell r="H1193">
            <v>28.129762845848987</v>
          </cell>
          <cell r="I1193" t="e">
            <v>#N/A</v>
          </cell>
          <cell r="J1193" t="e">
            <v>#N/A</v>
          </cell>
          <cell r="K1193">
            <v>42</v>
          </cell>
          <cell r="L1193">
            <v>32</v>
          </cell>
          <cell r="M1193" t="e">
            <v>#N/A</v>
          </cell>
          <cell r="N1193">
            <v>37</v>
          </cell>
          <cell r="O1193" t="e">
            <v>#N/A</v>
          </cell>
          <cell r="P1193" t="str">
            <v/>
          </cell>
          <cell r="Q1193" t="str">
            <v/>
          </cell>
          <cell r="R1193" t="e">
            <v>#N/A</v>
          </cell>
        </row>
        <row r="1194">
          <cell r="A1194" t="str">
            <v/>
          </cell>
          <cell r="B1194" t="str">
            <v/>
          </cell>
          <cell r="C1194" t="str">
            <v>Future</v>
          </cell>
          <cell r="D1194" t="e">
            <v>#N/A</v>
          </cell>
          <cell r="E1194">
            <v>-52.196600790513983</v>
          </cell>
          <cell r="F1194">
            <v>53.218418972332515</v>
          </cell>
          <cell r="G1194">
            <v>28.119604743082188</v>
          </cell>
          <cell r="H1194">
            <v>28.119604743082188</v>
          </cell>
          <cell r="I1194" t="e">
            <v>#N/A</v>
          </cell>
          <cell r="J1194" t="e">
            <v>#N/A</v>
          </cell>
          <cell r="K1194">
            <v>42</v>
          </cell>
          <cell r="L1194">
            <v>32</v>
          </cell>
          <cell r="M1194" t="e">
            <v>#N/A</v>
          </cell>
          <cell r="N1194">
            <v>37</v>
          </cell>
          <cell r="O1194" t="e">
            <v>#N/A</v>
          </cell>
          <cell r="P1194" t="str">
            <v/>
          </cell>
          <cell r="Q1194" t="str">
            <v/>
          </cell>
          <cell r="R1194" t="e">
            <v>#N/A</v>
          </cell>
        </row>
        <row r="1195">
          <cell r="A1195" t="str">
            <v/>
          </cell>
          <cell r="B1195" t="str">
            <v/>
          </cell>
          <cell r="C1195" t="str">
            <v>Future</v>
          </cell>
          <cell r="D1195" t="e">
            <v>#N/A</v>
          </cell>
          <cell r="E1195">
            <v>-52.33324110671952</v>
          </cell>
          <cell r="F1195">
            <v>53.247786561265322</v>
          </cell>
          <cell r="G1195">
            <v>28.10944664031539</v>
          </cell>
          <cell r="H1195">
            <v>28.10944664031539</v>
          </cell>
          <cell r="I1195" t="e">
            <v>#N/A</v>
          </cell>
          <cell r="J1195" t="e">
            <v>#N/A</v>
          </cell>
          <cell r="K1195">
            <v>42</v>
          </cell>
          <cell r="L1195">
            <v>32</v>
          </cell>
          <cell r="M1195" t="e">
            <v>#N/A</v>
          </cell>
          <cell r="N1195">
            <v>37</v>
          </cell>
          <cell r="O1195" t="e">
            <v>#N/A</v>
          </cell>
          <cell r="P1195" t="str">
            <v/>
          </cell>
          <cell r="Q1195" t="str">
            <v/>
          </cell>
          <cell r="R1195" t="e">
            <v>#N/A</v>
          </cell>
        </row>
        <row r="1196">
          <cell r="A1196" t="str">
            <v/>
          </cell>
          <cell r="B1196" t="str">
            <v/>
          </cell>
          <cell r="C1196" t="str">
            <v>Future</v>
          </cell>
          <cell r="D1196" t="e">
            <v>#N/A</v>
          </cell>
          <cell r="E1196">
            <v>-52.469881422925056</v>
          </cell>
          <cell r="F1196">
            <v>53.277154150198129</v>
          </cell>
          <cell r="G1196">
            <v>28.099288537548592</v>
          </cell>
          <cell r="H1196">
            <v>28.099288537548592</v>
          </cell>
          <cell r="I1196" t="e">
            <v>#N/A</v>
          </cell>
          <cell r="J1196" t="e">
            <v>#N/A</v>
          </cell>
          <cell r="K1196">
            <v>42</v>
          </cell>
          <cell r="L1196">
            <v>32</v>
          </cell>
          <cell r="M1196" t="e">
            <v>#N/A</v>
          </cell>
          <cell r="N1196">
            <v>37</v>
          </cell>
          <cell r="O1196" t="e">
            <v>#N/A</v>
          </cell>
          <cell r="P1196" t="str">
            <v/>
          </cell>
          <cell r="Q1196" t="str">
            <v/>
          </cell>
          <cell r="R1196" t="e">
            <v>#N/A</v>
          </cell>
        </row>
        <row r="1197">
          <cell r="A1197" t="str">
            <v/>
          </cell>
          <cell r="B1197" t="str">
            <v/>
          </cell>
          <cell r="C1197" t="str">
            <v>Future</v>
          </cell>
          <cell r="D1197" t="e">
            <v>#N/A</v>
          </cell>
          <cell r="E1197">
            <v>-52.606521739130592</v>
          </cell>
          <cell r="F1197">
            <v>53.306521739130936</v>
          </cell>
          <cell r="G1197">
            <v>28.089130434781794</v>
          </cell>
          <cell r="H1197">
            <v>28.089130434781794</v>
          </cell>
          <cell r="I1197" t="e">
            <v>#N/A</v>
          </cell>
          <cell r="J1197" t="e">
            <v>#N/A</v>
          </cell>
          <cell r="K1197">
            <v>42</v>
          </cell>
          <cell r="L1197">
            <v>32</v>
          </cell>
          <cell r="M1197" t="e">
            <v>#N/A</v>
          </cell>
          <cell r="N1197">
            <v>37</v>
          </cell>
          <cell r="O1197" t="e">
            <v>#N/A</v>
          </cell>
          <cell r="P1197" t="str">
            <v/>
          </cell>
          <cell r="Q1197" t="str">
            <v/>
          </cell>
          <cell r="R1197" t="e">
            <v>#N/A</v>
          </cell>
        </row>
        <row r="1198">
          <cell r="A1198" t="str">
            <v/>
          </cell>
          <cell r="B1198" t="str">
            <v/>
          </cell>
          <cell r="C1198" t="str">
            <v>Future</v>
          </cell>
          <cell r="D1198" t="e">
            <v>#N/A</v>
          </cell>
          <cell r="E1198">
            <v>-52.743162055336128</v>
          </cell>
          <cell r="F1198">
            <v>53.335889328063743</v>
          </cell>
          <cell r="G1198">
            <v>28.078972332014995</v>
          </cell>
          <cell r="H1198">
            <v>28.078972332014995</v>
          </cell>
          <cell r="I1198" t="e">
            <v>#N/A</v>
          </cell>
          <cell r="J1198" t="e">
            <v>#N/A</v>
          </cell>
          <cell r="K1198">
            <v>42</v>
          </cell>
          <cell r="L1198">
            <v>32</v>
          </cell>
          <cell r="M1198" t="e">
            <v>#N/A</v>
          </cell>
          <cell r="N1198">
            <v>37</v>
          </cell>
          <cell r="O1198" t="e">
            <v>#N/A</v>
          </cell>
          <cell r="P1198" t="str">
            <v/>
          </cell>
          <cell r="Q1198" t="str">
            <v/>
          </cell>
          <cell r="R1198" t="e">
            <v>#N/A</v>
          </cell>
        </row>
        <row r="1199">
          <cell r="A1199" t="str">
            <v/>
          </cell>
          <cell r="B1199" t="str">
            <v/>
          </cell>
          <cell r="C1199" t="str">
            <v>Future</v>
          </cell>
          <cell r="D1199" t="e">
            <v>#N/A</v>
          </cell>
          <cell r="E1199">
            <v>-52.879802371541665</v>
          </cell>
          <cell r="F1199">
            <v>53.36525691699655</v>
          </cell>
          <cell r="G1199">
            <v>28.068814229248197</v>
          </cell>
          <cell r="H1199">
            <v>28.068814229248197</v>
          </cell>
          <cell r="I1199" t="e">
            <v>#N/A</v>
          </cell>
          <cell r="J1199" t="e">
            <v>#N/A</v>
          </cell>
          <cell r="K1199">
            <v>42</v>
          </cell>
          <cell r="L1199">
            <v>32</v>
          </cell>
          <cell r="M1199" t="e">
            <v>#N/A</v>
          </cell>
          <cell r="N1199">
            <v>37</v>
          </cell>
          <cell r="O1199" t="e">
            <v>#N/A</v>
          </cell>
          <cell r="P1199" t="str">
            <v/>
          </cell>
          <cell r="Q1199" t="str">
            <v/>
          </cell>
          <cell r="R1199" t="e">
            <v>#N/A</v>
          </cell>
        </row>
        <row r="1200">
          <cell r="A1200" t="str">
            <v/>
          </cell>
          <cell r="B1200" t="str">
            <v/>
          </cell>
          <cell r="C1200" t="str">
            <v>Future</v>
          </cell>
          <cell r="D1200" t="e">
            <v>#N/A</v>
          </cell>
          <cell r="E1200">
            <v>-53.016442687747201</v>
          </cell>
          <cell r="F1200">
            <v>53.394624505929357</v>
          </cell>
          <cell r="G1200">
            <v>28.058656126481399</v>
          </cell>
          <cell r="H1200">
            <v>28.058656126481399</v>
          </cell>
          <cell r="I1200" t="e">
            <v>#N/A</v>
          </cell>
          <cell r="J1200" t="e">
            <v>#N/A</v>
          </cell>
          <cell r="K1200">
            <v>42</v>
          </cell>
          <cell r="L1200">
            <v>32</v>
          </cell>
          <cell r="M1200" t="e">
            <v>#N/A</v>
          </cell>
          <cell r="N1200">
            <v>37</v>
          </cell>
          <cell r="O1200" t="e">
            <v>#N/A</v>
          </cell>
          <cell r="P1200" t="str">
            <v/>
          </cell>
          <cell r="Q1200" t="str">
            <v/>
          </cell>
          <cell r="R1200" t="e">
            <v>#N/A</v>
          </cell>
        </row>
        <row r="1201">
          <cell r="A1201" t="str">
            <v/>
          </cell>
          <cell r="B1201" t="str">
            <v/>
          </cell>
          <cell r="C1201" t="str">
            <v>Future</v>
          </cell>
          <cell r="D1201" t="e">
            <v>#N/A</v>
          </cell>
          <cell r="E1201">
            <v>-53.153083003952737</v>
          </cell>
          <cell r="F1201">
            <v>53.423992094862164</v>
          </cell>
          <cell r="G1201">
            <v>28.0484980237146</v>
          </cell>
          <cell r="H1201">
            <v>28.0484980237146</v>
          </cell>
          <cell r="I1201" t="e">
            <v>#N/A</v>
          </cell>
          <cell r="J1201" t="e">
            <v>#N/A</v>
          </cell>
          <cell r="K1201">
            <v>42</v>
          </cell>
          <cell r="L1201">
            <v>32</v>
          </cell>
          <cell r="M1201" t="e">
            <v>#N/A</v>
          </cell>
          <cell r="N1201">
            <v>37</v>
          </cell>
          <cell r="O1201" t="e">
            <v>#N/A</v>
          </cell>
          <cell r="P1201" t="str">
            <v/>
          </cell>
          <cell r="Q1201" t="str">
            <v/>
          </cell>
          <cell r="R1201" t="e">
            <v>#N/A</v>
          </cell>
        </row>
        <row r="1202">
          <cell r="A1202" t="str">
            <v/>
          </cell>
          <cell r="B1202" t="str">
            <v/>
          </cell>
          <cell r="C1202" t="str">
            <v>Future</v>
          </cell>
          <cell r="D1202" t="e">
            <v>#N/A</v>
          </cell>
          <cell r="E1202">
            <v>-53.289723320158274</v>
          </cell>
          <cell r="F1202">
            <v>53.453359683794972</v>
          </cell>
          <cell r="G1202">
            <v>28.038339920947802</v>
          </cell>
          <cell r="H1202">
            <v>28.038339920947802</v>
          </cell>
          <cell r="I1202" t="e">
            <v>#N/A</v>
          </cell>
          <cell r="J1202" t="e">
            <v>#N/A</v>
          </cell>
          <cell r="K1202">
            <v>42</v>
          </cell>
          <cell r="L1202">
            <v>32</v>
          </cell>
          <cell r="M1202" t="e">
            <v>#N/A</v>
          </cell>
          <cell r="N1202">
            <v>37</v>
          </cell>
          <cell r="O1202" t="e">
            <v>#N/A</v>
          </cell>
          <cell r="P1202" t="str">
            <v/>
          </cell>
          <cell r="Q1202" t="str">
            <v/>
          </cell>
          <cell r="R1202" t="e">
            <v>#N/A</v>
          </cell>
        </row>
        <row r="1203">
          <cell r="A1203" t="str">
            <v/>
          </cell>
          <cell r="B1203" t="str">
            <v/>
          </cell>
          <cell r="C1203" t="str">
            <v>Future</v>
          </cell>
          <cell r="D1203" t="e">
            <v>#N/A</v>
          </cell>
          <cell r="E1203">
            <v>-53.42636363636381</v>
          </cell>
          <cell r="F1203">
            <v>53.482727272727779</v>
          </cell>
          <cell r="G1203">
            <v>28.028181818181004</v>
          </cell>
          <cell r="H1203">
            <v>28.028181818181004</v>
          </cell>
          <cell r="I1203" t="e">
            <v>#N/A</v>
          </cell>
          <cell r="J1203" t="e">
            <v>#N/A</v>
          </cell>
          <cell r="K1203">
            <v>42</v>
          </cell>
          <cell r="L1203">
            <v>32</v>
          </cell>
          <cell r="M1203" t="e">
            <v>#N/A</v>
          </cell>
          <cell r="N1203">
            <v>37</v>
          </cell>
          <cell r="O1203" t="e">
            <v>#N/A</v>
          </cell>
          <cell r="P1203" t="str">
            <v/>
          </cell>
          <cell r="Q1203" t="str">
            <v/>
          </cell>
          <cell r="R1203" t="e">
            <v>#N/A</v>
          </cell>
        </row>
        <row r="1204">
          <cell r="A1204" t="str">
            <v/>
          </cell>
          <cell r="B1204" t="str">
            <v/>
          </cell>
          <cell r="C1204" t="str">
            <v>Future</v>
          </cell>
          <cell r="D1204" t="e">
            <v>#N/A</v>
          </cell>
          <cell r="E1204">
            <v>-53.563003952569346</v>
          </cell>
          <cell r="F1204">
            <v>53.512094861660586</v>
          </cell>
          <cell r="G1204">
            <v>28.018023715414206</v>
          </cell>
          <cell r="H1204">
            <v>28.018023715414206</v>
          </cell>
          <cell r="I1204" t="e">
            <v>#N/A</v>
          </cell>
          <cell r="J1204" t="e">
            <v>#N/A</v>
          </cell>
          <cell r="K1204">
            <v>42</v>
          </cell>
          <cell r="L1204">
            <v>32</v>
          </cell>
          <cell r="M1204" t="e">
            <v>#N/A</v>
          </cell>
          <cell r="N1204">
            <v>37</v>
          </cell>
          <cell r="O1204" t="e">
            <v>#N/A</v>
          </cell>
          <cell r="P1204" t="str">
            <v/>
          </cell>
          <cell r="Q1204" t="str">
            <v/>
          </cell>
          <cell r="R1204" t="e">
            <v>#N/A</v>
          </cell>
        </row>
        <row r="1205">
          <cell r="A1205" t="str">
            <v/>
          </cell>
          <cell r="B1205" t="str">
            <v/>
          </cell>
          <cell r="C1205" t="str">
            <v>Future</v>
          </cell>
          <cell r="D1205" t="e">
            <v>#N/A</v>
          </cell>
          <cell r="E1205">
            <v>-53.699644268774883</v>
          </cell>
          <cell r="F1205">
            <v>53.541462450593393</v>
          </cell>
          <cell r="G1205">
            <v>28.007865612647407</v>
          </cell>
          <cell r="H1205">
            <v>28.007865612647407</v>
          </cell>
          <cell r="I1205" t="e">
            <v>#N/A</v>
          </cell>
          <cell r="J1205" t="e">
            <v>#N/A</v>
          </cell>
          <cell r="K1205">
            <v>42</v>
          </cell>
          <cell r="L1205">
            <v>32</v>
          </cell>
          <cell r="M1205" t="e">
            <v>#N/A</v>
          </cell>
          <cell r="N1205">
            <v>37</v>
          </cell>
          <cell r="O1205" t="e">
            <v>#N/A</v>
          </cell>
          <cell r="P1205" t="str">
            <v/>
          </cell>
          <cell r="Q1205" t="str">
            <v/>
          </cell>
          <cell r="R1205" t="e">
            <v>#N/A</v>
          </cell>
        </row>
        <row r="1206">
          <cell r="A1206" t="str">
            <v/>
          </cell>
          <cell r="B1206" t="str">
            <v/>
          </cell>
          <cell r="C1206" t="str">
            <v>Future</v>
          </cell>
          <cell r="D1206" t="e">
            <v>#N/A</v>
          </cell>
          <cell r="E1206">
            <v>-53.836284584980419</v>
          </cell>
          <cell r="F1206">
            <v>53.5708300395262</v>
          </cell>
          <cell r="G1206">
            <v>27.997707509880609</v>
          </cell>
          <cell r="H1206">
            <v>27.997707509880609</v>
          </cell>
          <cell r="I1206" t="e">
            <v>#N/A</v>
          </cell>
          <cell r="J1206" t="e">
            <v>#N/A</v>
          </cell>
          <cell r="K1206">
            <v>42</v>
          </cell>
          <cell r="L1206">
            <v>32</v>
          </cell>
          <cell r="M1206" t="e">
            <v>#N/A</v>
          </cell>
          <cell r="N1206">
            <v>37</v>
          </cell>
          <cell r="O1206" t="e">
            <v>#N/A</v>
          </cell>
          <cell r="P1206" t="str">
            <v/>
          </cell>
          <cell r="Q1206" t="str">
            <v/>
          </cell>
          <cell r="R1206" t="e">
            <v>#N/A</v>
          </cell>
        </row>
        <row r="1207">
          <cell r="A1207" t="str">
            <v/>
          </cell>
          <cell r="B1207" t="str">
            <v/>
          </cell>
          <cell r="C1207" t="str">
            <v>Future</v>
          </cell>
          <cell r="D1207" t="e">
            <v>#N/A</v>
          </cell>
          <cell r="E1207">
            <v>-53.972924901185955</v>
          </cell>
          <cell r="F1207">
            <v>53.600197628459007</v>
          </cell>
          <cell r="G1207">
            <v>27.987549407113811</v>
          </cell>
          <cell r="H1207">
            <v>27.987549407113811</v>
          </cell>
          <cell r="I1207" t="e">
            <v>#N/A</v>
          </cell>
          <cell r="J1207" t="e">
            <v>#N/A</v>
          </cell>
          <cell r="K1207">
            <v>42</v>
          </cell>
          <cell r="L1207">
            <v>32</v>
          </cell>
          <cell r="M1207" t="e">
            <v>#N/A</v>
          </cell>
          <cell r="N1207">
            <v>37</v>
          </cell>
          <cell r="O1207" t="e">
            <v>#N/A</v>
          </cell>
          <cell r="P1207" t="str">
            <v/>
          </cell>
          <cell r="Q1207" t="str">
            <v/>
          </cell>
          <cell r="R1207" t="e">
            <v>#N/A</v>
          </cell>
        </row>
        <row r="1208">
          <cell r="A1208" t="str">
            <v/>
          </cell>
          <cell r="B1208" t="str">
            <v/>
          </cell>
          <cell r="C1208" t="str">
            <v>Future</v>
          </cell>
          <cell r="D1208" t="e">
            <v>#N/A</v>
          </cell>
          <cell r="E1208">
            <v>-54.109565217391491</v>
          </cell>
          <cell r="F1208">
            <v>53.629565217391814</v>
          </cell>
          <cell r="G1208">
            <v>27.977391304347012</v>
          </cell>
          <cell r="H1208">
            <v>27.977391304347012</v>
          </cell>
          <cell r="I1208" t="e">
            <v>#N/A</v>
          </cell>
          <cell r="J1208" t="e">
            <v>#N/A</v>
          </cell>
          <cell r="K1208">
            <v>42</v>
          </cell>
          <cell r="L1208">
            <v>32</v>
          </cell>
          <cell r="M1208" t="e">
            <v>#N/A</v>
          </cell>
          <cell r="N1208">
            <v>37</v>
          </cell>
          <cell r="O1208" t="e">
            <v>#N/A</v>
          </cell>
          <cell r="P1208" t="str">
            <v/>
          </cell>
          <cell r="Q1208" t="str">
            <v/>
          </cell>
          <cell r="R1208" t="e">
            <v>#N/A</v>
          </cell>
        </row>
        <row r="1209">
          <cell r="A1209" t="str">
            <v/>
          </cell>
          <cell r="B1209" t="str">
            <v/>
          </cell>
          <cell r="C1209" t="str">
            <v>Future</v>
          </cell>
          <cell r="D1209" t="e">
            <v>#N/A</v>
          </cell>
          <cell r="E1209">
            <v>-54.246205533597028</v>
          </cell>
          <cell r="F1209">
            <v>53.658932806324621</v>
          </cell>
          <cell r="G1209">
            <v>27.967233201580214</v>
          </cell>
          <cell r="H1209">
            <v>27.967233201580214</v>
          </cell>
          <cell r="I1209" t="e">
            <v>#N/A</v>
          </cell>
          <cell r="J1209" t="e">
            <v>#N/A</v>
          </cell>
          <cell r="K1209">
            <v>42</v>
          </cell>
          <cell r="L1209">
            <v>32</v>
          </cell>
          <cell r="M1209" t="e">
            <v>#N/A</v>
          </cell>
          <cell r="N1209">
            <v>37</v>
          </cell>
          <cell r="O1209" t="e">
            <v>#N/A</v>
          </cell>
          <cell r="P1209" t="str">
            <v/>
          </cell>
          <cell r="Q1209" t="str">
            <v/>
          </cell>
          <cell r="R1209" t="e">
            <v>#N/A</v>
          </cell>
        </row>
        <row r="1210">
          <cell r="A1210" t="str">
            <v/>
          </cell>
          <cell r="B1210" t="str">
            <v/>
          </cell>
          <cell r="C1210" t="str">
            <v>Future</v>
          </cell>
          <cell r="D1210" t="e">
            <v>#N/A</v>
          </cell>
          <cell r="E1210">
            <v>-54.382845849802564</v>
          </cell>
          <cell r="F1210">
            <v>53.688300395257428</v>
          </cell>
          <cell r="G1210">
            <v>27.957075098813416</v>
          </cell>
          <cell r="H1210">
            <v>27.957075098813416</v>
          </cell>
          <cell r="I1210" t="e">
            <v>#N/A</v>
          </cell>
          <cell r="J1210" t="e">
            <v>#N/A</v>
          </cell>
          <cell r="K1210">
            <v>42</v>
          </cell>
          <cell r="L1210">
            <v>32</v>
          </cell>
          <cell r="M1210" t="e">
            <v>#N/A</v>
          </cell>
          <cell r="N1210">
            <v>37</v>
          </cell>
          <cell r="O1210" t="e">
            <v>#N/A</v>
          </cell>
          <cell r="P1210" t="str">
            <v/>
          </cell>
          <cell r="Q1210" t="str">
            <v/>
          </cell>
          <cell r="R1210" t="e">
            <v>#N/A</v>
          </cell>
        </row>
        <row r="1211">
          <cell r="A1211" t="str">
            <v/>
          </cell>
          <cell r="B1211" t="str">
            <v/>
          </cell>
          <cell r="C1211" t="str">
            <v>Future</v>
          </cell>
          <cell r="D1211" t="e">
            <v>#N/A</v>
          </cell>
          <cell r="E1211">
            <v>-54.5194861660081</v>
          </cell>
          <cell r="F1211">
            <v>53.717667984190236</v>
          </cell>
          <cell r="G1211">
            <v>27.946916996046617</v>
          </cell>
          <cell r="H1211">
            <v>27.946916996046617</v>
          </cell>
          <cell r="I1211" t="e">
            <v>#N/A</v>
          </cell>
          <cell r="J1211" t="e">
            <v>#N/A</v>
          </cell>
          <cell r="K1211">
            <v>42</v>
          </cell>
          <cell r="L1211">
            <v>32</v>
          </cell>
          <cell r="M1211" t="e">
            <v>#N/A</v>
          </cell>
          <cell r="N1211">
            <v>37</v>
          </cell>
          <cell r="O1211" t="e">
            <v>#N/A</v>
          </cell>
          <cell r="P1211" t="str">
            <v/>
          </cell>
          <cell r="Q1211" t="str">
            <v/>
          </cell>
          <cell r="R1211" t="e">
            <v>#N/A</v>
          </cell>
        </row>
        <row r="1212">
          <cell r="A1212" t="str">
            <v/>
          </cell>
          <cell r="B1212" t="str">
            <v/>
          </cell>
          <cell r="C1212" t="str">
            <v>Future</v>
          </cell>
          <cell r="D1212" t="e">
            <v>#N/A</v>
          </cell>
          <cell r="E1212">
            <v>-54.656126482213637</v>
          </cell>
          <cell r="F1212">
            <v>53.747035573123043</v>
          </cell>
          <cell r="G1212">
            <v>27.936758893279819</v>
          </cell>
          <cell r="H1212">
            <v>27.936758893279819</v>
          </cell>
          <cell r="I1212" t="e">
            <v>#N/A</v>
          </cell>
          <cell r="J1212" t="e">
            <v>#N/A</v>
          </cell>
          <cell r="K1212">
            <v>42</v>
          </cell>
          <cell r="L1212">
            <v>32</v>
          </cell>
          <cell r="M1212" t="e">
            <v>#N/A</v>
          </cell>
          <cell r="N1212">
            <v>37</v>
          </cell>
          <cell r="O1212" t="e">
            <v>#N/A</v>
          </cell>
          <cell r="P1212" t="str">
            <v/>
          </cell>
          <cell r="Q1212" t="str">
            <v/>
          </cell>
          <cell r="R1212" t="e">
            <v>#N/A</v>
          </cell>
        </row>
        <row r="1213">
          <cell r="A1213" t="str">
            <v/>
          </cell>
          <cell r="B1213" t="str">
            <v/>
          </cell>
          <cell r="C1213" t="str">
            <v>Future</v>
          </cell>
          <cell r="D1213" t="e">
            <v>#N/A</v>
          </cell>
          <cell r="E1213">
            <v>-54.792766798419173</v>
          </cell>
          <cell r="F1213">
            <v>53.77640316205585</v>
          </cell>
          <cell r="G1213">
            <v>27.926600790513021</v>
          </cell>
          <cell r="H1213">
            <v>27.926600790513021</v>
          </cell>
          <cell r="I1213" t="e">
            <v>#N/A</v>
          </cell>
          <cell r="J1213" t="e">
            <v>#N/A</v>
          </cell>
          <cell r="K1213">
            <v>42</v>
          </cell>
          <cell r="L1213">
            <v>32</v>
          </cell>
          <cell r="M1213" t="e">
            <v>#N/A</v>
          </cell>
          <cell r="N1213">
            <v>37</v>
          </cell>
          <cell r="O1213" t="e">
            <v>#N/A</v>
          </cell>
          <cell r="P1213" t="str">
            <v/>
          </cell>
          <cell r="Q1213" t="str">
            <v/>
          </cell>
          <cell r="R1213" t="e">
            <v>#N/A</v>
          </cell>
        </row>
        <row r="1214">
          <cell r="A1214" t="str">
            <v/>
          </cell>
          <cell r="B1214" t="str">
            <v/>
          </cell>
          <cell r="C1214" t="str">
            <v>Future</v>
          </cell>
          <cell r="D1214" t="e">
            <v>#N/A</v>
          </cell>
          <cell r="E1214">
            <v>-54.929407114624709</v>
          </cell>
          <cell r="F1214">
            <v>53.805770750988657</v>
          </cell>
          <cell r="G1214">
            <v>27.916442687746223</v>
          </cell>
          <cell r="H1214">
            <v>27.916442687746223</v>
          </cell>
          <cell r="I1214" t="e">
            <v>#N/A</v>
          </cell>
          <cell r="J1214" t="e">
            <v>#N/A</v>
          </cell>
          <cell r="K1214">
            <v>42</v>
          </cell>
          <cell r="L1214">
            <v>32</v>
          </cell>
          <cell r="M1214" t="e">
            <v>#N/A</v>
          </cell>
          <cell r="N1214">
            <v>37</v>
          </cell>
          <cell r="O1214" t="e">
            <v>#N/A</v>
          </cell>
          <cell r="P1214" t="str">
            <v/>
          </cell>
          <cell r="Q1214" t="str">
            <v/>
          </cell>
          <cell r="R1214" t="e">
            <v>#N/A</v>
          </cell>
        </row>
        <row r="1215">
          <cell r="A1215" t="str">
            <v/>
          </cell>
          <cell r="B1215" t="str">
            <v/>
          </cell>
          <cell r="C1215" t="str">
            <v>Future</v>
          </cell>
          <cell r="D1215" t="e">
            <v>#N/A</v>
          </cell>
          <cell r="E1215">
            <v>-55.066047430830245</v>
          </cell>
          <cell r="F1215">
            <v>53.835138339921464</v>
          </cell>
          <cell r="G1215">
            <v>27.906284584979424</v>
          </cell>
          <cell r="H1215">
            <v>27.906284584979424</v>
          </cell>
          <cell r="I1215" t="e">
            <v>#N/A</v>
          </cell>
          <cell r="J1215" t="e">
            <v>#N/A</v>
          </cell>
          <cell r="K1215">
            <v>42</v>
          </cell>
          <cell r="L1215">
            <v>32</v>
          </cell>
          <cell r="M1215" t="e">
            <v>#N/A</v>
          </cell>
          <cell r="N1215">
            <v>37</v>
          </cell>
          <cell r="O1215" t="e">
            <v>#N/A</v>
          </cell>
          <cell r="P1215" t="str">
            <v/>
          </cell>
          <cell r="Q1215" t="str">
            <v/>
          </cell>
          <cell r="R1215" t="e">
            <v>#N/A</v>
          </cell>
        </row>
        <row r="1216">
          <cell r="A1216" t="str">
            <v/>
          </cell>
          <cell r="B1216" t="str">
            <v/>
          </cell>
          <cell r="C1216" t="str">
            <v>Future</v>
          </cell>
          <cell r="D1216" t="e">
            <v>#N/A</v>
          </cell>
          <cell r="E1216">
            <v>-55.202687747035782</v>
          </cell>
          <cell r="F1216">
            <v>53.864505928854271</v>
          </cell>
          <cell r="G1216">
            <v>27.896126482212626</v>
          </cell>
          <cell r="H1216">
            <v>27.896126482212626</v>
          </cell>
          <cell r="I1216" t="e">
            <v>#N/A</v>
          </cell>
          <cell r="J1216" t="e">
            <v>#N/A</v>
          </cell>
          <cell r="K1216">
            <v>42</v>
          </cell>
          <cell r="L1216">
            <v>32</v>
          </cell>
          <cell r="M1216" t="e">
            <v>#N/A</v>
          </cell>
          <cell r="N1216">
            <v>37</v>
          </cell>
          <cell r="O1216" t="e">
            <v>#N/A</v>
          </cell>
          <cell r="P1216" t="str">
            <v/>
          </cell>
          <cell r="Q1216" t="str">
            <v/>
          </cell>
          <cell r="R1216" t="e">
            <v>#N/A</v>
          </cell>
        </row>
        <row r="1217">
          <cell r="A1217" t="str">
            <v/>
          </cell>
          <cell r="B1217" t="str">
            <v/>
          </cell>
          <cell r="C1217" t="str">
            <v>Future</v>
          </cell>
          <cell r="D1217" t="e">
            <v>#N/A</v>
          </cell>
          <cell r="E1217">
            <v>-55.339328063241318</v>
          </cell>
          <cell r="F1217">
            <v>53.893873517787078</v>
          </cell>
          <cell r="G1217">
            <v>27.885968379445828</v>
          </cell>
          <cell r="H1217">
            <v>27.885968379445828</v>
          </cell>
          <cell r="I1217" t="e">
            <v>#N/A</v>
          </cell>
          <cell r="J1217" t="e">
            <v>#N/A</v>
          </cell>
          <cell r="K1217">
            <v>42</v>
          </cell>
          <cell r="L1217">
            <v>32</v>
          </cell>
          <cell r="M1217" t="e">
            <v>#N/A</v>
          </cell>
          <cell r="N1217">
            <v>37</v>
          </cell>
          <cell r="O1217" t="e">
            <v>#N/A</v>
          </cell>
          <cell r="P1217" t="str">
            <v/>
          </cell>
          <cell r="Q1217" t="str">
            <v/>
          </cell>
          <cell r="R1217" t="e">
            <v>#N/A</v>
          </cell>
        </row>
        <row r="1218">
          <cell r="A1218" t="str">
            <v/>
          </cell>
          <cell r="B1218" t="str">
            <v/>
          </cell>
          <cell r="C1218" t="str">
            <v>Future</v>
          </cell>
          <cell r="D1218" t="e">
            <v>#N/A</v>
          </cell>
          <cell r="E1218">
            <v>-55.475968379446854</v>
          </cell>
          <cell r="F1218">
            <v>53.923241106719885</v>
          </cell>
          <cell r="G1218">
            <v>27.875810276679029</v>
          </cell>
          <cell r="H1218">
            <v>27.875810276679029</v>
          </cell>
          <cell r="I1218" t="e">
            <v>#N/A</v>
          </cell>
          <cell r="J1218" t="e">
            <v>#N/A</v>
          </cell>
          <cell r="K1218">
            <v>42</v>
          </cell>
          <cell r="L1218">
            <v>32</v>
          </cell>
          <cell r="M1218" t="e">
            <v>#N/A</v>
          </cell>
          <cell r="N1218">
            <v>37</v>
          </cell>
          <cell r="O1218" t="e">
            <v>#N/A</v>
          </cell>
          <cell r="P1218" t="str">
            <v/>
          </cell>
          <cell r="Q1218" t="str">
            <v/>
          </cell>
          <cell r="R1218" t="e">
            <v>#N/A</v>
          </cell>
        </row>
        <row r="1219">
          <cell r="A1219" t="str">
            <v/>
          </cell>
          <cell r="B1219" t="str">
            <v/>
          </cell>
          <cell r="C1219" t="str">
            <v>Future</v>
          </cell>
          <cell r="D1219" t="e">
            <v>#N/A</v>
          </cell>
          <cell r="E1219">
            <v>-55.612608695652391</v>
          </cell>
          <cell r="F1219">
            <v>53.952608695652692</v>
          </cell>
          <cell r="G1219">
            <v>27.865652173912231</v>
          </cell>
          <cell r="H1219">
            <v>27.865652173912231</v>
          </cell>
          <cell r="I1219" t="e">
            <v>#N/A</v>
          </cell>
          <cell r="J1219" t="e">
            <v>#N/A</v>
          </cell>
          <cell r="K1219">
            <v>42</v>
          </cell>
          <cell r="L1219">
            <v>32</v>
          </cell>
          <cell r="M1219" t="e">
            <v>#N/A</v>
          </cell>
          <cell r="N1219">
            <v>37</v>
          </cell>
          <cell r="O1219" t="e">
            <v>#N/A</v>
          </cell>
          <cell r="P1219" t="str">
            <v/>
          </cell>
          <cell r="Q1219" t="str">
            <v/>
          </cell>
          <cell r="R1219" t="e">
            <v>#N/A</v>
          </cell>
        </row>
        <row r="1220">
          <cell r="A1220" t="str">
            <v/>
          </cell>
          <cell r="B1220" t="str">
            <v/>
          </cell>
          <cell r="C1220" t="str">
            <v>Future</v>
          </cell>
          <cell r="D1220" t="e">
            <v>#N/A</v>
          </cell>
          <cell r="E1220">
            <v>-55.749249011857927</v>
          </cell>
          <cell r="F1220">
            <v>53.9819762845855</v>
          </cell>
          <cell r="G1220">
            <v>27.855494071145433</v>
          </cell>
          <cell r="H1220">
            <v>27.855494071145433</v>
          </cell>
          <cell r="I1220" t="e">
            <v>#N/A</v>
          </cell>
          <cell r="J1220" t="e">
            <v>#N/A</v>
          </cell>
          <cell r="K1220">
            <v>42</v>
          </cell>
          <cell r="L1220">
            <v>32</v>
          </cell>
          <cell r="M1220" t="e">
            <v>#N/A</v>
          </cell>
          <cell r="N1220">
            <v>37</v>
          </cell>
          <cell r="O1220" t="e">
            <v>#N/A</v>
          </cell>
          <cell r="P1220" t="str">
            <v/>
          </cell>
          <cell r="Q1220" t="str">
            <v/>
          </cell>
          <cell r="R1220" t="e">
            <v>#N/A</v>
          </cell>
        </row>
        <row r="1221">
          <cell r="A1221" t="str">
            <v/>
          </cell>
          <cell r="B1221" t="str">
            <v/>
          </cell>
          <cell r="C1221" t="str">
            <v>Future</v>
          </cell>
          <cell r="D1221" t="e">
            <v>#N/A</v>
          </cell>
          <cell r="E1221">
            <v>-55.885889328063463</v>
          </cell>
          <cell r="F1221">
            <v>54.011343873518307</v>
          </cell>
          <cell r="G1221">
            <v>27.845335968378635</v>
          </cell>
          <cell r="H1221">
            <v>27.845335968378635</v>
          </cell>
          <cell r="I1221" t="e">
            <v>#N/A</v>
          </cell>
          <cell r="J1221" t="e">
            <v>#N/A</v>
          </cell>
          <cell r="K1221">
            <v>42</v>
          </cell>
          <cell r="L1221">
            <v>32</v>
          </cell>
          <cell r="M1221" t="e">
            <v>#N/A</v>
          </cell>
          <cell r="N1221">
            <v>37</v>
          </cell>
          <cell r="O1221" t="e">
            <v>#N/A</v>
          </cell>
          <cell r="P1221" t="str">
            <v/>
          </cell>
          <cell r="Q1221" t="str">
            <v/>
          </cell>
          <cell r="R1221" t="e">
            <v>#N/A</v>
          </cell>
        </row>
        <row r="1222">
          <cell r="A1222" t="str">
            <v/>
          </cell>
          <cell r="B1222" t="str">
            <v/>
          </cell>
          <cell r="C1222" t="str">
            <v>Future</v>
          </cell>
          <cell r="D1222" t="e">
            <v>#N/A</v>
          </cell>
          <cell r="E1222">
            <v>-56.022529644269</v>
          </cell>
          <cell r="F1222">
            <v>54.040711462451114</v>
          </cell>
          <cell r="G1222">
            <v>27.835177865611836</v>
          </cell>
          <cell r="H1222">
            <v>27.835177865611836</v>
          </cell>
          <cell r="I1222" t="e">
            <v>#N/A</v>
          </cell>
          <cell r="J1222" t="e">
            <v>#N/A</v>
          </cell>
          <cell r="K1222">
            <v>42</v>
          </cell>
          <cell r="L1222">
            <v>32</v>
          </cell>
          <cell r="M1222" t="e">
            <v>#N/A</v>
          </cell>
          <cell r="N1222">
            <v>37</v>
          </cell>
          <cell r="O1222" t="e">
            <v>#N/A</v>
          </cell>
          <cell r="P1222" t="str">
            <v/>
          </cell>
          <cell r="Q1222" t="str">
            <v/>
          </cell>
          <cell r="R1222" t="e">
            <v>#N/A</v>
          </cell>
        </row>
        <row r="1223">
          <cell r="A1223" t="str">
            <v/>
          </cell>
          <cell r="B1223" t="str">
            <v/>
          </cell>
          <cell r="C1223" t="str">
            <v>Future</v>
          </cell>
          <cell r="D1223" t="e">
            <v>#N/A</v>
          </cell>
          <cell r="E1223">
            <v>-56.159169960474536</v>
          </cell>
          <cell r="F1223">
            <v>54.070079051383921</v>
          </cell>
          <cell r="G1223">
            <v>27.825019762845038</v>
          </cell>
          <cell r="H1223">
            <v>27.825019762845038</v>
          </cell>
          <cell r="I1223" t="e">
            <v>#N/A</v>
          </cell>
          <cell r="J1223" t="e">
            <v>#N/A</v>
          </cell>
          <cell r="K1223">
            <v>42</v>
          </cell>
          <cell r="L1223">
            <v>32</v>
          </cell>
          <cell r="M1223" t="e">
            <v>#N/A</v>
          </cell>
          <cell r="N1223">
            <v>37</v>
          </cell>
          <cell r="O1223" t="e">
            <v>#N/A</v>
          </cell>
          <cell r="P1223" t="str">
            <v/>
          </cell>
          <cell r="Q1223" t="str">
            <v/>
          </cell>
          <cell r="R1223" t="e">
            <v>#N/A</v>
          </cell>
        </row>
        <row r="1224">
          <cell r="A1224" t="str">
            <v/>
          </cell>
          <cell r="B1224" t="str">
            <v/>
          </cell>
          <cell r="C1224" t="str">
            <v>Future</v>
          </cell>
          <cell r="D1224" t="e">
            <v>#N/A</v>
          </cell>
          <cell r="E1224">
            <v>-56.295810276680072</v>
          </cell>
          <cell r="F1224">
            <v>54.099446640316728</v>
          </cell>
          <cell r="G1224">
            <v>27.81486166007824</v>
          </cell>
          <cell r="H1224">
            <v>27.81486166007824</v>
          </cell>
          <cell r="I1224" t="e">
            <v>#N/A</v>
          </cell>
          <cell r="J1224" t="e">
            <v>#N/A</v>
          </cell>
          <cell r="K1224">
            <v>42</v>
          </cell>
          <cell r="L1224">
            <v>32</v>
          </cell>
          <cell r="M1224" t="e">
            <v>#N/A</v>
          </cell>
          <cell r="N1224">
            <v>37</v>
          </cell>
          <cell r="O1224" t="e">
            <v>#N/A</v>
          </cell>
          <cell r="P1224" t="str">
            <v/>
          </cell>
          <cell r="Q1224" t="str">
            <v/>
          </cell>
          <cell r="R1224" t="e">
            <v>#N/A</v>
          </cell>
        </row>
        <row r="1225">
          <cell r="A1225" t="str">
            <v/>
          </cell>
          <cell r="B1225" t="str">
            <v/>
          </cell>
          <cell r="C1225" t="str">
            <v>Future</v>
          </cell>
          <cell r="D1225" t="e">
            <v>#N/A</v>
          </cell>
          <cell r="E1225">
            <v>-56.432450592885608</v>
          </cell>
          <cell r="F1225">
            <v>54.128814229249535</v>
          </cell>
          <cell r="G1225">
            <v>27.804703557311441</v>
          </cell>
          <cell r="H1225">
            <v>27.804703557311441</v>
          </cell>
          <cell r="I1225" t="e">
            <v>#N/A</v>
          </cell>
          <cell r="J1225" t="e">
            <v>#N/A</v>
          </cell>
          <cell r="K1225">
            <v>42</v>
          </cell>
          <cell r="L1225">
            <v>32</v>
          </cell>
          <cell r="M1225" t="e">
            <v>#N/A</v>
          </cell>
          <cell r="N1225">
            <v>37</v>
          </cell>
          <cell r="O1225" t="e">
            <v>#N/A</v>
          </cell>
          <cell r="P1225" t="str">
            <v/>
          </cell>
          <cell r="Q1225" t="str">
            <v/>
          </cell>
          <cell r="R1225" t="e">
            <v>#N/A</v>
          </cell>
        </row>
        <row r="1226">
          <cell r="A1226" t="str">
            <v/>
          </cell>
          <cell r="B1226" t="str">
            <v/>
          </cell>
          <cell r="C1226" t="str">
            <v>Future</v>
          </cell>
          <cell r="D1226" t="e">
            <v>#N/A</v>
          </cell>
          <cell r="E1226">
            <v>-56.569090909091145</v>
          </cell>
          <cell r="F1226">
            <v>54.158181818182342</v>
          </cell>
          <cell r="G1226">
            <v>27.794545454544643</v>
          </cell>
          <cell r="H1226">
            <v>27.794545454544643</v>
          </cell>
          <cell r="I1226" t="e">
            <v>#N/A</v>
          </cell>
          <cell r="J1226" t="e">
            <v>#N/A</v>
          </cell>
          <cell r="K1226">
            <v>42</v>
          </cell>
          <cell r="L1226">
            <v>32</v>
          </cell>
          <cell r="M1226" t="e">
            <v>#N/A</v>
          </cell>
          <cell r="N1226">
            <v>37</v>
          </cell>
          <cell r="O1226" t="e">
            <v>#N/A</v>
          </cell>
          <cell r="P1226" t="str">
            <v/>
          </cell>
          <cell r="Q1226" t="str">
            <v/>
          </cell>
          <cell r="R1226" t="e">
            <v>#N/A</v>
          </cell>
        </row>
        <row r="1227">
          <cell r="A1227" t="str">
            <v/>
          </cell>
          <cell r="B1227" t="str">
            <v/>
          </cell>
          <cell r="C1227" t="str">
            <v>Future</v>
          </cell>
          <cell r="D1227" t="e">
            <v>#N/A</v>
          </cell>
          <cell r="E1227">
            <v>-56.705731225296681</v>
          </cell>
          <cell r="F1227">
            <v>54.187549407115149</v>
          </cell>
          <cell r="G1227">
            <v>27.784387351777845</v>
          </cell>
          <cell r="H1227">
            <v>27.784387351777845</v>
          </cell>
          <cell r="I1227" t="e">
            <v>#N/A</v>
          </cell>
          <cell r="J1227" t="e">
            <v>#N/A</v>
          </cell>
          <cell r="K1227">
            <v>42</v>
          </cell>
          <cell r="L1227">
            <v>32</v>
          </cell>
          <cell r="M1227" t="e">
            <v>#N/A</v>
          </cell>
          <cell r="N1227">
            <v>37</v>
          </cell>
          <cell r="O1227" t="e">
            <v>#N/A</v>
          </cell>
          <cell r="P1227" t="str">
            <v/>
          </cell>
          <cell r="Q1227" t="str">
            <v/>
          </cell>
          <cell r="R1227" t="e">
            <v>#N/A</v>
          </cell>
        </row>
        <row r="1228">
          <cell r="A1228" t="str">
            <v/>
          </cell>
          <cell r="B1228" t="str">
            <v/>
          </cell>
          <cell r="C1228" t="str">
            <v>Future</v>
          </cell>
          <cell r="D1228" t="e">
            <v>#N/A</v>
          </cell>
          <cell r="E1228">
            <v>-56.842371541502217</v>
          </cell>
          <cell r="F1228">
            <v>54.216916996047956</v>
          </cell>
          <cell r="G1228">
            <v>27.774229249011047</v>
          </cell>
          <cell r="H1228">
            <v>27.774229249011047</v>
          </cell>
          <cell r="I1228" t="e">
            <v>#N/A</v>
          </cell>
          <cell r="J1228" t="e">
            <v>#N/A</v>
          </cell>
          <cell r="K1228">
            <v>42</v>
          </cell>
          <cell r="L1228">
            <v>32</v>
          </cell>
          <cell r="M1228" t="e">
            <v>#N/A</v>
          </cell>
          <cell r="N1228">
            <v>37</v>
          </cell>
          <cell r="O1228" t="e">
            <v>#N/A</v>
          </cell>
          <cell r="P1228" t="str">
            <v/>
          </cell>
          <cell r="Q1228" t="str">
            <v/>
          </cell>
          <cell r="R1228" t="e">
            <v>#N/A</v>
          </cell>
        </row>
        <row r="1229">
          <cell r="A1229" t="str">
            <v/>
          </cell>
          <cell r="B1229" t="str">
            <v/>
          </cell>
          <cell r="C1229" t="str">
            <v>Future</v>
          </cell>
          <cell r="D1229" t="e">
            <v>#N/A</v>
          </cell>
          <cell r="E1229">
            <v>-56.979011857707754</v>
          </cell>
          <cell r="F1229">
            <v>54.246284584980764</v>
          </cell>
          <cell r="G1229">
            <v>27.764071146244248</v>
          </cell>
          <cell r="H1229">
            <v>27.764071146244248</v>
          </cell>
          <cell r="I1229" t="e">
            <v>#N/A</v>
          </cell>
          <cell r="J1229" t="e">
            <v>#N/A</v>
          </cell>
          <cell r="K1229">
            <v>42</v>
          </cell>
          <cell r="L1229">
            <v>32</v>
          </cell>
          <cell r="M1229" t="e">
            <v>#N/A</v>
          </cell>
          <cell r="N1229">
            <v>37</v>
          </cell>
          <cell r="O1229" t="e">
            <v>#N/A</v>
          </cell>
          <cell r="P1229" t="str">
            <v/>
          </cell>
          <cell r="Q1229" t="str">
            <v/>
          </cell>
          <cell r="R1229" t="e">
            <v>#N/A</v>
          </cell>
        </row>
        <row r="1230">
          <cell r="A1230" t="str">
            <v/>
          </cell>
          <cell r="B1230" t="str">
            <v/>
          </cell>
          <cell r="C1230" t="str">
            <v>Future</v>
          </cell>
          <cell r="D1230" t="e">
            <v>#N/A</v>
          </cell>
          <cell r="E1230">
            <v>-57.11565217391329</v>
          </cell>
          <cell r="F1230">
            <v>54.275652173913571</v>
          </cell>
          <cell r="G1230">
            <v>27.75391304347745</v>
          </cell>
          <cell r="H1230">
            <v>27.75391304347745</v>
          </cell>
          <cell r="I1230" t="e">
            <v>#N/A</v>
          </cell>
          <cell r="J1230" t="e">
            <v>#N/A</v>
          </cell>
          <cell r="K1230">
            <v>42</v>
          </cell>
          <cell r="L1230">
            <v>32</v>
          </cell>
          <cell r="M1230" t="e">
            <v>#N/A</v>
          </cell>
          <cell r="N1230">
            <v>37</v>
          </cell>
          <cell r="O1230" t="e">
            <v>#N/A</v>
          </cell>
          <cell r="P1230" t="str">
            <v/>
          </cell>
          <cell r="Q1230" t="str">
            <v/>
          </cell>
          <cell r="R1230" t="e">
            <v>#N/A</v>
          </cell>
        </row>
        <row r="1231">
          <cell r="A1231" t="str">
            <v/>
          </cell>
          <cell r="B1231" t="str">
            <v/>
          </cell>
          <cell r="C1231" t="str">
            <v>Future</v>
          </cell>
          <cell r="D1231" t="e">
            <v>#N/A</v>
          </cell>
          <cell r="E1231">
            <v>-57.252292490118826</v>
          </cell>
          <cell r="F1231">
            <v>54.305019762846378</v>
          </cell>
          <cell r="G1231">
            <v>27.743754940710652</v>
          </cell>
          <cell r="H1231">
            <v>27.743754940710652</v>
          </cell>
          <cell r="I1231" t="e">
            <v>#N/A</v>
          </cell>
          <cell r="J1231" t="e">
            <v>#N/A</v>
          </cell>
          <cell r="K1231">
            <v>42</v>
          </cell>
          <cell r="L1231">
            <v>32</v>
          </cell>
          <cell r="M1231" t="e">
            <v>#N/A</v>
          </cell>
          <cell r="N1231">
            <v>37</v>
          </cell>
          <cell r="O1231" t="e">
            <v>#N/A</v>
          </cell>
          <cell r="P1231" t="str">
            <v/>
          </cell>
          <cell r="Q1231" t="str">
            <v/>
          </cell>
          <cell r="R1231" t="e">
            <v>#N/A</v>
          </cell>
        </row>
        <row r="1232">
          <cell r="A1232" t="str">
            <v/>
          </cell>
          <cell r="B1232" t="str">
            <v/>
          </cell>
          <cell r="C1232" t="str">
            <v>Future</v>
          </cell>
          <cell r="D1232" t="e">
            <v>#N/A</v>
          </cell>
          <cell r="E1232">
            <v>-57.388932806324362</v>
          </cell>
          <cell r="F1232">
            <v>54.334387351779185</v>
          </cell>
          <cell r="G1232">
            <v>27.733596837943853</v>
          </cell>
          <cell r="H1232">
            <v>27.733596837943853</v>
          </cell>
          <cell r="I1232" t="e">
            <v>#N/A</v>
          </cell>
          <cell r="J1232" t="e">
            <v>#N/A</v>
          </cell>
          <cell r="K1232">
            <v>42</v>
          </cell>
          <cell r="L1232">
            <v>32</v>
          </cell>
          <cell r="M1232" t="e">
            <v>#N/A</v>
          </cell>
          <cell r="N1232">
            <v>37</v>
          </cell>
          <cell r="O1232" t="e">
            <v>#N/A</v>
          </cell>
          <cell r="P1232" t="str">
            <v/>
          </cell>
          <cell r="Q1232" t="str">
            <v/>
          </cell>
          <cell r="R1232" t="e">
            <v>#N/A</v>
          </cell>
        </row>
        <row r="1233">
          <cell r="A1233" t="str">
            <v/>
          </cell>
          <cell r="B1233" t="str">
            <v/>
          </cell>
          <cell r="C1233" t="str">
            <v>Future</v>
          </cell>
          <cell r="D1233" t="e">
            <v>#N/A</v>
          </cell>
          <cell r="E1233">
            <v>-57.525573122529899</v>
          </cell>
          <cell r="F1233">
            <v>54.363754940711992</v>
          </cell>
          <cell r="G1233">
            <v>27.723438735177055</v>
          </cell>
          <cell r="H1233">
            <v>27.723438735177055</v>
          </cell>
          <cell r="I1233" t="e">
            <v>#N/A</v>
          </cell>
          <cell r="J1233" t="e">
            <v>#N/A</v>
          </cell>
          <cell r="K1233">
            <v>42</v>
          </cell>
          <cell r="L1233">
            <v>32</v>
          </cell>
          <cell r="M1233" t="e">
            <v>#N/A</v>
          </cell>
          <cell r="N1233">
            <v>37</v>
          </cell>
          <cell r="O1233" t="e">
            <v>#N/A</v>
          </cell>
          <cell r="P1233" t="str">
            <v/>
          </cell>
          <cell r="Q1233" t="str">
            <v/>
          </cell>
          <cell r="R1233" t="e">
            <v>#N/A</v>
          </cell>
        </row>
        <row r="1234">
          <cell r="A1234" t="str">
            <v/>
          </cell>
          <cell r="B1234" t="str">
            <v/>
          </cell>
          <cell r="C1234" t="str">
            <v>Future</v>
          </cell>
          <cell r="D1234" t="e">
            <v>#N/A</v>
          </cell>
          <cell r="E1234">
            <v>-57.662213438735435</v>
          </cell>
          <cell r="F1234">
            <v>54.393122529644799</v>
          </cell>
          <cell r="G1234">
            <v>27.713280632410257</v>
          </cell>
          <cell r="H1234">
            <v>27.713280632410257</v>
          </cell>
          <cell r="I1234" t="e">
            <v>#N/A</v>
          </cell>
          <cell r="J1234" t="e">
            <v>#N/A</v>
          </cell>
          <cell r="K1234">
            <v>42</v>
          </cell>
          <cell r="L1234">
            <v>32</v>
          </cell>
          <cell r="M1234" t="e">
            <v>#N/A</v>
          </cell>
          <cell r="N1234">
            <v>37</v>
          </cell>
          <cell r="O1234" t="e">
            <v>#N/A</v>
          </cell>
          <cell r="P1234" t="str">
            <v/>
          </cell>
          <cell r="Q1234" t="str">
            <v/>
          </cell>
          <cell r="R1234" t="e">
            <v>#N/A</v>
          </cell>
        </row>
        <row r="1235">
          <cell r="A1235" t="str">
            <v/>
          </cell>
          <cell r="B1235" t="str">
            <v/>
          </cell>
          <cell r="C1235" t="str">
            <v>Future</v>
          </cell>
          <cell r="D1235" t="e">
            <v>#N/A</v>
          </cell>
          <cell r="E1235">
            <v>-57.798853754940971</v>
          </cell>
          <cell r="F1235">
            <v>54.422490118577606</v>
          </cell>
          <cell r="G1235">
            <v>27.703122529643458</v>
          </cell>
          <cell r="H1235">
            <v>27.703122529643458</v>
          </cell>
          <cell r="I1235" t="e">
            <v>#N/A</v>
          </cell>
          <cell r="J1235" t="e">
            <v>#N/A</v>
          </cell>
          <cell r="K1235">
            <v>42</v>
          </cell>
          <cell r="L1235">
            <v>32</v>
          </cell>
          <cell r="M1235" t="e">
            <v>#N/A</v>
          </cell>
          <cell r="N1235">
            <v>37</v>
          </cell>
          <cell r="O1235" t="e">
            <v>#N/A</v>
          </cell>
          <cell r="P1235" t="str">
            <v/>
          </cell>
          <cell r="Q1235" t="str">
            <v/>
          </cell>
          <cell r="R1235" t="e">
            <v>#N/A</v>
          </cell>
        </row>
        <row r="1236">
          <cell r="A1236" t="str">
            <v/>
          </cell>
          <cell r="B1236" t="str">
            <v/>
          </cell>
          <cell r="C1236" t="str">
            <v>Future</v>
          </cell>
          <cell r="D1236" t="e">
            <v>#N/A</v>
          </cell>
          <cell r="E1236">
            <v>-57.935494071146508</v>
          </cell>
          <cell r="F1236">
            <v>54.451857707510413</v>
          </cell>
          <cell r="G1236">
            <v>27.69296442687666</v>
          </cell>
          <cell r="H1236">
            <v>27.69296442687666</v>
          </cell>
          <cell r="I1236" t="e">
            <v>#N/A</v>
          </cell>
          <cell r="J1236" t="e">
            <v>#N/A</v>
          </cell>
          <cell r="K1236">
            <v>42</v>
          </cell>
          <cell r="L1236">
            <v>32</v>
          </cell>
          <cell r="M1236" t="e">
            <v>#N/A</v>
          </cell>
          <cell r="N1236">
            <v>37</v>
          </cell>
          <cell r="O1236" t="e">
            <v>#N/A</v>
          </cell>
          <cell r="P1236" t="str">
            <v/>
          </cell>
          <cell r="Q1236" t="str">
            <v/>
          </cell>
          <cell r="R1236" t="e">
            <v>#N/A</v>
          </cell>
        </row>
        <row r="1237">
          <cell r="A1237" t="str">
            <v/>
          </cell>
          <cell r="B1237" t="str">
            <v/>
          </cell>
          <cell r="C1237" t="str">
            <v>Future</v>
          </cell>
          <cell r="D1237" t="e">
            <v>#N/A</v>
          </cell>
          <cell r="E1237">
            <v>-58.072134387352044</v>
          </cell>
          <cell r="F1237">
            <v>54.48122529644322</v>
          </cell>
          <cell r="G1237">
            <v>27.682806324109862</v>
          </cell>
          <cell r="H1237">
            <v>27.682806324109862</v>
          </cell>
          <cell r="I1237" t="e">
            <v>#N/A</v>
          </cell>
          <cell r="J1237" t="e">
            <v>#N/A</v>
          </cell>
          <cell r="K1237">
            <v>42</v>
          </cell>
          <cell r="L1237">
            <v>32</v>
          </cell>
          <cell r="M1237" t="e">
            <v>#N/A</v>
          </cell>
          <cell r="N1237">
            <v>37</v>
          </cell>
          <cell r="O1237" t="e">
            <v>#N/A</v>
          </cell>
          <cell r="P1237" t="str">
            <v/>
          </cell>
          <cell r="Q1237" t="str">
            <v/>
          </cell>
          <cell r="R1237" t="e">
            <v>#N/A</v>
          </cell>
        </row>
        <row r="1238">
          <cell r="A1238" t="str">
            <v/>
          </cell>
          <cell r="B1238" t="str">
            <v/>
          </cell>
          <cell r="C1238" t="str">
            <v>Future</v>
          </cell>
          <cell r="D1238" t="e">
            <v>#N/A</v>
          </cell>
          <cell r="E1238">
            <v>-58.20877470355758</v>
          </cell>
          <cell r="F1238">
            <v>54.510592885376028</v>
          </cell>
          <cell r="G1238">
            <v>27.672648221343064</v>
          </cell>
          <cell r="H1238">
            <v>27.672648221343064</v>
          </cell>
          <cell r="I1238" t="e">
            <v>#N/A</v>
          </cell>
          <cell r="J1238" t="e">
            <v>#N/A</v>
          </cell>
          <cell r="K1238">
            <v>42</v>
          </cell>
          <cell r="L1238">
            <v>32</v>
          </cell>
          <cell r="M1238" t="e">
            <v>#N/A</v>
          </cell>
          <cell r="N1238">
            <v>37</v>
          </cell>
          <cell r="O1238" t="e">
            <v>#N/A</v>
          </cell>
          <cell r="P1238" t="str">
            <v/>
          </cell>
          <cell r="Q1238" t="str">
            <v/>
          </cell>
          <cell r="R1238" t="e">
            <v>#N/A</v>
          </cell>
        </row>
        <row r="1239">
          <cell r="A1239" t="str">
            <v/>
          </cell>
          <cell r="B1239" t="str">
            <v/>
          </cell>
          <cell r="C1239" t="str">
            <v>Future</v>
          </cell>
          <cell r="D1239" t="e">
            <v>#N/A</v>
          </cell>
          <cell r="E1239">
            <v>-58.345415019763117</v>
          </cell>
          <cell r="F1239">
            <v>54.539960474308835</v>
          </cell>
          <cell r="G1239">
            <v>27.662490118576265</v>
          </cell>
          <cell r="H1239">
            <v>27.662490118576265</v>
          </cell>
          <cell r="I1239" t="e">
            <v>#N/A</v>
          </cell>
          <cell r="J1239" t="e">
            <v>#N/A</v>
          </cell>
          <cell r="K1239">
            <v>42</v>
          </cell>
          <cell r="L1239">
            <v>32</v>
          </cell>
          <cell r="M1239" t="e">
            <v>#N/A</v>
          </cell>
          <cell r="N1239">
            <v>37</v>
          </cell>
          <cell r="O1239" t="e">
            <v>#N/A</v>
          </cell>
          <cell r="P1239" t="str">
            <v/>
          </cell>
          <cell r="Q1239" t="str">
            <v/>
          </cell>
          <cell r="R1239" t="e">
            <v>#N/A</v>
          </cell>
        </row>
        <row r="1240">
          <cell r="A1240" t="str">
            <v/>
          </cell>
          <cell r="B1240" t="str">
            <v/>
          </cell>
          <cell r="C1240" t="str">
            <v>Future</v>
          </cell>
          <cell r="D1240" t="e">
            <v>#N/A</v>
          </cell>
          <cell r="E1240">
            <v>-58.482055335968653</v>
          </cell>
          <cell r="F1240">
            <v>54.569328063241642</v>
          </cell>
          <cell r="G1240">
            <v>27.652332015809467</v>
          </cell>
          <cell r="H1240">
            <v>27.652332015809467</v>
          </cell>
          <cell r="I1240" t="e">
            <v>#N/A</v>
          </cell>
          <cell r="J1240" t="e">
            <v>#N/A</v>
          </cell>
          <cell r="K1240">
            <v>42</v>
          </cell>
          <cell r="L1240">
            <v>32</v>
          </cell>
          <cell r="M1240" t="e">
            <v>#N/A</v>
          </cell>
          <cell r="N1240">
            <v>37</v>
          </cell>
          <cell r="O1240" t="e">
            <v>#N/A</v>
          </cell>
          <cell r="P1240" t="str">
            <v/>
          </cell>
          <cell r="Q1240" t="str">
            <v/>
          </cell>
          <cell r="R1240" t="e">
            <v>#N/A</v>
          </cell>
        </row>
        <row r="1241">
          <cell r="A1241" t="str">
            <v/>
          </cell>
          <cell r="B1241" t="str">
            <v/>
          </cell>
          <cell r="C1241" t="str">
            <v>Future</v>
          </cell>
          <cell r="D1241" t="e">
            <v>#N/A</v>
          </cell>
          <cell r="E1241">
            <v>-58.618695652174189</v>
          </cell>
          <cell r="F1241">
            <v>54.598695652174449</v>
          </cell>
          <cell r="G1241">
            <v>27.642173913042669</v>
          </cell>
          <cell r="H1241">
            <v>27.642173913042669</v>
          </cell>
          <cell r="I1241" t="e">
            <v>#N/A</v>
          </cell>
          <cell r="J1241" t="e">
            <v>#N/A</v>
          </cell>
          <cell r="K1241">
            <v>42</v>
          </cell>
          <cell r="L1241">
            <v>32</v>
          </cell>
          <cell r="M1241" t="e">
            <v>#N/A</v>
          </cell>
          <cell r="N1241">
            <v>37</v>
          </cell>
          <cell r="O1241" t="e">
            <v>#N/A</v>
          </cell>
          <cell r="P1241" t="str">
            <v/>
          </cell>
          <cell r="Q1241" t="str">
            <v/>
          </cell>
          <cell r="R1241" t="e">
            <v>#N/A</v>
          </cell>
        </row>
        <row r="1242">
          <cell r="A1242" t="str">
            <v/>
          </cell>
          <cell r="B1242" t="str">
            <v/>
          </cell>
          <cell r="C1242" t="str">
            <v>Future</v>
          </cell>
          <cell r="D1242" t="e">
            <v>#N/A</v>
          </cell>
          <cell r="E1242">
            <v>-58.755335968379725</v>
          </cell>
          <cell r="F1242">
            <v>54.628063241107256</v>
          </cell>
          <cell r="G1242">
            <v>27.63201581027587</v>
          </cell>
          <cell r="H1242">
            <v>27.63201581027587</v>
          </cell>
          <cell r="I1242" t="e">
            <v>#N/A</v>
          </cell>
          <cell r="J1242" t="e">
            <v>#N/A</v>
          </cell>
          <cell r="K1242">
            <v>42</v>
          </cell>
          <cell r="L1242">
            <v>32</v>
          </cell>
          <cell r="M1242" t="e">
            <v>#N/A</v>
          </cell>
          <cell r="N1242">
            <v>37</v>
          </cell>
          <cell r="O1242" t="e">
            <v>#N/A</v>
          </cell>
          <cell r="P1242" t="str">
            <v/>
          </cell>
          <cell r="Q1242" t="str">
            <v/>
          </cell>
          <cell r="R1242" t="e">
            <v>#N/A</v>
          </cell>
        </row>
        <row r="1243">
          <cell r="A1243" t="str">
            <v/>
          </cell>
          <cell r="B1243" t="str">
            <v/>
          </cell>
          <cell r="C1243" t="str">
            <v>Future</v>
          </cell>
          <cell r="D1243" t="e">
            <v>#N/A</v>
          </cell>
          <cell r="E1243">
            <v>-58.891976284585262</v>
          </cell>
          <cell r="F1243">
            <v>54.657430830040063</v>
          </cell>
          <cell r="G1243">
            <v>27.621857707509072</v>
          </cell>
          <cell r="H1243">
            <v>27.621857707509072</v>
          </cell>
          <cell r="I1243" t="e">
            <v>#N/A</v>
          </cell>
          <cell r="J1243" t="e">
            <v>#N/A</v>
          </cell>
          <cell r="K1243">
            <v>42</v>
          </cell>
          <cell r="L1243">
            <v>32</v>
          </cell>
          <cell r="M1243" t="e">
            <v>#N/A</v>
          </cell>
          <cell r="N1243">
            <v>37</v>
          </cell>
          <cell r="O1243" t="e">
            <v>#N/A</v>
          </cell>
          <cell r="P1243" t="str">
            <v/>
          </cell>
          <cell r="Q1243" t="str">
            <v/>
          </cell>
          <cell r="R1243" t="e">
            <v>#N/A</v>
          </cell>
        </row>
        <row r="1244">
          <cell r="A1244" t="str">
            <v/>
          </cell>
          <cell r="B1244" t="str">
            <v/>
          </cell>
          <cell r="C1244" t="str">
            <v>Future</v>
          </cell>
          <cell r="D1244" t="e">
            <v>#N/A</v>
          </cell>
          <cell r="E1244">
            <v>-59.028616600790798</v>
          </cell>
          <cell r="F1244">
            <v>54.68679841897287</v>
          </cell>
          <cell r="G1244">
            <v>27.611699604742274</v>
          </cell>
          <cell r="H1244">
            <v>27.611699604742274</v>
          </cell>
          <cell r="I1244" t="e">
            <v>#N/A</v>
          </cell>
          <cell r="J1244" t="e">
            <v>#N/A</v>
          </cell>
          <cell r="K1244">
            <v>42</v>
          </cell>
          <cell r="L1244">
            <v>32</v>
          </cell>
          <cell r="M1244" t="e">
            <v>#N/A</v>
          </cell>
          <cell r="N1244">
            <v>37</v>
          </cell>
          <cell r="O1244" t="e">
            <v>#N/A</v>
          </cell>
          <cell r="P1244" t="str">
            <v/>
          </cell>
          <cell r="Q1244" t="str">
            <v/>
          </cell>
          <cell r="R1244" t="e">
            <v>#N/A</v>
          </cell>
        </row>
        <row r="1245">
          <cell r="A1245" t="str">
            <v/>
          </cell>
          <cell r="B1245" t="str">
            <v/>
          </cell>
          <cell r="C1245" t="str">
            <v>Future</v>
          </cell>
          <cell r="D1245" t="e">
            <v>#N/A</v>
          </cell>
          <cell r="E1245">
            <v>-59.165256916996334</v>
          </cell>
          <cell r="F1245">
            <v>54.716166007905677</v>
          </cell>
          <cell r="G1245">
            <v>27.601541501975476</v>
          </cell>
          <cell r="H1245">
            <v>27.601541501975476</v>
          </cell>
          <cell r="I1245" t="e">
            <v>#N/A</v>
          </cell>
          <cell r="J1245" t="e">
            <v>#N/A</v>
          </cell>
          <cell r="K1245">
            <v>42</v>
          </cell>
          <cell r="L1245">
            <v>32</v>
          </cell>
          <cell r="M1245" t="e">
            <v>#N/A</v>
          </cell>
          <cell r="N1245">
            <v>37</v>
          </cell>
          <cell r="O1245" t="e">
            <v>#N/A</v>
          </cell>
          <cell r="P1245" t="str">
            <v/>
          </cell>
          <cell r="Q1245" t="str">
            <v/>
          </cell>
          <cell r="R1245" t="e">
            <v>#N/A</v>
          </cell>
        </row>
        <row r="1246">
          <cell r="A1246" t="str">
            <v/>
          </cell>
          <cell r="B1246" t="str">
            <v/>
          </cell>
          <cell r="C1246" t="str">
            <v>Future</v>
          </cell>
          <cell r="D1246" t="e">
            <v>#N/A</v>
          </cell>
          <cell r="E1246">
            <v>-59.301897233201871</v>
          </cell>
          <cell r="F1246">
            <v>54.745533596838484</v>
          </cell>
          <cell r="G1246">
            <v>27.591383399208677</v>
          </cell>
          <cell r="H1246">
            <v>27.591383399208677</v>
          </cell>
          <cell r="I1246" t="e">
            <v>#N/A</v>
          </cell>
          <cell r="J1246" t="e">
            <v>#N/A</v>
          </cell>
          <cell r="K1246">
            <v>42</v>
          </cell>
          <cell r="L1246">
            <v>32</v>
          </cell>
          <cell r="M1246" t="e">
            <v>#N/A</v>
          </cell>
          <cell r="N1246">
            <v>37</v>
          </cell>
          <cell r="O1246" t="e">
            <v>#N/A</v>
          </cell>
          <cell r="P1246" t="str">
            <v/>
          </cell>
          <cell r="Q1246" t="str">
            <v/>
          </cell>
          <cell r="R1246" t="e">
            <v>#N/A</v>
          </cell>
        </row>
        <row r="1247">
          <cell r="A1247" t="str">
            <v/>
          </cell>
          <cell r="B1247" t="str">
            <v/>
          </cell>
          <cell r="C1247" t="str">
            <v>Future</v>
          </cell>
          <cell r="D1247" t="e">
            <v>#N/A</v>
          </cell>
          <cell r="E1247">
            <v>-59.438537549407407</v>
          </cell>
          <cell r="F1247">
            <v>54.774901185771292</v>
          </cell>
          <cell r="G1247">
            <v>27.581225296441879</v>
          </cell>
          <cell r="H1247">
            <v>27.581225296441879</v>
          </cell>
          <cell r="I1247" t="e">
            <v>#N/A</v>
          </cell>
          <cell r="J1247" t="e">
            <v>#N/A</v>
          </cell>
          <cell r="K1247">
            <v>42</v>
          </cell>
          <cell r="L1247">
            <v>32</v>
          </cell>
          <cell r="M1247" t="e">
            <v>#N/A</v>
          </cell>
          <cell r="N1247">
            <v>37</v>
          </cell>
          <cell r="O1247" t="e">
            <v>#N/A</v>
          </cell>
          <cell r="P1247" t="str">
            <v/>
          </cell>
          <cell r="Q1247" t="str">
            <v/>
          </cell>
          <cell r="R1247" t="e">
            <v>#N/A</v>
          </cell>
        </row>
        <row r="1248">
          <cell r="A1248" t="str">
            <v/>
          </cell>
          <cell r="B1248" t="str">
            <v/>
          </cell>
          <cell r="C1248" t="str">
            <v>Future</v>
          </cell>
          <cell r="D1248" t="e">
            <v>#N/A</v>
          </cell>
          <cell r="E1248">
            <v>-59.575177865612943</v>
          </cell>
          <cell r="F1248">
            <v>54.804268774704099</v>
          </cell>
          <cell r="G1248">
            <v>27.571067193675081</v>
          </cell>
          <cell r="H1248">
            <v>27.571067193675081</v>
          </cell>
          <cell r="I1248" t="e">
            <v>#N/A</v>
          </cell>
          <cell r="J1248" t="e">
            <v>#N/A</v>
          </cell>
          <cell r="K1248">
            <v>42</v>
          </cell>
          <cell r="L1248">
            <v>32</v>
          </cell>
          <cell r="M1248" t="e">
            <v>#N/A</v>
          </cell>
          <cell r="N1248">
            <v>37</v>
          </cell>
          <cell r="O1248" t="e">
            <v>#N/A</v>
          </cell>
          <cell r="P1248" t="str">
            <v/>
          </cell>
          <cell r="Q1248" t="str">
            <v/>
          </cell>
          <cell r="R1248" t="e">
            <v>#N/A</v>
          </cell>
        </row>
        <row r="1249">
          <cell r="A1249" t="str">
            <v/>
          </cell>
          <cell r="B1249" t="str">
            <v/>
          </cell>
          <cell r="C1249" t="str">
            <v>Future</v>
          </cell>
          <cell r="D1249" t="e">
            <v>#N/A</v>
          </cell>
          <cell r="E1249">
            <v>-59.711818181818479</v>
          </cell>
          <cell r="F1249">
            <v>54.833636363636906</v>
          </cell>
          <cell r="G1249">
            <v>27.560909090908282</v>
          </cell>
          <cell r="H1249">
            <v>27.560909090908282</v>
          </cell>
          <cell r="I1249" t="e">
            <v>#N/A</v>
          </cell>
          <cell r="J1249" t="e">
            <v>#N/A</v>
          </cell>
          <cell r="K1249">
            <v>42</v>
          </cell>
          <cell r="L1249">
            <v>32</v>
          </cell>
          <cell r="M1249" t="e">
            <v>#N/A</v>
          </cell>
          <cell r="N1249">
            <v>37</v>
          </cell>
          <cell r="O1249" t="e">
            <v>#N/A</v>
          </cell>
          <cell r="P1249" t="str">
            <v/>
          </cell>
          <cell r="Q1249" t="str">
            <v/>
          </cell>
          <cell r="R1249" t="e">
            <v>#N/A</v>
          </cell>
        </row>
        <row r="1250">
          <cell r="A1250" t="str">
            <v/>
          </cell>
          <cell r="B1250" t="str">
            <v/>
          </cell>
          <cell r="C1250" t="str">
            <v>Future</v>
          </cell>
          <cell r="D1250" t="e">
            <v>#N/A</v>
          </cell>
          <cell r="E1250">
            <v>-59.848458498024016</v>
          </cell>
          <cell r="F1250">
            <v>54.863003952569713</v>
          </cell>
          <cell r="G1250">
            <v>27.550750988141484</v>
          </cell>
          <cell r="H1250">
            <v>27.550750988141484</v>
          </cell>
          <cell r="I1250" t="e">
            <v>#N/A</v>
          </cell>
          <cell r="J1250" t="e">
            <v>#N/A</v>
          </cell>
          <cell r="K1250">
            <v>42</v>
          </cell>
          <cell r="L1250">
            <v>32</v>
          </cell>
          <cell r="M1250" t="e">
            <v>#N/A</v>
          </cell>
          <cell r="N1250">
            <v>37</v>
          </cell>
          <cell r="O1250" t="e">
            <v>#N/A</v>
          </cell>
          <cell r="P1250" t="str">
            <v/>
          </cell>
          <cell r="Q1250" t="str">
            <v/>
          </cell>
          <cell r="R1250" t="e">
            <v>#N/A</v>
          </cell>
        </row>
        <row r="1251">
          <cell r="A1251" t="str">
            <v/>
          </cell>
          <cell r="B1251" t="str">
            <v/>
          </cell>
          <cell r="C1251" t="str">
            <v>Future</v>
          </cell>
          <cell r="D1251" t="e">
            <v>#N/A</v>
          </cell>
          <cell r="E1251">
            <v>-59.985098814229552</v>
          </cell>
          <cell r="F1251">
            <v>54.89237154150252</v>
          </cell>
          <cell r="G1251">
            <v>27.540592885374686</v>
          </cell>
          <cell r="H1251">
            <v>27.540592885374686</v>
          </cell>
          <cell r="I1251" t="e">
            <v>#N/A</v>
          </cell>
          <cell r="J1251" t="e">
            <v>#N/A</v>
          </cell>
          <cell r="K1251">
            <v>42</v>
          </cell>
          <cell r="L1251">
            <v>32</v>
          </cell>
          <cell r="M1251" t="e">
            <v>#N/A</v>
          </cell>
          <cell r="N1251">
            <v>37</v>
          </cell>
          <cell r="O1251" t="e">
            <v>#N/A</v>
          </cell>
          <cell r="P1251" t="str">
            <v/>
          </cell>
          <cell r="Q1251" t="str">
            <v/>
          </cell>
          <cell r="R1251" t="e">
            <v>#N/A</v>
          </cell>
        </row>
        <row r="1252">
          <cell r="A1252" t="str">
            <v/>
          </cell>
          <cell r="B1252" t="str">
            <v/>
          </cell>
          <cell r="C1252" t="str">
            <v>Future</v>
          </cell>
          <cell r="D1252" t="e">
            <v>#N/A</v>
          </cell>
          <cell r="E1252">
            <v>-60.121739130435088</v>
          </cell>
          <cell r="F1252">
            <v>54.921739130435327</v>
          </cell>
          <cell r="G1252">
            <v>27.530434782607887</v>
          </cell>
          <cell r="H1252">
            <v>27.530434782607887</v>
          </cell>
          <cell r="I1252" t="e">
            <v>#N/A</v>
          </cell>
          <cell r="J1252" t="e">
            <v>#N/A</v>
          </cell>
          <cell r="K1252">
            <v>42</v>
          </cell>
          <cell r="L1252">
            <v>32</v>
          </cell>
          <cell r="M1252" t="e">
            <v>#N/A</v>
          </cell>
          <cell r="N1252">
            <v>37</v>
          </cell>
          <cell r="O1252" t="e">
            <v>#N/A</v>
          </cell>
          <cell r="P1252" t="str">
            <v/>
          </cell>
          <cell r="Q1252" t="str">
            <v/>
          </cell>
          <cell r="R1252" t="e">
            <v>#N/A</v>
          </cell>
        </row>
        <row r="1253">
          <cell r="A1253" t="str">
            <v/>
          </cell>
          <cell r="P1253" t="str">
            <v/>
          </cell>
          <cell r="Q1253" t="str">
            <v/>
          </cell>
        </row>
      </sheetData>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sheetData sheetId="45"/>
      <sheetData sheetId="46"/>
      <sheetData sheetId="47" refreshError="1"/>
      <sheetData sheetId="48"/>
      <sheetData sheetId="49" refreshError="1"/>
      <sheetData sheetId="50" refreshError="1"/>
      <sheetData sheetId="51" refreshError="1"/>
      <sheetData sheetId="52" refreshError="1"/>
      <sheetData sheetId="5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s>
    <sheetDataSet>
      <sheetData sheetId="0"/>
      <sheetData sheetId="1">
        <row r="1">
          <cell r="R1" t="str">
            <v>SmartCharts</v>
          </cell>
          <cell r="BA1" t="str">
            <v>.</v>
          </cell>
        </row>
        <row r="2">
          <cell r="BA2" t="str">
            <v>.</v>
          </cell>
        </row>
        <row r="3">
          <cell r="BA3" t="str">
            <v>.</v>
          </cell>
        </row>
        <row r="4">
          <cell r="BA4" t="str">
            <v>.</v>
          </cell>
        </row>
        <row r="5">
          <cell r="C5" t="str">
            <v>Define value axis here:</v>
          </cell>
        </row>
        <row r="6">
          <cell r="C6" t="str">
            <v>WYE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777.7528584280044</v>
          </cell>
          <cell r="E12">
            <v>801.12416082795426</v>
          </cell>
          <cell r="F12">
            <v>480.32922347793647</v>
          </cell>
          <cell r="G12">
            <v>302.52535042870295</v>
          </cell>
          <cell r="H12">
            <v>-140.85209419635794</v>
          </cell>
          <cell r="BA12" t="str">
            <v>.</v>
          </cell>
        </row>
        <row r="13">
          <cell r="C13" t="str">
            <v>Pipeline products launching 2010–2015</v>
          </cell>
          <cell r="D13">
            <v>336.15000000000003</v>
          </cell>
          <cell r="E13">
            <v>486.05249999999995</v>
          </cell>
          <cell r="F13">
            <v>643.90925000000004</v>
          </cell>
          <cell r="G13">
            <v>903.77877650000028</v>
          </cell>
          <cell r="H13">
            <v>877.75910161390948</v>
          </cell>
          <cell r="BA13" t="str">
            <v>.</v>
          </cell>
        </row>
        <row r="14">
          <cell r="C14" t="str">
            <v>Products expiring 2010–15</v>
          </cell>
          <cell r="D14">
            <v>-1897.5856368349996</v>
          </cell>
          <cell r="E14">
            <v>-405.26704991404949</v>
          </cell>
          <cell r="F14">
            <v>-247.4564255044188</v>
          </cell>
          <cell r="G14">
            <v>-486.45018457921105</v>
          </cell>
          <cell r="H14">
            <v>-467.41580692871912</v>
          </cell>
          <cell r="BA14" t="str">
            <v>.</v>
          </cell>
        </row>
        <row r="15">
          <cell r="C15" t="str">
            <v>Net YOY change</v>
          </cell>
          <cell r="D15">
            <v>-783.68277840699375</v>
          </cell>
          <cell r="E15">
            <v>881.90961091390272</v>
          </cell>
          <cell r="F15">
            <v>876.78204797351646</v>
          </cell>
          <cell r="G15">
            <v>719.85394234949126</v>
          </cell>
          <cell r="H15">
            <v>269.4912004888356</v>
          </cell>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 val="Product Mix 100%"/>
      <sheetName val="Traditional &amp; Other"/>
      <sheetName val="Per Pharma Traditional &amp; Biolog"/>
      <sheetName val="MW-Cache"/>
      <sheetName val="__FDSCACHE__"/>
      <sheetName val="2010PE"/>
      <sheetName val="2010PE_Ex BMY"/>
      <sheetName val="2012PE"/>
      <sheetName val="2012PE_Ex BMY"/>
      <sheetName val="short IS"/>
      <sheetName val="cost savings"/>
      <sheetName val="2015 top 10"/>
      <sheetName val="2010 top 10"/>
    </sheetNames>
    <sheetDataSet>
      <sheetData sheetId="0"/>
      <sheetData sheetId="1">
        <row r="1">
          <cell r="R1" t="str">
            <v>SmartCharts</v>
          </cell>
          <cell r="BA1" t="str">
            <v>.</v>
          </cell>
        </row>
        <row r="2">
          <cell r="BA2" t="str">
            <v>.</v>
          </cell>
        </row>
        <row r="3">
          <cell r="BA3" t="str">
            <v>.</v>
          </cell>
        </row>
        <row r="4">
          <cell r="BA4" t="str">
            <v>.</v>
          </cell>
        </row>
        <row r="5">
          <cell r="C5" t="str">
            <v>Define value axis here:</v>
          </cell>
        </row>
        <row r="6">
          <cell r="C6" t="str">
            <v>PFE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932.42080930800876</v>
          </cell>
          <cell r="E12">
            <v>1421.1035914094464</v>
          </cell>
          <cell r="F12">
            <v>1765.8870921994021</v>
          </cell>
          <cell r="G12">
            <v>1055.7675672663318</v>
          </cell>
          <cell r="H12">
            <v>577.39612356401631</v>
          </cell>
          <cell r="BA12" t="str">
            <v>.</v>
          </cell>
        </row>
        <row r="13">
          <cell r="C13" t="str">
            <v>Pipeline products launching 2010–2015</v>
          </cell>
          <cell r="D13">
            <v>488.88851560750004</v>
          </cell>
          <cell r="E13">
            <v>1032.6222136879819</v>
          </cell>
          <cell r="F13">
            <v>1194.3879881319788</v>
          </cell>
          <cell r="G13">
            <v>1586.9809373847056</v>
          </cell>
          <cell r="H13">
            <v>1912.159684759381</v>
          </cell>
          <cell r="BA13" t="str">
            <v>.</v>
          </cell>
        </row>
        <row r="14">
          <cell r="C14" t="str">
            <v>Products expiring 2010–15</v>
          </cell>
          <cell r="D14">
            <v>-3093.4238533699972</v>
          </cell>
          <cell r="E14">
            <v>-9244.3086322740019</v>
          </cell>
          <cell r="F14">
            <v>-2500.25038596167</v>
          </cell>
          <cell r="G14">
            <v>-2111.4680686893898</v>
          </cell>
          <cell r="H14">
            <v>-2273.0544201852699</v>
          </cell>
          <cell r="BA14" t="str">
            <v>.</v>
          </cell>
        </row>
        <row r="15">
          <cell r="C15" t="str">
            <v>Net YOY change</v>
          </cell>
          <cell r="D15">
            <v>-1672.1145284544909</v>
          </cell>
          <cell r="E15">
            <v>-6790.582827176564</v>
          </cell>
          <cell r="F15">
            <v>460.02469436970568</v>
          </cell>
          <cell r="G15">
            <v>531.28043596164935</v>
          </cell>
          <cell r="H15">
            <v>216.50138813813101</v>
          </cell>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row r="1">
          <cell r="Y1" t="str">
            <v>SmartCharts</v>
          </cell>
          <cell r="BH1" t="str">
            <v>.</v>
          </cell>
        </row>
        <row r="2">
          <cell r="BH2" t="str">
            <v>.</v>
          </cell>
        </row>
        <row r="3">
          <cell r="BH3" t="str">
            <v>.</v>
          </cell>
        </row>
        <row r="6">
          <cell r="C6" t="str">
            <v>Input starting data point here:</v>
          </cell>
        </row>
        <row r="7">
          <cell r="C7" t="str">
            <v>2010E</v>
          </cell>
          <cell r="D7">
            <v>67.2</v>
          </cell>
        </row>
        <row r="8">
          <cell r="M8" t="str">
            <v>inv series</v>
          </cell>
          <cell r="P8" t="str">
            <v>clean labels</v>
          </cell>
        </row>
        <row r="9">
          <cell r="M9" t="str">
            <v>for labels</v>
          </cell>
        </row>
        <row r="10">
          <cell r="C10" t="str">
            <v>Input increments here:</v>
          </cell>
          <cell r="G10">
            <v>3</v>
          </cell>
          <cell r="H10" t="str">
            <v>Invisible</v>
          </cell>
          <cell r="I10" t="str">
            <v>Final</v>
          </cell>
          <cell r="J10" t="str">
            <v>Minus</v>
          </cell>
          <cell r="K10" t="str">
            <v>Plus</v>
          </cell>
          <cell r="L10" t="str">
            <v>Initial</v>
          </cell>
          <cell r="M10" t="str">
            <v>inside1</v>
          </cell>
          <cell r="N10" t="str">
            <v>inside2</v>
          </cell>
          <cell r="O10" t="str">
            <v>outside</v>
          </cell>
          <cell r="P10" t="str">
            <v>labfinal</v>
          </cell>
          <cell r="Q10" t="str">
            <v>labminus</v>
          </cell>
          <cell r="R10" t="str">
            <v>labplus</v>
          </cell>
          <cell r="S10" t="str">
            <v>labinitial</v>
          </cell>
          <cell r="T10" t="str">
            <v>labinside1</v>
          </cell>
          <cell r="U10" t="str">
            <v>labinside2</v>
          </cell>
        </row>
        <row r="11">
          <cell r="H11">
            <v>0</v>
          </cell>
        </row>
        <row r="12">
          <cell r="L12">
            <v>67.2</v>
          </cell>
          <cell r="M12">
            <v>0</v>
          </cell>
          <cell r="N12">
            <v>0</v>
          </cell>
          <cell r="O12">
            <v>0</v>
          </cell>
          <cell r="P12" t="str">
            <v/>
          </cell>
          <cell r="Q12" t="str">
            <v/>
          </cell>
          <cell r="R12" t="str">
            <v/>
          </cell>
          <cell r="S12">
            <v>67.2</v>
          </cell>
          <cell r="T12" t="str">
            <v>2010E</v>
          </cell>
        </row>
        <row r="13">
          <cell r="C13" t="str">
            <v>In-Line Products</v>
          </cell>
          <cell r="D13">
            <v>5.8</v>
          </cell>
          <cell r="G13">
            <v>1</v>
          </cell>
          <cell r="H13">
            <v>67.2</v>
          </cell>
          <cell r="I13" t="str">
            <v/>
          </cell>
          <cell r="J13">
            <v>0</v>
          </cell>
          <cell r="K13">
            <v>5.8</v>
          </cell>
          <cell r="M13">
            <v>0</v>
          </cell>
          <cell r="N13">
            <v>0</v>
          </cell>
          <cell r="O13">
            <v>0</v>
          </cell>
          <cell r="P13" t="str">
            <v/>
          </cell>
          <cell r="Q13" t="str">
            <v/>
          </cell>
          <cell r="R13">
            <v>5.8</v>
          </cell>
          <cell r="S13" t="str">
            <v/>
          </cell>
          <cell r="T13" t="str">
            <v/>
          </cell>
          <cell r="U13" t="str">
            <v>In-Line Products</v>
          </cell>
        </row>
        <row r="14">
          <cell r="C14" t="str">
            <v>Pipeline</v>
          </cell>
          <cell r="D14">
            <v>6.2</v>
          </cell>
          <cell r="G14">
            <v>2</v>
          </cell>
          <cell r="H14">
            <v>73</v>
          </cell>
          <cell r="I14" t="str">
            <v/>
          </cell>
          <cell r="J14">
            <v>0</v>
          </cell>
          <cell r="K14">
            <v>6.2</v>
          </cell>
          <cell r="M14">
            <v>0</v>
          </cell>
          <cell r="N14">
            <v>0</v>
          </cell>
          <cell r="O14">
            <v>0</v>
          </cell>
          <cell r="P14" t="str">
            <v/>
          </cell>
          <cell r="Q14" t="str">
            <v/>
          </cell>
          <cell r="R14">
            <v>6.2</v>
          </cell>
          <cell r="S14" t="str">
            <v/>
          </cell>
          <cell r="T14" t="str">
            <v/>
          </cell>
          <cell r="U14" t="str">
            <v>Pipeline</v>
          </cell>
        </row>
        <row r="15">
          <cell r="C15" t="str">
            <v>Expirations</v>
          </cell>
          <cell r="D15">
            <v>-19.2</v>
          </cell>
          <cell r="G15">
            <v>3</v>
          </cell>
          <cell r="H15">
            <v>60</v>
          </cell>
          <cell r="I15" t="str">
            <v/>
          </cell>
          <cell r="J15">
            <v>19.2</v>
          </cell>
          <cell r="K15">
            <v>0</v>
          </cell>
          <cell r="M15">
            <v>0</v>
          </cell>
          <cell r="N15">
            <v>0</v>
          </cell>
          <cell r="O15">
            <v>0</v>
          </cell>
          <cell r="P15" t="str">
            <v/>
          </cell>
          <cell r="Q15">
            <v>-19.2</v>
          </cell>
          <cell r="R15" t="str">
            <v/>
          </cell>
          <cell r="S15" t="str">
            <v/>
          </cell>
          <cell r="T15" t="str">
            <v/>
          </cell>
          <cell r="U15" t="str">
            <v>Expirations</v>
          </cell>
        </row>
        <row r="16">
          <cell r="G16">
            <v>4</v>
          </cell>
          <cell r="H16" t="str">
            <v/>
          </cell>
          <cell r="I16">
            <v>60</v>
          </cell>
          <cell r="J16">
            <v>0</v>
          </cell>
          <cell r="K16">
            <v>0</v>
          </cell>
          <cell r="M16">
            <v>0</v>
          </cell>
          <cell r="N16">
            <v>0</v>
          </cell>
          <cell r="O16">
            <v>0</v>
          </cell>
          <cell r="P16">
            <v>60</v>
          </cell>
          <cell r="Q16" t="str">
            <v/>
          </cell>
          <cell r="R16" t="str">
            <v/>
          </cell>
          <cell r="S16" t="str">
            <v/>
          </cell>
          <cell r="T16" t="str">
            <v>2015E</v>
          </cell>
          <cell r="U16" t="str">
            <v/>
          </cell>
        </row>
        <row r="17">
          <cell r="G17">
            <v>5</v>
          </cell>
          <cell r="H17" t="str">
            <v/>
          </cell>
          <cell r="I17" t="str">
            <v/>
          </cell>
          <cell r="J17">
            <v>0</v>
          </cell>
          <cell r="K17">
            <v>0</v>
          </cell>
          <cell r="M17">
            <v>0</v>
          </cell>
          <cell r="N17">
            <v>0</v>
          </cell>
          <cell r="O17">
            <v>0</v>
          </cell>
          <cell r="P17" t="str">
            <v/>
          </cell>
          <cell r="Q17" t="str">
            <v/>
          </cell>
          <cell r="R17" t="str">
            <v/>
          </cell>
          <cell r="S17" t="str">
            <v/>
          </cell>
          <cell r="T17" t="str">
            <v/>
          </cell>
          <cell r="U17" t="str">
            <v/>
          </cell>
        </row>
        <row r="18">
          <cell r="G18">
            <v>6</v>
          </cell>
          <cell r="H18" t="str">
            <v/>
          </cell>
          <cell r="I18" t="str">
            <v/>
          </cell>
          <cell r="J18">
            <v>0</v>
          </cell>
          <cell r="K18">
            <v>0</v>
          </cell>
          <cell r="M18">
            <v>0</v>
          </cell>
          <cell r="N18">
            <v>0</v>
          </cell>
          <cell r="O18">
            <v>0</v>
          </cell>
          <cell r="P18" t="str">
            <v/>
          </cell>
          <cell r="Q18" t="str">
            <v/>
          </cell>
          <cell r="R18" t="str">
            <v/>
          </cell>
          <cell r="S18" t="str">
            <v/>
          </cell>
          <cell r="T18" t="str">
            <v/>
          </cell>
          <cell r="U18" t="str">
            <v/>
          </cell>
        </row>
        <row r="19">
          <cell r="G19">
            <v>7</v>
          </cell>
          <cell r="H19" t="str">
            <v/>
          </cell>
          <cell r="I19" t="str">
            <v/>
          </cell>
          <cell r="J19">
            <v>0</v>
          </cell>
          <cell r="K19">
            <v>0</v>
          </cell>
          <cell r="M19">
            <v>0</v>
          </cell>
          <cell r="N19">
            <v>0</v>
          </cell>
          <cell r="O19">
            <v>0</v>
          </cell>
          <cell r="P19" t="str">
            <v/>
          </cell>
          <cell r="Q19" t="str">
            <v/>
          </cell>
          <cell r="R19" t="str">
            <v/>
          </cell>
          <cell r="S19" t="str">
            <v/>
          </cell>
          <cell r="T19" t="str">
            <v/>
          </cell>
          <cell r="U19" t="str">
            <v/>
          </cell>
        </row>
        <row r="20">
          <cell r="G20">
            <v>8</v>
          </cell>
          <cell r="H20" t="str">
            <v/>
          </cell>
          <cell r="I20" t="str">
            <v/>
          </cell>
          <cell r="J20">
            <v>0</v>
          </cell>
          <cell r="K20">
            <v>0</v>
          </cell>
          <cell r="M20">
            <v>0</v>
          </cell>
          <cell r="N20">
            <v>0</v>
          </cell>
          <cell r="O20">
            <v>0</v>
          </cell>
          <cell r="P20" t="str">
            <v/>
          </cell>
          <cell r="Q20" t="str">
            <v/>
          </cell>
          <cell r="R20" t="str">
            <v/>
          </cell>
          <cell r="S20" t="str">
            <v/>
          </cell>
          <cell r="T20" t="str">
            <v/>
          </cell>
          <cell r="U20" t="str">
            <v/>
          </cell>
        </row>
        <row r="21">
          <cell r="G21">
            <v>9</v>
          </cell>
          <cell r="H21" t="str">
            <v/>
          </cell>
          <cell r="I21" t="str">
            <v/>
          </cell>
          <cell r="J21">
            <v>0</v>
          </cell>
          <cell r="K21">
            <v>0</v>
          </cell>
          <cell r="M21">
            <v>0</v>
          </cell>
          <cell r="N21">
            <v>0</v>
          </cell>
          <cell r="O21">
            <v>0</v>
          </cell>
          <cell r="P21" t="str">
            <v/>
          </cell>
          <cell r="Q21" t="str">
            <v/>
          </cell>
          <cell r="R21" t="str">
            <v/>
          </cell>
          <cell r="S21" t="str">
            <v/>
          </cell>
          <cell r="T21" t="str">
            <v/>
          </cell>
          <cell r="U21" t="str">
            <v/>
          </cell>
        </row>
        <row r="22">
          <cell r="G22">
            <v>10</v>
          </cell>
          <cell r="H22" t="str">
            <v/>
          </cell>
          <cell r="I22" t="str">
            <v/>
          </cell>
          <cell r="J22">
            <v>0</v>
          </cell>
          <cell r="K22">
            <v>0</v>
          </cell>
          <cell r="M22">
            <v>0</v>
          </cell>
          <cell r="N22">
            <v>0</v>
          </cell>
          <cell r="O22">
            <v>0</v>
          </cell>
          <cell r="P22" t="str">
            <v/>
          </cell>
          <cell r="Q22" t="str">
            <v/>
          </cell>
          <cell r="R22" t="str">
            <v/>
          </cell>
          <cell r="S22" t="str">
            <v/>
          </cell>
          <cell r="T22" t="str">
            <v/>
          </cell>
          <cell r="U22" t="str">
            <v/>
          </cell>
        </row>
        <row r="23">
          <cell r="G23">
            <v>11</v>
          </cell>
          <cell r="H23" t="str">
            <v/>
          </cell>
          <cell r="I23" t="str">
            <v/>
          </cell>
          <cell r="M23">
            <v>0</v>
          </cell>
          <cell r="N23">
            <v>0</v>
          </cell>
          <cell r="O23">
            <v>0</v>
          </cell>
          <cell r="P23" t="str">
            <v/>
          </cell>
          <cell r="Q23" t="str">
            <v/>
          </cell>
          <cell r="R23" t="str">
            <v/>
          </cell>
          <cell r="S23" t="str">
            <v/>
          </cell>
          <cell r="T23" t="str">
            <v/>
          </cell>
          <cell r="U23" t="str">
            <v/>
          </cell>
        </row>
        <row r="24">
          <cell r="G24">
            <v>12</v>
          </cell>
          <cell r="H24">
            <v>0</v>
          </cell>
          <cell r="I24" t="str">
            <v/>
          </cell>
          <cell r="M24">
            <v>0</v>
          </cell>
          <cell r="N24">
            <v>0</v>
          </cell>
          <cell r="O24">
            <v>0</v>
          </cell>
          <cell r="P24" t="str">
            <v/>
          </cell>
          <cell r="Q24" t="str">
            <v/>
          </cell>
          <cell r="R24" t="str">
            <v/>
          </cell>
          <cell r="S24" t="str">
            <v/>
          </cell>
          <cell r="T24" t="str">
            <v/>
          </cell>
          <cell r="U24" t="str">
            <v/>
          </cell>
        </row>
        <row r="25">
          <cell r="H25" t="str">
            <v>net chg</v>
          </cell>
          <cell r="I25">
            <v>-7.2</v>
          </cell>
        </row>
        <row r="27">
          <cell r="C27" t="str">
            <v>Input label for end point here:</v>
          </cell>
        </row>
        <row r="28">
          <cell r="C28" t="str">
            <v>2015E</v>
          </cell>
        </row>
        <row r="30">
          <cell r="C30" t="str">
            <v xml:space="preserve">End data value 
</v>
          </cell>
          <cell r="D30" t="str">
            <v/>
          </cell>
        </row>
        <row r="31">
          <cell r="C31" t="str">
            <v>is calculated</v>
          </cell>
        </row>
        <row r="32">
          <cell r="C32" t="str">
            <v>automatically</v>
          </cell>
        </row>
        <row r="1002">
          <cell r="A1002" t="str">
            <v>.</v>
          </cell>
          <cell r="B1002" t="str">
            <v>.</v>
          </cell>
          <cell r="C1002" t="str">
            <v>.</v>
          </cell>
        </row>
      </sheetData>
      <sheetData sheetId="3">
        <row r="1">
          <cell r="S1" t="str">
            <v>SmartCharts</v>
          </cell>
          <cell r="BB1" t="str">
            <v>.</v>
          </cell>
        </row>
        <row r="2">
          <cell r="BB2" t="str">
            <v>.</v>
          </cell>
        </row>
        <row r="3">
          <cell r="BB3" t="str">
            <v>.</v>
          </cell>
        </row>
        <row r="4">
          <cell r="BB4" t="str">
            <v>.</v>
          </cell>
        </row>
        <row r="5">
          <cell r="C5" t="str">
            <v>Define value axis here:</v>
          </cell>
        </row>
        <row r="6">
          <cell r="C6" t="str">
            <v>PFE/WYE Revenue Contribution per Segment</v>
          </cell>
        </row>
        <row r="10">
          <cell r="C10" t="str">
            <v>Input your data here:</v>
          </cell>
          <cell r="BB10" t="str">
            <v>.</v>
          </cell>
        </row>
        <row r="11">
          <cell r="D11" t="str">
            <v>Other</v>
          </cell>
          <cell r="E11" t="str">
            <v>Nutritionals</v>
          </cell>
          <cell r="F11" t="str">
            <v>Animal</v>
          </cell>
          <cell r="G11" t="str">
            <v>CHC</v>
          </cell>
          <cell r="H11" t="str">
            <v>Biologic</v>
          </cell>
          <cell r="I11" t="str">
            <v>Traditional</v>
          </cell>
          <cell r="BB11" t="str">
            <v>.</v>
          </cell>
        </row>
        <row r="12">
          <cell r="C12">
            <v>2010</v>
          </cell>
          <cell r="D12">
            <v>7.3922836848778701E-3</v>
          </cell>
          <cell r="E12">
            <v>3.9694505637046879E-2</v>
          </cell>
          <cell r="F12">
            <v>4.9542591862029917E-2</v>
          </cell>
          <cell r="G12">
            <v>4.5134290951814274E-2</v>
          </cell>
          <cell r="H12">
            <v>0.15079210822131184</v>
          </cell>
          <cell r="I12">
            <v>0.70744421964291904</v>
          </cell>
          <cell r="BB12" t="str">
            <v>.</v>
          </cell>
        </row>
        <row r="13">
          <cell r="C13">
            <v>2011</v>
          </cell>
          <cell r="D13">
            <v>7.8621358780429015E-3</v>
          </cell>
          <cell r="E13">
            <v>4.3501848606407156E-2</v>
          </cell>
          <cell r="F13">
            <v>5.2892461739374758E-2</v>
          </cell>
          <cell r="G13">
            <v>4.7788394858716006E-2</v>
          </cell>
          <cell r="H13">
            <v>0.16335309234331286</v>
          </cell>
          <cell r="I13">
            <v>0.68460206657414613</v>
          </cell>
          <cell r="BB13" t="str">
            <v>.</v>
          </cell>
        </row>
        <row r="14">
          <cell r="C14">
            <v>2012</v>
          </cell>
          <cell r="D14">
            <v>9.0894156599119914E-3</v>
          </cell>
          <cell r="E14">
            <v>5.1809888445371488E-2</v>
          </cell>
          <cell r="F14">
            <v>6.1361732478238944E-2</v>
          </cell>
          <cell r="G14">
            <v>5.4948172167998723E-2</v>
          </cell>
          <cell r="H14">
            <v>0.2064642573378605</v>
          </cell>
          <cell r="I14">
            <v>0.61632653391061831</v>
          </cell>
          <cell r="BB14" t="str">
            <v>.</v>
          </cell>
        </row>
        <row r="15">
          <cell r="C15">
            <v>2013</v>
          </cell>
          <cell r="D15">
            <v>9.3639207719231066E-3</v>
          </cell>
          <cell r="E15">
            <v>5.4972084194039497E-2</v>
          </cell>
          <cell r="F15">
            <v>6.3414379086380118E-2</v>
          </cell>
          <cell r="G15">
            <v>5.6314339157607203E-2</v>
          </cell>
          <cell r="H15">
            <v>0.22546494243949647</v>
          </cell>
          <cell r="I15">
            <v>0.59047033435055385</v>
          </cell>
          <cell r="BB15" t="str">
            <v>.</v>
          </cell>
        </row>
        <row r="16">
          <cell r="C16">
            <v>2014</v>
          </cell>
          <cell r="D16">
            <v>9.6393304601885728E-3</v>
          </cell>
          <cell r="E16">
            <v>5.826952701183119E-2</v>
          </cell>
          <cell r="F16">
            <v>6.5465107357308594E-2</v>
          </cell>
          <cell r="G16">
            <v>5.766814515501012E-2</v>
          </cell>
          <cell r="H16">
            <v>0.23925277361350805</v>
          </cell>
          <cell r="I16">
            <v>0.56970511640215349</v>
          </cell>
          <cell r="BB16" t="str">
            <v>.</v>
          </cell>
        </row>
        <row r="17">
          <cell r="C17">
            <v>2015</v>
          </cell>
          <cell r="D17">
            <v>9.9799761432740278E-3</v>
          </cell>
          <cell r="E17">
            <v>6.2107028447675697E-2</v>
          </cell>
          <cell r="F17">
            <v>6.7950841022483971E-2</v>
          </cell>
          <cell r="G17">
            <v>5.9392717383289405E-2</v>
          </cell>
          <cell r="H17">
            <v>0.25421323458932704</v>
          </cell>
          <cell r="I17">
            <v>0.54635620241394955</v>
          </cell>
          <cell r="BB17" t="str">
            <v>.</v>
          </cell>
        </row>
        <row r="18">
          <cell r="BB18" t="str">
            <v>.</v>
          </cell>
        </row>
        <row r="20">
          <cell r="BB20" t="str">
            <v>.</v>
          </cell>
        </row>
        <row r="21">
          <cell r="BB21" t="str">
            <v>.</v>
          </cell>
        </row>
        <row r="22">
          <cell r="BB22" t="str">
            <v>.</v>
          </cell>
        </row>
        <row r="23">
          <cell r="BB23" t="str">
            <v>.</v>
          </cell>
        </row>
        <row r="24">
          <cell r="BB24" t="str">
            <v>.</v>
          </cell>
        </row>
        <row r="25">
          <cell r="BB25" t="str">
            <v>.</v>
          </cell>
        </row>
        <row r="26">
          <cell r="BB26" t="str">
            <v>.</v>
          </cell>
        </row>
        <row r="27">
          <cell r="BB27" t="str">
            <v>.</v>
          </cell>
        </row>
        <row r="28">
          <cell r="BB28" t="str">
            <v>.</v>
          </cell>
        </row>
        <row r="29">
          <cell r="BB29" t="str">
            <v>.</v>
          </cell>
        </row>
        <row r="30">
          <cell r="BB30" t="str">
            <v>.</v>
          </cell>
        </row>
        <row r="31">
          <cell r="BB31" t="str">
            <v>.</v>
          </cell>
        </row>
        <row r="32">
          <cell r="BB32" t="str">
            <v>.</v>
          </cell>
        </row>
        <row r="33">
          <cell r="BB33" t="str">
            <v>.</v>
          </cell>
        </row>
        <row r="34">
          <cell r="BB34" t="str">
            <v>.</v>
          </cell>
        </row>
        <row r="35">
          <cell r="BB35" t="str">
            <v>.</v>
          </cell>
        </row>
        <row r="36">
          <cell r="BB36" t="str">
            <v>.</v>
          </cell>
        </row>
        <row r="37">
          <cell r="K37" t="str">
            <v>Do not change the width of the exhibit or font sizes (they are optimized for export to Word).</v>
          </cell>
          <cell r="BB37" t="str">
            <v>.</v>
          </cell>
        </row>
        <row r="38">
          <cell r="BB38" t="str">
            <v>.</v>
          </cell>
        </row>
        <row r="39">
          <cell r="K39" t="str">
            <v>Do not delete any rows or columns (some gray cells are used for calculations).</v>
          </cell>
          <cell r="BB39" t="str">
            <v>.</v>
          </cell>
        </row>
        <row r="40">
          <cell r="BB40" t="str">
            <v>.</v>
          </cell>
        </row>
        <row r="41">
          <cell r="BB41" t="str">
            <v>.</v>
          </cell>
        </row>
        <row r="42">
          <cell r="BB42" t="str">
            <v>.</v>
          </cell>
        </row>
        <row r="43">
          <cell r="BB43" t="str">
            <v>.</v>
          </cell>
        </row>
        <row r="44">
          <cell r="BB44" t="str">
            <v>.</v>
          </cell>
        </row>
        <row r="45">
          <cell r="BB45" t="str">
            <v>.</v>
          </cell>
        </row>
        <row r="46">
          <cell r="BB46" t="str">
            <v>.</v>
          </cell>
        </row>
        <row r="47">
          <cell r="BB47" t="str">
            <v>.</v>
          </cell>
        </row>
        <row r="48">
          <cell r="BB48" t="str">
            <v>.</v>
          </cell>
        </row>
        <row r="49">
          <cell r="BB49" t="str">
            <v>.</v>
          </cell>
        </row>
        <row r="50">
          <cell r="BB50" t="str">
            <v>.</v>
          </cell>
        </row>
        <row r="51">
          <cell r="BB51" t="str">
            <v>.</v>
          </cell>
        </row>
        <row r="52">
          <cell r="BB52" t="str">
            <v>.</v>
          </cell>
        </row>
        <row r="53">
          <cell r="BB53" t="str">
            <v>.</v>
          </cell>
        </row>
        <row r="54">
          <cell r="BB54" t="str">
            <v>.</v>
          </cell>
        </row>
        <row r="55">
          <cell r="BB55" t="str">
            <v>.</v>
          </cell>
        </row>
        <row r="56">
          <cell r="BB56" t="str">
            <v>.</v>
          </cell>
        </row>
        <row r="57">
          <cell r="BB57" t="str">
            <v>.</v>
          </cell>
        </row>
        <row r="58">
          <cell r="BB58" t="str">
            <v>.</v>
          </cell>
        </row>
        <row r="59">
          <cell r="BB59" t="str">
            <v>.</v>
          </cell>
        </row>
        <row r="60">
          <cell r="BB60" t="str">
            <v>.</v>
          </cell>
        </row>
        <row r="61">
          <cell r="BB61" t="str">
            <v>.</v>
          </cell>
        </row>
        <row r="62">
          <cell r="BB62" t="str">
            <v>.</v>
          </cell>
        </row>
        <row r="63">
          <cell r="BB63" t="str">
            <v>.</v>
          </cell>
        </row>
        <row r="64">
          <cell r="BB64" t="str">
            <v>.</v>
          </cell>
        </row>
        <row r="65">
          <cell r="BB65" t="str">
            <v>.</v>
          </cell>
        </row>
        <row r="66">
          <cell r="BB66" t="str">
            <v>.</v>
          </cell>
        </row>
        <row r="67">
          <cell r="BB67" t="str">
            <v>.</v>
          </cell>
        </row>
        <row r="68">
          <cell r="BB68" t="str">
            <v>.</v>
          </cell>
        </row>
        <row r="69">
          <cell r="BB69" t="str">
            <v>.</v>
          </cell>
        </row>
        <row r="70">
          <cell r="BB70" t="str">
            <v>.</v>
          </cell>
        </row>
        <row r="71">
          <cell r="BB71" t="str">
            <v>.</v>
          </cell>
        </row>
        <row r="72">
          <cell r="BB72" t="str">
            <v>.</v>
          </cell>
        </row>
        <row r="73">
          <cell r="BB73" t="str">
            <v>.</v>
          </cell>
        </row>
        <row r="74">
          <cell r="BB74" t="str">
            <v>.</v>
          </cell>
        </row>
        <row r="75">
          <cell r="BB75" t="str">
            <v>.</v>
          </cell>
        </row>
        <row r="76">
          <cell r="BB76" t="str">
            <v>.</v>
          </cell>
        </row>
        <row r="77">
          <cell r="BB77" t="str">
            <v>.</v>
          </cell>
        </row>
        <row r="78">
          <cell r="BB78" t="str">
            <v>.</v>
          </cell>
        </row>
        <row r="79">
          <cell r="BB79" t="str">
            <v>.</v>
          </cell>
        </row>
        <row r="80">
          <cell r="BB80" t="str">
            <v>.</v>
          </cell>
        </row>
        <row r="81">
          <cell r="BB81" t="str">
            <v>.</v>
          </cell>
        </row>
        <row r="82">
          <cell r="BB82" t="str">
            <v>.</v>
          </cell>
        </row>
        <row r="83">
          <cell r="BB83" t="str">
            <v>.</v>
          </cell>
        </row>
        <row r="84">
          <cell r="BB84" t="str">
            <v>.</v>
          </cell>
        </row>
        <row r="85">
          <cell r="BB85" t="str">
            <v>.</v>
          </cell>
        </row>
        <row r="86">
          <cell r="BB86" t="str">
            <v>.</v>
          </cell>
        </row>
        <row r="87">
          <cell r="BB87" t="str">
            <v>.</v>
          </cell>
        </row>
        <row r="88">
          <cell r="BB88" t="str">
            <v>.</v>
          </cell>
        </row>
        <row r="89">
          <cell r="BB89" t="str">
            <v>.</v>
          </cell>
        </row>
        <row r="90">
          <cell r="BB90" t="str">
            <v>.</v>
          </cell>
        </row>
        <row r="91">
          <cell r="BB91" t="str">
            <v>.</v>
          </cell>
        </row>
        <row r="92">
          <cell r="BB92" t="str">
            <v>.</v>
          </cell>
        </row>
        <row r="93">
          <cell r="BB93" t="str">
            <v>.</v>
          </cell>
        </row>
        <row r="94">
          <cell r="BB94" t="str">
            <v>.</v>
          </cell>
        </row>
        <row r="95">
          <cell r="BB95" t="str">
            <v>.</v>
          </cell>
        </row>
        <row r="96">
          <cell r="BB96" t="str">
            <v>.</v>
          </cell>
        </row>
        <row r="97">
          <cell r="BB97" t="str">
            <v>.</v>
          </cell>
        </row>
        <row r="98">
          <cell r="BB98" t="str">
            <v>.</v>
          </cell>
        </row>
        <row r="99">
          <cell r="BB99" t="str">
            <v>.</v>
          </cell>
        </row>
        <row r="100">
          <cell r="BB100" t="str">
            <v>.</v>
          </cell>
        </row>
        <row r="101">
          <cell r="BB101" t="str">
            <v>.</v>
          </cell>
        </row>
        <row r="102">
          <cell r="BB102" t="str">
            <v>.</v>
          </cell>
        </row>
        <row r="103">
          <cell r="BB103" t="str">
            <v>.</v>
          </cell>
        </row>
        <row r="104">
          <cell r="BB104" t="str">
            <v>.</v>
          </cell>
        </row>
        <row r="105">
          <cell r="BB105" t="str">
            <v>.</v>
          </cell>
        </row>
        <row r="106">
          <cell r="BB106" t="str">
            <v>.</v>
          </cell>
        </row>
        <row r="107">
          <cell r="BB107" t="str">
            <v>.</v>
          </cell>
        </row>
        <row r="108">
          <cell r="BB108" t="str">
            <v>.</v>
          </cell>
        </row>
        <row r="109">
          <cell r="BB109" t="str">
            <v>.</v>
          </cell>
        </row>
        <row r="110">
          <cell r="BB110" t="str">
            <v>.</v>
          </cell>
        </row>
        <row r="111">
          <cell r="BB111" t="str">
            <v>.</v>
          </cell>
        </row>
        <row r="112">
          <cell r="BB112" t="str">
            <v>.</v>
          </cell>
        </row>
        <row r="113">
          <cell r="BB113" t="str">
            <v>.</v>
          </cell>
        </row>
        <row r="114">
          <cell r="BB114" t="str">
            <v>.</v>
          </cell>
        </row>
        <row r="115">
          <cell r="BB115" t="str">
            <v>.</v>
          </cell>
        </row>
        <row r="116">
          <cell r="BB116" t="str">
            <v>.</v>
          </cell>
        </row>
        <row r="117">
          <cell r="BB117" t="str">
            <v>.</v>
          </cell>
        </row>
        <row r="118">
          <cell r="BB118" t="str">
            <v>.</v>
          </cell>
        </row>
        <row r="119">
          <cell r="BB119" t="str">
            <v>.</v>
          </cell>
        </row>
        <row r="120">
          <cell r="BB120" t="str">
            <v>.</v>
          </cell>
        </row>
        <row r="121">
          <cell r="BB121" t="str">
            <v>.</v>
          </cell>
        </row>
        <row r="122">
          <cell r="BB122" t="str">
            <v>.</v>
          </cell>
        </row>
        <row r="123">
          <cell r="BB123" t="str">
            <v>.</v>
          </cell>
        </row>
        <row r="124">
          <cell r="BB124" t="str">
            <v>.</v>
          </cell>
        </row>
        <row r="125">
          <cell r="BB125" t="str">
            <v>.</v>
          </cell>
        </row>
        <row r="126">
          <cell r="BB126" t="str">
            <v>.</v>
          </cell>
        </row>
        <row r="127">
          <cell r="BB127" t="str">
            <v>.</v>
          </cell>
        </row>
        <row r="128">
          <cell r="BB128" t="str">
            <v>.</v>
          </cell>
        </row>
        <row r="129">
          <cell r="BB129" t="str">
            <v>.</v>
          </cell>
        </row>
        <row r="130">
          <cell r="BB130" t="str">
            <v>.</v>
          </cell>
        </row>
        <row r="131">
          <cell r="BB131" t="str">
            <v>.</v>
          </cell>
        </row>
        <row r="132">
          <cell r="BB132" t="str">
            <v>.</v>
          </cell>
        </row>
        <row r="133">
          <cell r="BB133" t="str">
            <v>.</v>
          </cell>
        </row>
        <row r="134">
          <cell r="BB134" t="str">
            <v>.</v>
          </cell>
        </row>
        <row r="135">
          <cell r="BB135" t="str">
            <v>.</v>
          </cell>
        </row>
        <row r="136">
          <cell r="BB136" t="str">
            <v>.</v>
          </cell>
        </row>
        <row r="137">
          <cell r="BB137" t="str">
            <v>.</v>
          </cell>
        </row>
        <row r="138">
          <cell r="BB138" t="str">
            <v>.</v>
          </cell>
        </row>
        <row r="139">
          <cell r="BB139" t="str">
            <v>.</v>
          </cell>
        </row>
        <row r="140">
          <cell r="BB140" t="str">
            <v>.</v>
          </cell>
        </row>
        <row r="141">
          <cell r="BB141" t="str">
            <v>.</v>
          </cell>
        </row>
        <row r="142">
          <cell r="BB142" t="str">
            <v>.</v>
          </cell>
        </row>
        <row r="143">
          <cell r="BB143" t="str">
            <v>.</v>
          </cell>
        </row>
        <row r="144">
          <cell r="BB144" t="str">
            <v>.</v>
          </cell>
        </row>
        <row r="145">
          <cell r="BB145" t="str">
            <v>.</v>
          </cell>
        </row>
        <row r="146">
          <cell r="BB146" t="str">
            <v>.</v>
          </cell>
        </row>
        <row r="147">
          <cell r="BB147" t="str">
            <v>.</v>
          </cell>
        </row>
        <row r="148">
          <cell r="BB148" t="str">
            <v>.</v>
          </cell>
        </row>
        <row r="149">
          <cell r="BB149" t="str">
            <v>.</v>
          </cell>
        </row>
        <row r="150">
          <cell r="BB150" t="str">
            <v>.</v>
          </cell>
        </row>
        <row r="151">
          <cell r="BB151" t="str">
            <v>.</v>
          </cell>
        </row>
        <row r="152">
          <cell r="BB152" t="str">
            <v>.</v>
          </cell>
        </row>
        <row r="153">
          <cell r="BB153" t="str">
            <v>.</v>
          </cell>
        </row>
        <row r="154">
          <cell r="BB154" t="str">
            <v>.</v>
          </cell>
        </row>
        <row r="155">
          <cell r="BB155" t="str">
            <v>.</v>
          </cell>
        </row>
        <row r="156">
          <cell r="BB156" t="str">
            <v>.</v>
          </cell>
        </row>
        <row r="157">
          <cell r="BB157" t="str">
            <v>.</v>
          </cell>
        </row>
        <row r="158">
          <cell r="BB158" t="str">
            <v>.</v>
          </cell>
        </row>
        <row r="159">
          <cell r="BB159" t="str">
            <v>.</v>
          </cell>
        </row>
        <row r="160">
          <cell r="BB160" t="str">
            <v>.</v>
          </cell>
        </row>
        <row r="161">
          <cell r="BB161" t="str">
            <v>.</v>
          </cell>
        </row>
        <row r="162">
          <cell r="BB162" t="str">
            <v>.</v>
          </cell>
        </row>
        <row r="163">
          <cell r="BB163" t="str">
            <v>.</v>
          </cell>
        </row>
        <row r="164">
          <cell r="BB164" t="str">
            <v>.</v>
          </cell>
        </row>
        <row r="165">
          <cell r="BB165" t="str">
            <v>.</v>
          </cell>
        </row>
        <row r="166">
          <cell r="BB166" t="str">
            <v>.</v>
          </cell>
        </row>
        <row r="167">
          <cell r="BB167" t="str">
            <v>.</v>
          </cell>
        </row>
        <row r="168">
          <cell r="BB168" t="str">
            <v>.</v>
          </cell>
        </row>
        <row r="169">
          <cell r="BB169" t="str">
            <v>.</v>
          </cell>
        </row>
        <row r="170">
          <cell r="BB170" t="str">
            <v>.</v>
          </cell>
        </row>
        <row r="171">
          <cell r="BB171" t="str">
            <v>.</v>
          </cell>
        </row>
        <row r="172">
          <cell r="BB172" t="str">
            <v>.</v>
          </cell>
        </row>
        <row r="173">
          <cell r="BB173" t="str">
            <v>.</v>
          </cell>
        </row>
        <row r="174">
          <cell r="BB174" t="str">
            <v>.</v>
          </cell>
        </row>
        <row r="175">
          <cell r="BB175" t="str">
            <v>.</v>
          </cell>
        </row>
        <row r="176">
          <cell r="BB176" t="str">
            <v>.</v>
          </cell>
        </row>
        <row r="177">
          <cell r="BB177" t="str">
            <v>.</v>
          </cell>
        </row>
        <row r="178">
          <cell r="BB178" t="str">
            <v>.</v>
          </cell>
        </row>
        <row r="179">
          <cell r="BB179" t="str">
            <v>.</v>
          </cell>
        </row>
        <row r="180">
          <cell r="BB180" t="str">
            <v>.</v>
          </cell>
        </row>
        <row r="181">
          <cell r="BB181" t="str">
            <v>.</v>
          </cell>
        </row>
        <row r="182">
          <cell r="BB182" t="str">
            <v>.</v>
          </cell>
        </row>
        <row r="183">
          <cell r="BB183" t="str">
            <v>.</v>
          </cell>
        </row>
        <row r="184">
          <cell r="BB184" t="str">
            <v>.</v>
          </cell>
        </row>
        <row r="185">
          <cell r="BB185" t="str">
            <v>.</v>
          </cell>
        </row>
        <row r="186">
          <cell r="BB186" t="str">
            <v>.</v>
          </cell>
        </row>
        <row r="187">
          <cell r="BB187" t="str">
            <v>.</v>
          </cell>
        </row>
        <row r="188">
          <cell r="BB188" t="str">
            <v>.</v>
          </cell>
        </row>
        <row r="189">
          <cell r="BB189" t="str">
            <v>.</v>
          </cell>
        </row>
        <row r="190">
          <cell r="BB190" t="str">
            <v>.</v>
          </cell>
        </row>
        <row r="191">
          <cell r="BB191" t="str">
            <v>.</v>
          </cell>
        </row>
        <row r="192">
          <cell r="BB192" t="str">
            <v>.</v>
          </cell>
        </row>
        <row r="193">
          <cell r="BB193" t="str">
            <v>.</v>
          </cell>
        </row>
        <row r="194">
          <cell r="BB194" t="str">
            <v>.</v>
          </cell>
        </row>
        <row r="195">
          <cell r="BB195" t="str">
            <v>.</v>
          </cell>
        </row>
        <row r="196">
          <cell r="BB196" t="str">
            <v>.</v>
          </cell>
        </row>
        <row r="197">
          <cell r="BB197" t="str">
            <v>.</v>
          </cell>
        </row>
        <row r="198">
          <cell r="BB198" t="str">
            <v>.</v>
          </cell>
        </row>
        <row r="199">
          <cell r="BB199" t="str">
            <v>.</v>
          </cell>
        </row>
        <row r="200">
          <cell r="BB200" t="str">
            <v>.</v>
          </cell>
        </row>
        <row r="201">
          <cell r="BB201" t="str">
            <v>.</v>
          </cell>
        </row>
        <row r="202">
          <cell r="BB202" t="str">
            <v>.</v>
          </cell>
        </row>
        <row r="203">
          <cell r="BB203" t="str">
            <v>.</v>
          </cell>
        </row>
        <row r="204">
          <cell r="BB204" t="str">
            <v>.</v>
          </cell>
        </row>
        <row r="205">
          <cell r="BB205" t="str">
            <v>.</v>
          </cell>
        </row>
        <row r="206">
          <cell r="BB206" t="str">
            <v>.</v>
          </cell>
        </row>
        <row r="207">
          <cell r="BB207" t="str">
            <v>.</v>
          </cell>
        </row>
        <row r="208">
          <cell r="BB208" t="str">
            <v>.</v>
          </cell>
        </row>
        <row r="209">
          <cell r="BB209" t="str">
            <v>.</v>
          </cell>
        </row>
        <row r="210">
          <cell r="BB210" t="str">
            <v>.</v>
          </cell>
        </row>
        <row r="211">
          <cell r="BB211" t="str">
            <v>.</v>
          </cell>
        </row>
        <row r="212">
          <cell r="BB212" t="str">
            <v>.</v>
          </cell>
        </row>
        <row r="213">
          <cell r="BB213" t="str">
            <v>.</v>
          </cell>
        </row>
        <row r="214">
          <cell r="BB214" t="str">
            <v>.</v>
          </cell>
        </row>
        <row r="215">
          <cell r="BB215" t="str">
            <v>.</v>
          </cell>
        </row>
        <row r="216">
          <cell r="BB216" t="str">
            <v>.</v>
          </cell>
        </row>
        <row r="217">
          <cell r="BB217" t="str">
            <v>.</v>
          </cell>
        </row>
        <row r="218">
          <cell r="BB218" t="str">
            <v>.</v>
          </cell>
        </row>
        <row r="219">
          <cell r="BB219" t="str">
            <v>.</v>
          </cell>
        </row>
        <row r="220">
          <cell r="BB220" t="str">
            <v>.</v>
          </cell>
        </row>
        <row r="221">
          <cell r="BB221" t="str">
            <v>.</v>
          </cell>
        </row>
        <row r="222">
          <cell r="BB222" t="str">
            <v>.</v>
          </cell>
        </row>
        <row r="223">
          <cell r="BB223" t="str">
            <v>.</v>
          </cell>
        </row>
        <row r="224">
          <cell r="BB224" t="str">
            <v>.</v>
          </cell>
        </row>
        <row r="225">
          <cell r="BB225" t="str">
            <v>.</v>
          </cell>
        </row>
        <row r="226">
          <cell r="BB226" t="str">
            <v>.</v>
          </cell>
        </row>
        <row r="227">
          <cell r="BB227" t="str">
            <v>.</v>
          </cell>
        </row>
        <row r="228">
          <cell r="BB228" t="str">
            <v>.</v>
          </cell>
        </row>
        <row r="229">
          <cell r="BB229" t="str">
            <v>.</v>
          </cell>
        </row>
        <row r="230">
          <cell r="BB230" t="str">
            <v>.</v>
          </cell>
        </row>
        <row r="231">
          <cell r="BB231" t="str">
            <v>.</v>
          </cell>
        </row>
        <row r="232">
          <cell r="BB232" t="str">
            <v>.</v>
          </cell>
        </row>
        <row r="233">
          <cell r="BB233" t="str">
            <v>.</v>
          </cell>
        </row>
        <row r="234">
          <cell r="BB234" t="str">
            <v>.</v>
          </cell>
        </row>
        <row r="235">
          <cell r="BB235" t="str">
            <v>.</v>
          </cell>
        </row>
        <row r="236">
          <cell r="BB236" t="str">
            <v>.</v>
          </cell>
        </row>
        <row r="237">
          <cell r="BB237" t="str">
            <v>.</v>
          </cell>
        </row>
        <row r="238">
          <cell r="BB238" t="str">
            <v>.</v>
          </cell>
        </row>
        <row r="239">
          <cell r="BB239" t="str">
            <v>.</v>
          </cell>
        </row>
        <row r="240">
          <cell r="BB240" t="str">
            <v>.</v>
          </cell>
        </row>
        <row r="241">
          <cell r="BB241" t="str">
            <v>.</v>
          </cell>
        </row>
        <row r="242">
          <cell r="BB242" t="str">
            <v>.</v>
          </cell>
        </row>
        <row r="243">
          <cell r="BB243" t="str">
            <v>.</v>
          </cell>
        </row>
        <row r="244">
          <cell r="BB244" t="str">
            <v>.</v>
          </cell>
        </row>
        <row r="245">
          <cell r="BB245" t="str">
            <v>.</v>
          </cell>
        </row>
        <row r="246">
          <cell r="BB246" t="str">
            <v>.</v>
          </cell>
        </row>
        <row r="247">
          <cell r="BB247" t="str">
            <v>.</v>
          </cell>
        </row>
        <row r="248">
          <cell r="BB248" t="str">
            <v>.</v>
          </cell>
        </row>
        <row r="249">
          <cell r="BB249" t="str">
            <v>.</v>
          </cell>
        </row>
        <row r="250">
          <cell r="BB250" t="str">
            <v>.</v>
          </cell>
        </row>
        <row r="251">
          <cell r="BB251" t="str">
            <v>.</v>
          </cell>
        </row>
        <row r="252">
          <cell r="BB252" t="str">
            <v>.</v>
          </cell>
        </row>
        <row r="253">
          <cell r="BB253" t="str">
            <v>.</v>
          </cell>
        </row>
        <row r="254">
          <cell r="BB254" t="str">
            <v>.</v>
          </cell>
        </row>
        <row r="255">
          <cell r="BB255" t="str">
            <v>.</v>
          </cell>
        </row>
        <row r="256">
          <cell r="BB256" t="str">
            <v>.</v>
          </cell>
        </row>
        <row r="257">
          <cell r="BB257" t="str">
            <v>.</v>
          </cell>
        </row>
        <row r="258">
          <cell r="BB258" t="str">
            <v>.</v>
          </cell>
        </row>
        <row r="259">
          <cell r="BB259" t="str">
            <v>.</v>
          </cell>
        </row>
        <row r="260">
          <cell r="BB260" t="str">
            <v>.</v>
          </cell>
        </row>
        <row r="261">
          <cell r="BB261" t="str">
            <v>.</v>
          </cell>
        </row>
        <row r="262">
          <cell r="BB262" t="str">
            <v>.</v>
          </cell>
        </row>
        <row r="263">
          <cell r="BB263" t="str">
            <v>.</v>
          </cell>
        </row>
        <row r="264">
          <cell r="BB264" t="str">
            <v>.</v>
          </cell>
        </row>
        <row r="265">
          <cell r="BB265" t="str">
            <v>.</v>
          </cell>
        </row>
        <row r="266">
          <cell r="BB266" t="str">
            <v>.</v>
          </cell>
        </row>
        <row r="267">
          <cell r="BB267" t="str">
            <v>.</v>
          </cell>
        </row>
        <row r="268">
          <cell r="BB268" t="str">
            <v>.</v>
          </cell>
        </row>
        <row r="269">
          <cell r="BB269" t="str">
            <v>.</v>
          </cell>
        </row>
        <row r="270">
          <cell r="BB270" t="str">
            <v>.</v>
          </cell>
        </row>
        <row r="271">
          <cell r="BB271" t="str">
            <v>.</v>
          </cell>
        </row>
        <row r="272">
          <cell r="BB272" t="str">
            <v>.</v>
          </cell>
        </row>
        <row r="273">
          <cell r="BB273" t="str">
            <v>.</v>
          </cell>
        </row>
        <row r="274">
          <cell r="BB274" t="str">
            <v>.</v>
          </cell>
        </row>
        <row r="275">
          <cell r="BB275" t="str">
            <v>.</v>
          </cell>
        </row>
        <row r="276">
          <cell r="BB276" t="str">
            <v>.</v>
          </cell>
        </row>
        <row r="277">
          <cell r="BB277" t="str">
            <v>.</v>
          </cell>
        </row>
        <row r="278">
          <cell r="BB278" t="str">
            <v>.</v>
          </cell>
        </row>
        <row r="279">
          <cell r="BB279" t="str">
            <v>.</v>
          </cell>
        </row>
        <row r="280">
          <cell r="BB280" t="str">
            <v>.</v>
          </cell>
        </row>
        <row r="281">
          <cell r="BB281" t="str">
            <v>.</v>
          </cell>
        </row>
        <row r="282">
          <cell r="BB282" t="str">
            <v>.</v>
          </cell>
        </row>
        <row r="283">
          <cell r="BB283" t="str">
            <v>.</v>
          </cell>
        </row>
        <row r="284">
          <cell r="BB284" t="str">
            <v>.</v>
          </cell>
        </row>
        <row r="285">
          <cell r="BB285" t="str">
            <v>.</v>
          </cell>
        </row>
        <row r="286">
          <cell r="BB286" t="str">
            <v>.</v>
          </cell>
        </row>
        <row r="287">
          <cell r="BB287" t="str">
            <v>.</v>
          </cell>
        </row>
        <row r="288">
          <cell r="BB288" t="str">
            <v>.</v>
          </cell>
        </row>
        <row r="289">
          <cell r="BB289" t="str">
            <v>.</v>
          </cell>
        </row>
        <row r="290">
          <cell r="BB290" t="str">
            <v>.</v>
          </cell>
        </row>
        <row r="291">
          <cell r="BB291" t="str">
            <v>.</v>
          </cell>
        </row>
        <row r="292">
          <cell r="BB292" t="str">
            <v>.</v>
          </cell>
        </row>
        <row r="293">
          <cell r="BB293" t="str">
            <v>.</v>
          </cell>
        </row>
        <row r="294">
          <cell r="BB294" t="str">
            <v>.</v>
          </cell>
        </row>
        <row r="295">
          <cell r="BB295" t="str">
            <v>.</v>
          </cell>
        </row>
        <row r="296">
          <cell r="BB296" t="str">
            <v>.</v>
          </cell>
        </row>
        <row r="297">
          <cell r="BB297" t="str">
            <v>.</v>
          </cell>
        </row>
        <row r="298">
          <cell r="BB298" t="str">
            <v>.</v>
          </cell>
        </row>
        <row r="299">
          <cell r="BB299" t="str">
            <v>.</v>
          </cell>
        </row>
        <row r="300">
          <cell r="BB300" t="str">
            <v>.</v>
          </cell>
        </row>
        <row r="301">
          <cell r="BB301" t="str">
            <v>.</v>
          </cell>
        </row>
        <row r="302">
          <cell r="BB302" t="str">
            <v>.</v>
          </cell>
        </row>
        <row r="303">
          <cell r="BB303" t="str">
            <v>.</v>
          </cell>
        </row>
        <row r="304">
          <cell r="BB304" t="str">
            <v>.</v>
          </cell>
        </row>
        <row r="305">
          <cell r="BB305" t="str">
            <v>.</v>
          </cell>
        </row>
        <row r="306">
          <cell r="BB306" t="str">
            <v>.</v>
          </cell>
        </row>
        <row r="307">
          <cell r="BB307" t="str">
            <v>.</v>
          </cell>
        </row>
        <row r="308">
          <cell r="BB308" t="str">
            <v>.</v>
          </cell>
        </row>
        <row r="309">
          <cell r="BB309" t="str">
            <v>.</v>
          </cell>
        </row>
        <row r="310">
          <cell r="BB310" t="str">
            <v>.</v>
          </cell>
        </row>
        <row r="311">
          <cell r="BB311" t="str">
            <v>.</v>
          </cell>
        </row>
        <row r="312">
          <cell r="BB312" t="str">
            <v>.</v>
          </cell>
        </row>
        <row r="313">
          <cell r="BB313" t="str">
            <v>.</v>
          </cell>
        </row>
        <row r="314">
          <cell r="BB314" t="str">
            <v>.</v>
          </cell>
        </row>
        <row r="315">
          <cell r="BB315" t="str">
            <v>.</v>
          </cell>
        </row>
        <row r="316">
          <cell r="BB316" t="str">
            <v>.</v>
          </cell>
        </row>
        <row r="317">
          <cell r="BB317" t="str">
            <v>.</v>
          </cell>
        </row>
        <row r="318">
          <cell r="BB318" t="str">
            <v>.</v>
          </cell>
        </row>
        <row r="319">
          <cell r="BB319" t="str">
            <v>.</v>
          </cell>
        </row>
        <row r="320">
          <cell r="BB320" t="str">
            <v>.</v>
          </cell>
        </row>
        <row r="321">
          <cell r="BB321" t="str">
            <v>.</v>
          </cell>
        </row>
        <row r="322">
          <cell r="BB322" t="str">
            <v>.</v>
          </cell>
        </row>
        <row r="323">
          <cell r="BB323" t="str">
            <v>.</v>
          </cell>
        </row>
        <row r="324">
          <cell r="BB324" t="str">
            <v>.</v>
          </cell>
        </row>
        <row r="325">
          <cell r="BB325" t="str">
            <v>.</v>
          </cell>
        </row>
        <row r="326">
          <cell r="BB326" t="str">
            <v>.</v>
          </cell>
        </row>
        <row r="327">
          <cell r="BB327" t="str">
            <v>.</v>
          </cell>
        </row>
        <row r="328">
          <cell r="BB328" t="str">
            <v>.</v>
          </cell>
        </row>
        <row r="329">
          <cell r="BB329" t="str">
            <v>.</v>
          </cell>
        </row>
        <row r="330">
          <cell r="BB330" t="str">
            <v>.</v>
          </cell>
        </row>
        <row r="331">
          <cell r="BB331" t="str">
            <v>.</v>
          </cell>
        </row>
        <row r="332">
          <cell r="BB332" t="str">
            <v>.</v>
          </cell>
        </row>
        <row r="333">
          <cell r="BB333" t="str">
            <v>.</v>
          </cell>
        </row>
        <row r="334">
          <cell r="BB334" t="str">
            <v>.</v>
          </cell>
        </row>
        <row r="335">
          <cell r="BB335" t="str">
            <v>.</v>
          </cell>
        </row>
        <row r="336">
          <cell r="BB336" t="str">
            <v>.</v>
          </cell>
        </row>
        <row r="337">
          <cell r="BB337" t="str">
            <v>.</v>
          </cell>
        </row>
        <row r="338">
          <cell r="BB338" t="str">
            <v>.</v>
          </cell>
        </row>
        <row r="339">
          <cell r="BB339" t="str">
            <v>.</v>
          </cell>
        </row>
        <row r="340">
          <cell r="BB340" t="str">
            <v>.</v>
          </cell>
        </row>
        <row r="341">
          <cell r="BB341" t="str">
            <v>.</v>
          </cell>
        </row>
        <row r="342">
          <cell r="BB342" t="str">
            <v>.</v>
          </cell>
        </row>
        <row r="343">
          <cell r="BB343" t="str">
            <v>.</v>
          </cell>
        </row>
        <row r="344">
          <cell r="BB344" t="str">
            <v>.</v>
          </cell>
        </row>
        <row r="345">
          <cell r="BB345" t="str">
            <v>.</v>
          </cell>
        </row>
        <row r="346">
          <cell r="BB346" t="str">
            <v>.</v>
          </cell>
        </row>
        <row r="347">
          <cell r="BB347" t="str">
            <v>.</v>
          </cell>
        </row>
        <row r="348">
          <cell r="BB348" t="str">
            <v>.</v>
          </cell>
        </row>
        <row r="349">
          <cell r="BB349" t="str">
            <v>.</v>
          </cell>
        </row>
        <row r="350">
          <cell r="BB350" t="str">
            <v>.</v>
          </cell>
        </row>
        <row r="351">
          <cell r="BB351" t="str">
            <v>.</v>
          </cell>
        </row>
        <row r="352">
          <cell r="BB352" t="str">
            <v>.</v>
          </cell>
        </row>
        <row r="353">
          <cell r="BB353" t="str">
            <v>.</v>
          </cell>
        </row>
        <row r="354">
          <cell r="BB354" t="str">
            <v>.</v>
          </cell>
        </row>
        <row r="355">
          <cell r="BB355" t="str">
            <v>.</v>
          </cell>
        </row>
        <row r="356">
          <cell r="BB356" t="str">
            <v>.</v>
          </cell>
        </row>
        <row r="357">
          <cell r="BB357" t="str">
            <v>.</v>
          </cell>
        </row>
        <row r="358">
          <cell r="BB358" t="str">
            <v>.</v>
          </cell>
        </row>
        <row r="359">
          <cell r="BB359" t="str">
            <v>.</v>
          </cell>
        </row>
        <row r="360">
          <cell r="BB360" t="str">
            <v>.</v>
          </cell>
        </row>
        <row r="361">
          <cell r="BB361" t="str">
            <v>.</v>
          </cell>
        </row>
        <row r="362">
          <cell r="BB362" t="str">
            <v>.</v>
          </cell>
        </row>
        <row r="363">
          <cell r="BB363" t="str">
            <v>.</v>
          </cell>
        </row>
        <row r="364">
          <cell r="BB364" t="str">
            <v>.</v>
          </cell>
        </row>
        <row r="365">
          <cell r="BB365" t="str">
            <v>.</v>
          </cell>
        </row>
        <row r="366">
          <cell r="BB366" t="str">
            <v>.</v>
          </cell>
        </row>
        <row r="367">
          <cell r="BB367" t="str">
            <v>.</v>
          </cell>
        </row>
        <row r="368">
          <cell r="BB368" t="str">
            <v>.</v>
          </cell>
        </row>
        <row r="369">
          <cell r="BB369" t="str">
            <v>.</v>
          </cell>
        </row>
        <row r="370">
          <cell r="BB370" t="str">
            <v>.</v>
          </cell>
        </row>
        <row r="371">
          <cell r="BB371" t="str">
            <v>.</v>
          </cell>
        </row>
        <row r="372">
          <cell r="BB372" t="str">
            <v>.</v>
          </cell>
        </row>
        <row r="373">
          <cell r="BB373" t="str">
            <v>.</v>
          </cell>
        </row>
        <row r="374">
          <cell r="BB374" t="str">
            <v>.</v>
          </cell>
        </row>
        <row r="375">
          <cell r="BB375" t="str">
            <v>.</v>
          </cell>
        </row>
        <row r="376">
          <cell r="BB376" t="str">
            <v>.</v>
          </cell>
        </row>
        <row r="377">
          <cell r="BB377" t="str">
            <v>.</v>
          </cell>
        </row>
        <row r="378">
          <cell r="BB378" t="str">
            <v>.</v>
          </cell>
        </row>
        <row r="379">
          <cell r="BB379" t="str">
            <v>.</v>
          </cell>
        </row>
        <row r="380">
          <cell r="BB380" t="str">
            <v>.</v>
          </cell>
        </row>
        <row r="381">
          <cell r="BB381" t="str">
            <v>.</v>
          </cell>
        </row>
        <row r="382">
          <cell r="BB382" t="str">
            <v>.</v>
          </cell>
        </row>
        <row r="383">
          <cell r="BB383" t="str">
            <v>.</v>
          </cell>
        </row>
        <row r="384">
          <cell r="BB384" t="str">
            <v>.</v>
          </cell>
        </row>
        <row r="385">
          <cell r="BB385" t="str">
            <v>.</v>
          </cell>
        </row>
        <row r="386">
          <cell r="BB386" t="str">
            <v>.</v>
          </cell>
        </row>
        <row r="387">
          <cell r="BB387" t="str">
            <v>.</v>
          </cell>
        </row>
        <row r="388">
          <cell r="BB388" t="str">
            <v>.</v>
          </cell>
        </row>
        <row r="389">
          <cell r="BB389" t="str">
            <v>.</v>
          </cell>
        </row>
        <row r="390">
          <cell r="BB390" t="str">
            <v>.</v>
          </cell>
        </row>
        <row r="391">
          <cell r="BB391" t="str">
            <v>.</v>
          </cell>
        </row>
        <row r="392">
          <cell r="BB392" t="str">
            <v>.</v>
          </cell>
        </row>
        <row r="393">
          <cell r="BB393" t="str">
            <v>.</v>
          </cell>
        </row>
        <row r="394">
          <cell r="BB394" t="str">
            <v>.</v>
          </cell>
        </row>
        <row r="395">
          <cell r="BB395" t="str">
            <v>.</v>
          </cell>
        </row>
        <row r="396">
          <cell r="BB396" t="str">
            <v>.</v>
          </cell>
        </row>
        <row r="397">
          <cell r="BB397" t="str">
            <v>.</v>
          </cell>
        </row>
        <row r="398">
          <cell r="BB398" t="str">
            <v>.</v>
          </cell>
        </row>
        <row r="399">
          <cell r="BB399" t="str">
            <v>.</v>
          </cell>
        </row>
        <row r="400">
          <cell r="BB400" t="str">
            <v>.</v>
          </cell>
        </row>
        <row r="401">
          <cell r="BB401" t="str">
            <v>.</v>
          </cell>
        </row>
        <row r="402">
          <cell r="BB402" t="str">
            <v>.</v>
          </cell>
        </row>
        <row r="403">
          <cell r="BB403" t="str">
            <v>.</v>
          </cell>
        </row>
        <row r="404">
          <cell r="BB404" t="str">
            <v>.</v>
          </cell>
        </row>
        <row r="405">
          <cell r="BB405" t="str">
            <v>.</v>
          </cell>
        </row>
        <row r="406">
          <cell r="BB406" t="str">
            <v>.</v>
          </cell>
        </row>
        <row r="407">
          <cell r="BB407" t="str">
            <v>.</v>
          </cell>
        </row>
        <row r="408">
          <cell r="BB408" t="str">
            <v>.</v>
          </cell>
        </row>
        <row r="409">
          <cell r="BB409" t="str">
            <v>.</v>
          </cell>
        </row>
        <row r="410">
          <cell r="BB410" t="str">
            <v>.</v>
          </cell>
        </row>
        <row r="411">
          <cell r="BB411" t="str">
            <v>.</v>
          </cell>
        </row>
        <row r="412">
          <cell r="BB412" t="str">
            <v>.</v>
          </cell>
        </row>
        <row r="413">
          <cell r="BB413" t="str">
            <v>.</v>
          </cell>
        </row>
        <row r="414">
          <cell r="BB414" t="str">
            <v>.</v>
          </cell>
        </row>
        <row r="415">
          <cell r="BB415" t="str">
            <v>.</v>
          </cell>
        </row>
        <row r="416">
          <cell r="BB416" t="str">
            <v>.</v>
          </cell>
        </row>
        <row r="417">
          <cell r="BB417" t="str">
            <v>.</v>
          </cell>
        </row>
        <row r="418">
          <cell r="BB418" t="str">
            <v>.</v>
          </cell>
        </row>
        <row r="419">
          <cell r="BB419" t="str">
            <v>.</v>
          </cell>
        </row>
        <row r="420">
          <cell r="BB420" t="str">
            <v>.</v>
          </cell>
        </row>
        <row r="421">
          <cell r="BB421" t="str">
            <v>.</v>
          </cell>
        </row>
        <row r="422">
          <cell r="BB422" t="str">
            <v>.</v>
          </cell>
        </row>
        <row r="423">
          <cell r="BB423" t="str">
            <v>.</v>
          </cell>
        </row>
        <row r="424">
          <cell r="BB424" t="str">
            <v>.</v>
          </cell>
        </row>
        <row r="425">
          <cell r="BB425" t="str">
            <v>.</v>
          </cell>
        </row>
        <row r="426">
          <cell r="BB426" t="str">
            <v>.</v>
          </cell>
        </row>
        <row r="427">
          <cell r="BB427" t="str">
            <v>.</v>
          </cell>
        </row>
        <row r="428">
          <cell r="BB428" t="str">
            <v>.</v>
          </cell>
        </row>
        <row r="429">
          <cell r="BB429" t="str">
            <v>.</v>
          </cell>
        </row>
        <row r="430">
          <cell r="BB430" t="str">
            <v>.</v>
          </cell>
        </row>
        <row r="431">
          <cell r="BB431" t="str">
            <v>.</v>
          </cell>
        </row>
        <row r="432">
          <cell r="BB432" t="str">
            <v>.</v>
          </cell>
        </row>
        <row r="433">
          <cell r="BB433" t="str">
            <v>.</v>
          </cell>
        </row>
        <row r="434">
          <cell r="BB434" t="str">
            <v>.</v>
          </cell>
        </row>
        <row r="435">
          <cell r="BB435" t="str">
            <v>.</v>
          </cell>
        </row>
        <row r="436">
          <cell r="BB436" t="str">
            <v>.</v>
          </cell>
        </row>
        <row r="437">
          <cell r="BB437" t="str">
            <v>.</v>
          </cell>
        </row>
        <row r="438">
          <cell r="BB438" t="str">
            <v>.</v>
          </cell>
        </row>
        <row r="439">
          <cell r="BB439" t="str">
            <v>.</v>
          </cell>
        </row>
        <row r="440">
          <cell r="BB440" t="str">
            <v>.</v>
          </cell>
        </row>
        <row r="441">
          <cell r="BB441" t="str">
            <v>.</v>
          </cell>
        </row>
        <row r="442">
          <cell r="BB442" t="str">
            <v>.</v>
          </cell>
        </row>
        <row r="443">
          <cell r="BB443" t="str">
            <v>.</v>
          </cell>
        </row>
        <row r="444">
          <cell r="BB444" t="str">
            <v>.</v>
          </cell>
        </row>
        <row r="445">
          <cell r="BB445" t="str">
            <v>.</v>
          </cell>
        </row>
        <row r="446">
          <cell r="BB446" t="str">
            <v>.</v>
          </cell>
        </row>
        <row r="447">
          <cell r="BB447" t="str">
            <v>.</v>
          </cell>
        </row>
        <row r="448">
          <cell r="BB448" t="str">
            <v>.</v>
          </cell>
        </row>
        <row r="449">
          <cell r="BB449" t="str">
            <v>.</v>
          </cell>
        </row>
        <row r="450">
          <cell r="BB450" t="str">
            <v>.</v>
          </cell>
        </row>
        <row r="451">
          <cell r="BB451" t="str">
            <v>.</v>
          </cell>
        </row>
        <row r="452">
          <cell r="BB452" t="str">
            <v>.</v>
          </cell>
        </row>
        <row r="453">
          <cell r="BB453" t="str">
            <v>.</v>
          </cell>
        </row>
        <row r="454">
          <cell r="BB454" t="str">
            <v>.</v>
          </cell>
        </row>
        <row r="455">
          <cell r="BB455" t="str">
            <v>.</v>
          </cell>
        </row>
        <row r="456">
          <cell r="BB456" t="str">
            <v>.</v>
          </cell>
        </row>
        <row r="457">
          <cell r="BB457" t="str">
            <v>.</v>
          </cell>
        </row>
        <row r="458">
          <cell r="BB458" t="str">
            <v>.</v>
          </cell>
        </row>
        <row r="459">
          <cell r="BB459" t="str">
            <v>.</v>
          </cell>
        </row>
        <row r="460">
          <cell r="BB460" t="str">
            <v>.</v>
          </cell>
        </row>
        <row r="461">
          <cell r="BB461" t="str">
            <v>.</v>
          </cell>
        </row>
        <row r="462">
          <cell r="BB462" t="str">
            <v>.</v>
          </cell>
        </row>
        <row r="463">
          <cell r="BB463" t="str">
            <v>.</v>
          </cell>
        </row>
        <row r="464">
          <cell r="BB464" t="str">
            <v>.</v>
          </cell>
        </row>
        <row r="465">
          <cell r="BB465" t="str">
            <v>.</v>
          </cell>
        </row>
        <row r="466">
          <cell r="BB466" t="str">
            <v>.</v>
          </cell>
        </row>
        <row r="467">
          <cell r="BB467" t="str">
            <v>.</v>
          </cell>
        </row>
        <row r="468">
          <cell r="BB468" t="str">
            <v>.</v>
          </cell>
        </row>
        <row r="469">
          <cell r="BB469" t="str">
            <v>.</v>
          </cell>
        </row>
        <row r="470">
          <cell r="BB470" t="str">
            <v>.</v>
          </cell>
        </row>
        <row r="471">
          <cell r="BB471" t="str">
            <v>.</v>
          </cell>
        </row>
        <row r="472">
          <cell r="BB472" t="str">
            <v>.</v>
          </cell>
        </row>
        <row r="473">
          <cell r="BB473" t="str">
            <v>.</v>
          </cell>
        </row>
        <row r="474">
          <cell r="BB474" t="str">
            <v>.</v>
          </cell>
        </row>
        <row r="475">
          <cell r="BB475" t="str">
            <v>.</v>
          </cell>
        </row>
        <row r="476">
          <cell r="BB476" t="str">
            <v>.</v>
          </cell>
        </row>
        <row r="477">
          <cell r="BB477" t="str">
            <v>.</v>
          </cell>
        </row>
        <row r="478">
          <cell r="BB478" t="str">
            <v>.</v>
          </cell>
        </row>
        <row r="479">
          <cell r="BB479" t="str">
            <v>.</v>
          </cell>
        </row>
        <row r="480">
          <cell r="BB480" t="str">
            <v>.</v>
          </cell>
        </row>
        <row r="481">
          <cell r="BB481" t="str">
            <v>.</v>
          </cell>
        </row>
        <row r="482">
          <cell r="BB482" t="str">
            <v>.</v>
          </cell>
        </row>
        <row r="483">
          <cell r="BB483" t="str">
            <v>.</v>
          </cell>
        </row>
        <row r="484">
          <cell r="BB484" t="str">
            <v>.</v>
          </cell>
        </row>
        <row r="485">
          <cell r="BB485" t="str">
            <v>.</v>
          </cell>
        </row>
        <row r="486">
          <cell r="BB486" t="str">
            <v>.</v>
          </cell>
        </row>
        <row r="487">
          <cell r="BB487" t="str">
            <v>.</v>
          </cell>
        </row>
        <row r="488">
          <cell r="BB488" t="str">
            <v>.</v>
          </cell>
        </row>
        <row r="489">
          <cell r="BB489" t="str">
            <v>.</v>
          </cell>
        </row>
        <row r="490">
          <cell r="BB490" t="str">
            <v>.</v>
          </cell>
        </row>
        <row r="491">
          <cell r="BB491" t="str">
            <v>.</v>
          </cell>
        </row>
        <row r="492">
          <cell r="BB492" t="str">
            <v>.</v>
          </cell>
        </row>
        <row r="493">
          <cell r="BB493" t="str">
            <v>.</v>
          </cell>
        </row>
        <row r="494">
          <cell r="BB494" t="str">
            <v>.</v>
          </cell>
        </row>
        <row r="495">
          <cell r="BB495" t="str">
            <v>.</v>
          </cell>
        </row>
        <row r="496">
          <cell r="BB496" t="str">
            <v>.</v>
          </cell>
        </row>
        <row r="497">
          <cell r="BB497" t="str">
            <v>.</v>
          </cell>
        </row>
        <row r="498">
          <cell r="BB498" t="str">
            <v>.</v>
          </cell>
        </row>
        <row r="499">
          <cell r="BB499" t="str">
            <v>.</v>
          </cell>
        </row>
        <row r="500">
          <cell r="BB500" t="str">
            <v>.</v>
          </cell>
        </row>
        <row r="501">
          <cell r="BB501" t="str">
            <v>.</v>
          </cell>
        </row>
        <row r="502">
          <cell r="BB502" t="str">
            <v>.</v>
          </cell>
        </row>
        <row r="503">
          <cell r="BB503" t="str">
            <v>.</v>
          </cell>
        </row>
        <row r="504">
          <cell r="BB504" t="str">
            <v>.</v>
          </cell>
        </row>
        <row r="505">
          <cell r="BB505" t="str">
            <v>.</v>
          </cell>
        </row>
        <row r="506">
          <cell r="BB506" t="str">
            <v>.</v>
          </cell>
        </row>
        <row r="507">
          <cell r="BB507" t="str">
            <v>.</v>
          </cell>
        </row>
        <row r="508">
          <cell r="BB508" t="str">
            <v>.</v>
          </cell>
        </row>
        <row r="509">
          <cell r="BB509" t="str">
            <v>.</v>
          </cell>
        </row>
        <row r="510">
          <cell r="BB510" t="str">
            <v>.</v>
          </cell>
        </row>
        <row r="511">
          <cell r="BB511" t="str">
            <v>.</v>
          </cell>
        </row>
        <row r="512">
          <cell r="BB512" t="str">
            <v>.</v>
          </cell>
        </row>
        <row r="513">
          <cell r="BB513" t="str">
            <v>.</v>
          </cell>
        </row>
        <row r="514">
          <cell r="BB514" t="str">
            <v>.</v>
          </cell>
        </row>
        <row r="515">
          <cell r="BB515" t="str">
            <v>.</v>
          </cell>
        </row>
        <row r="516">
          <cell r="BB516" t="str">
            <v>.</v>
          </cell>
        </row>
        <row r="517">
          <cell r="BB517" t="str">
            <v>.</v>
          </cell>
        </row>
        <row r="518">
          <cell r="BB518" t="str">
            <v>.</v>
          </cell>
        </row>
        <row r="519">
          <cell r="BB519" t="str">
            <v>.</v>
          </cell>
        </row>
        <row r="520">
          <cell r="BB520" t="str">
            <v>.</v>
          </cell>
        </row>
        <row r="521">
          <cell r="BB521" t="str">
            <v>.</v>
          </cell>
        </row>
        <row r="522">
          <cell r="BB522" t="str">
            <v>.</v>
          </cell>
        </row>
        <row r="523">
          <cell r="BB523" t="str">
            <v>.</v>
          </cell>
        </row>
        <row r="524">
          <cell r="BB524" t="str">
            <v>.</v>
          </cell>
        </row>
        <row r="525">
          <cell r="BB525" t="str">
            <v>.</v>
          </cell>
        </row>
        <row r="526">
          <cell r="BB526" t="str">
            <v>.</v>
          </cell>
        </row>
        <row r="527">
          <cell r="BB527" t="str">
            <v>.</v>
          </cell>
        </row>
        <row r="528">
          <cell r="BB528" t="str">
            <v>.</v>
          </cell>
        </row>
        <row r="529">
          <cell r="BB529" t="str">
            <v>.</v>
          </cell>
        </row>
        <row r="530">
          <cell r="BB530" t="str">
            <v>.</v>
          </cell>
        </row>
        <row r="531">
          <cell r="BB531" t="str">
            <v>.</v>
          </cell>
        </row>
        <row r="532">
          <cell r="BB532" t="str">
            <v>.</v>
          </cell>
        </row>
        <row r="533">
          <cell r="BB533" t="str">
            <v>.</v>
          </cell>
        </row>
        <row r="534">
          <cell r="BB534" t="str">
            <v>.</v>
          </cell>
        </row>
        <row r="535">
          <cell r="BB535" t="str">
            <v>.</v>
          </cell>
        </row>
        <row r="536">
          <cell r="BB536" t="str">
            <v>.</v>
          </cell>
        </row>
        <row r="537">
          <cell r="BB537" t="str">
            <v>.</v>
          </cell>
        </row>
        <row r="538">
          <cell r="BB538" t="str">
            <v>.</v>
          </cell>
        </row>
        <row r="539">
          <cell r="BB539" t="str">
            <v>.</v>
          </cell>
        </row>
        <row r="540">
          <cell r="BB540" t="str">
            <v>.</v>
          </cell>
        </row>
        <row r="541">
          <cell r="BB541" t="str">
            <v>.</v>
          </cell>
        </row>
        <row r="542">
          <cell r="BB542" t="str">
            <v>.</v>
          </cell>
        </row>
        <row r="543">
          <cell r="BB543" t="str">
            <v>.</v>
          </cell>
        </row>
        <row r="544">
          <cell r="BB544" t="str">
            <v>.</v>
          </cell>
        </row>
        <row r="545">
          <cell r="BB545" t="str">
            <v>.</v>
          </cell>
        </row>
        <row r="546">
          <cell r="BB546" t="str">
            <v>.</v>
          </cell>
        </row>
        <row r="547">
          <cell r="BB547" t="str">
            <v>.</v>
          </cell>
        </row>
        <row r="548">
          <cell r="BB548" t="str">
            <v>.</v>
          </cell>
        </row>
        <row r="549">
          <cell r="BB549" t="str">
            <v>.</v>
          </cell>
        </row>
        <row r="550">
          <cell r="BB550" t="str">
            <v>.</v>
          </cell>
        </row>
        <row r="551">
          <cell r="BB551" t="str">
            <v>.</v>
          </cell>
        </row>
        <row r="552">
          <cell r="BB552" t="str">
            <v>.</v>
          </cell>
        </row>
        <row r="553">
          <cell r="BB553" t="str">
            <v>.</v>
          </cell>
        </row>
        <row r="554">
          <cell r="BB554" t="str">
            <v>.</v>
          </cell>
        </row>
        <row r="555">
          <cell r="BB555" t="str">
            <v>.</v>
          </cell>
        </row>
        <row r="556">
          <cell r="BB556" t="str">
            <v>.</v>
          </cell>
        </row>
        <row r="557">
          <cell r="BB557" t="str">
            <v>.</v>
          </cell>
        </row>
        <row r="558">
          <cell r="BB558" t="str">
            <v>.</v>
          </cell>
        </row>
        <row r="559">
          <cell r="BB559" t="str">
            <v>.</v>
          </cell>
        </row>
        <row r="560">
          <cell r="BB560" t="str">
            <v>.</v>
          </cell>
        </row>
        <row r="561">
          <cell r="BB561" t="str">
            <v>.</v>
          </cell>
        </row>
        <row r="562">
          <cell r="BB562" t="str">
            <v>.</v>
          </cell>
        </row>
        <row r="563">
          <cell r="BB563" t="str">
            <v>.</v>
          </cell>
        </row>
        <row r="564">
          <cell r="BB564" t="str">
            <v>.</v>
          </cell>
        </row>
        <row r="565">
          <cell r="BB565" t="str">
            <v>.</v>
          </cell>
        </row>
        <row r="566">
          <cell r="BB566" t="str">
            <v>.</v>
          </cell>
        </row>
        <row r="567">
          <cell r="BB567" t="str">
            <v>.</v>
          </cell>
        </row>
        <row r="568">
          <cell r="BB568" t="str">
            <v>.</v>
          </cell>
        </row>
        <row r="569">
          <cell r="BB569" t="str">
            <v>.</v>
          </cell>
        </row>
        <row r="570">
          <cell r="BB570" t="str">
            <v>.</v>
          </cell>
        </row>
        <row r="571">
          <cell r="BB571" t="str">
            <v>.</v>
          </cell>
        </row>
        <row r="572">
          <cell r="BB572" t="str">
            <v>.</v>
          </cell>
        </row>
        <row r="573">
          <cell r="BB573" t="str">
            <v>.</v>
          </cell>
        </row>
        <row r="574">
          <cell r="BB574" t="str">
            <v>.</v>
          </cell>
        </row>
        <row r="575">
          <cell r="BB575" t="str">
            <v>.</v>
          </cell>
        </row>
        <row r="576">
          <cell r="BB576" t="str">
            <v>.</v>
          </cell>
        </row>
        <row r="577">
          <cell r="BB577" t="str">
            <v>.</v>
          </cell>
        </row>
        <row r="578">
          <cell r="BB578" t="str">
            <v>.</v>
          </cell>
        </row>
        <row r="579">
          <cell r="BB579" t="str">
            <v>.</v>
          </cell>
        </row>
        <row r="580">
          <cell r="BB580" t="str">
            <v>.</v>
          </cell>
        </row>
        <row r="581">
          <cell r="BB581" t="str">
            <v>.</v>
          </cell>
        </row>
        <row r="582">
          <cell r="BB582" t="str">
            <v>.</v>
          </cell>
        </row>
        <row r="583">
          <cell r="BB583" t="str">
            <v>.</v>
          </cell>
        </row>
        <row r="584">
          <cell r="BB584" t="str">
            <v>.</v>
          </cell>
        </row>
        <row r="585">
          <cell r="BB585" t="str">
            <v>.</v>
          </cell>
        </row>
        <row r="586">
          <cell r="BB586" t="str">
            <v>.</v>
          </cell>
        </row>
        <row r="587">
          <cell r="BB587" t="str">
            <v>.</v>
          </cell>
        </row>
        <row r="588">
          <cell r="BB588" t="str">
            <v>.</v>
          </cell>
        </row>
        <row r="589">
          <cell r="BB589" t="str">
            <v>.</v>
          </cell>
        </row>
        <row r="590">
          <cell r="BB590" t="str">
            <v>.</v>
          </cell>
        </row>
        <row r="591">
          <cell r="BB591" t="str">
            <v>.</v>
          </cell>
        </row>
        <row r="592">
          <cell r="BB592" t="str">
            <v>.</v>
          </cell>
        </row>
        <row r="593">
          <cell r="BB593" t="str">
            <v>.</v>
          </cell>
        </row>
        <row r="594">
          <cell r="BB594" t="str">
            <v>.</v>
          </cell>
        </row>
        <row r="595">
          <cell r="BB595" t="str">
            <v>.</v>
          </cell>
        </row>
        <row r="596">
          <cell r="BB596" t="str">
            <v>.</v>
          </cell>
        </row>
        <row r="597">
          <cell r="BB597" t="str">
            <v>.</v>
          </cell>
        </row>
        <row r="598">
          <cell r="BB598" t="str">
            <v>.</v>
          </cell>
        </row>
        <row r="599">
          <cell r="BB599" t="str">
            <v>.</v>
          </cell>
        </row>
        <row r="600">
          <cell r="BB600" t="str">
            <v>.</v>
          </cell>
        </row>
        <row r="601">
          <cell r="BB601" t="str">
            <v>.</v>
          </cell>
        </row>
        <row r="602">
          <cell r="BB602" t="str">
            <v>.</v>
          </cell>
        </row>
        <row r="603">
          <cell r="BB603" t="str">
            <v>.</v>
          </cell>
        </row>
        <row r="604">
          <cell r="BB604" t="str">
            <v>.</v>
          </cell>
        </row>
        <row r="605">
          <cell r="BB605" t="str">
            <v>.</v>
          </cell>
        </row>
        <row r="606">
          <cell r="BB606" t="str">
            <v>.</v>
          </cell>
        </row>
        <row r="607">
          <cell r="BB607" t="str">
            <v>.</v>
          </cell>
        </row>
        <row r="608">
          <cell r="BB608" t="str">
            <v>.</v>
          </cell>
        </row>
        <row r="609">
          <cell r="BB609" t="str">
            <v>.</v>
          </cell>
        </row>
        <row r="610">
          <cell r="BB610" t="str">
            <v>.</v>
          </cell>
        </row>
        <row r="611">
          <cell r="BB611" t="str">
            <v>.</v>
          </cell>
        </row>
        <row r="612">
          <cell r="BB612" t="str">
            <v>.</v>
          </cell>
        </row>
        <row r="613">
          <cell r="BB613" t="str">
            <v>.</v>
          </cell>
        </row>
        <row r="614">
          <cell r="BB614" t="str">
            <v>.</v>
          </cell>
        </row>
        <row r="615">
          <cell r="BB615" t="str">
            <v>.</v>
          </cell>
        </row>
        <row r="616">
          <cell r="BB616" t="str">
            <v>.</v>
          </cell>
        </row>
        <row r="617">
          <cell r="BB617" t="str">
            <v>.</v>
          </cell>
        </row>
        <row r="618">
          <cell r="BB618" t="str">
            <v>.</v>
          </cell>
        </row>
        <row r="619">
          <cell r="BB619" t="str">
            <v>.</v>
          </cell>
        </row>
        <row r="620">
          <cell r="BB620" t="str">
            <v>.</v>
          </cell>
        </row>
        <row r="621">
          <cell r="BB621" t="str">
            <v>.</v>
          </cell>
        </row>
        <row r="622">
          <cell r="BB622" t="str">
            <v>.</v>
          </cell>
        </row>
        <row r="623">
          <cell r="BB623" t="str">
            <v>.</v>
          </cell>
        </row>
        <row r="624">
          <cell r="BB624" t="str">
            <v>.</v>
          </cell>
        </row>
        <row r="625">
          <cell r="BB625" t="str">
            <v>.</v>
          </cell>
        </row>
        <row r="626">
          <cell r="BB626" t="str">
            <v>.</v>
          </cell>
        </row>
        <row r="627">
          <cell r="BB627" t="str">
            <v>.</v>
          </cell>
        </row>
        <row r="628">
          <cell r="BB628" t="str">
            <v>.</v>
          </cell>
        </row>
        <row r="629">
          <cell r="BB629" t="str">
            <v>.</v>
          </cell>
        </row>
        <row r="630">
          <cell r="BB630" t="str">
            <v>.</v>
          </cell>
        </row>
        <row r="631">
          <cell r="BB631" t="str">
            <v>.</v>
          </cell>
        </row>
        <row r="632">
          <cell r="BB632" t="str">
            <v>.</v>
          </cell>
        </row>
        <row r="633">
          <cell r="BB633" t="str">
            <v>.</v>
          </cell>
        </row>
        <row r="634">
          <cell r="BB634" t="str">
            <v>.</v>
          </cell>
        </row>
        <row r="635">
          <cell r="BB635" t="str">
            <v>.</v>
          </cell>
        </row>
        <row r="636">
          <cell r="BB636" t="str">
            <v>.</v>
          </cell>
        </row>
        <row r="637">
          <cell r="BB637" t="str">
            <v>.</v>
          </cell>
        </row>
        <row r="638">
          <cell r="BB638" t="str">
            <v>.</v>
          </cell>
        </row>
        <row r="639">
          <cell r="BB639" t="str">
            <v>.</v>
          </cell>
        </row>
        <row r="640">
          <cell r="BB640" t="str">
            <v>.</v>
          </cell>
        </row>
        <row r="641">
          <cell r="BB641" t="str">
            <v>.</v>
          </cell>
        </row>
        <row r="642">
          <cell r="BB642" t="str">
            <v>.</v>
          </cell>
        </row>
        <row r="643">
          <cell r="BB643" t="str">
            <v>.</v>
          </cell>
        </row>
        <row r="644">
          <cell r="BB644" t="str">
            <v>.</v>
          </cell>
        </row>
        <row r="645">
          <cell r="BB645" t="str">
            <v>.</v>
          </cell>
        </row>
        <row r="646">
          <cell r="BB646" t="str">
            <v>.</v>
          </cell>
        </row>
        <row r="647">
          <cell r="BB647" t="str">
            <v>.</v>
          </cell>
        </row>
        <row r="648">
          <cell r="BB648" t="str">
            <v>.</v>
          </cell>
        </row>
        <row r="649">
          <cell r="BB649" t="str">
            <v>.</v>
          </cell>
        </row>
        <row r="650">
          <cell r="BB650" t="str">
            <v>.</v>
          </cell>
        </row>
        <row r="651">
          <cell r="BB651" t="str">
            <v>.</v>
          </cell>
        </row>
        <row r="652">
          <cell r="BB652" t="str">
            <v>.</v>
          </cell>
        </row>
        <row r="653">
          <cell r="BB653" t="str">
            <v>.</v>
          </cell>
        </row>
        <row r="654">
          <cell r="BB654" t="str">
            <v>.</v>
          </cell>
        </row>
        <row r="655">
          <cell r="BB655" t="str">
            <v>.</v>
          </cell>
        </row>
        <row r="656">
          <cell r="BB656" t="str">
            <v>.</v>
          </cell>
        </row>
        <row r="657">
          <cell r="BB657" t="str">
            <v>.</v>
          </cell>
        </row>
        <row r="658">
          <cell r="BB658" t="str">
            <v>.</v>
          </cell>
        </row>
        <row r="659">
          <cell r="BB659" t="str">
            <v>.</v>
          </cell>
        </row>
        <row r="660">
          <cell r="BB660" t="str">
            <v>.</v>
          </cell>
        </row>
        <row r="661">
          <cell r="BB661" t="str">
            <v>.</v>
          </cell>
        </row>
        <row r="662">
          <cell r="BB662" t="str">
            <v>.</v>
          </cell>
        </row>
        <row r="663">
          <cell r="BB663" t="str">
            <v>.</v>
          </cell>
        </row>
        <row r="664">
          <cell r="BB664" t="str">
            <v>.</v>
          </cell>
        </row>
        <row r="665">
          <cell r="BB665" t="str">
            <v>.</v>
          </cell>
        </row>
        <row r="666">
          <cell r="BB666" t="str">
            <v>.</v>
          </cell>
        </row>
        <row r="667">
          <cell r="BB667" t="str">
            <v>.</v>
          </cell>
        </row>
        <row r="668">
          <cell r="BB668" t="str">
            <v>.</v>
          </cell>
        </row>
        <row r="669">
          <cell r="BB669" t="str">
            <v>.</v>
          </cell>
        </row>
        <row r="670">
          <cell r="BB670" t="str">
            <v>.</v>
          </cell>
        </row>
        <row r="671">
          <cell r="BB671" t="str">
            <v>.</v>
          </cell>
        </row>
        <row r="672">
          <cell r="BB672" t="str">
            <v>.</v>
          </cell>
        </row>
        <row r="673">
          <cell r="BB673" t="str">
            <v>.</v>
          </cell>
        </row>
        <row r="674">
          <cell r="BB674" t="str">
            <v>.</v>
          </cell>
        </row>
        <row r="675">
          <cell r="BB675" t="str">
            <v>.</v>
          </cell>
        </row>
        <row r="676">
          <cell r="BB676" t="str">
            <v>.</v>
          </cell>
        </row>
        <row r="677">
          <cell r="BB677" t="str">
            <v>.</v>
          </cell>
        </row>
        <row r="678">
          <cell r="BB678" t="str">
            <v>.</v>
          </cell>
        </row>
        <row r="679">
          <cell r="BB679" t="str">
            <v>.</v>
          </cell>
        </row>
        <row r="680">
          <cell r="BB680" t="str">
            <v>.</v>
          </cell>
        </row>
        <row r="681">
          <cell r="BB681" t="str">
            <v>.</v>
          </cell>
        </row>
        <row r="682">
          <cell r="BB682" t="str">
            <v>.</v>
          </cell>
        </row>
        <row r="683">
          <cell r="BB683" t="str">
            <v>.</v>
          </cell>
        </row>
        <row r="684">
          <cell r="BB684" t="str">
            <v>.</v>
          </cell>
        </row>
        <row r="685">
          <cell r="BB685" t="str">
            <v>.</v>
          </cell>
        </row>
        <row r="686">
          <cell r="BB686" t="str">
            <v>.</v>
          </cell>
        </row>
        <row r="687">
          <cell r="BB687" t="str">
            <v>.</v>
          </cell>
        </row>
        <row r="688">
          <cell r="BB688" t="str">
            <v>.</v>
          </cell>
        </row>
        <row r="689">
          <cell r="BB689" t="str">
            <v>.</v>
          </cell>
        </row>
        <row r="690">
          <cell r="BB690" t="str">
            <v>.</v>
          </cell>
        </row>
        <row r="691">
          <cell r="BB691" t="str">
            <v>.</v>
          </cell>
        </row>
        <row r="692">
          <cell r="BB692" t="str">
            <v>.</v>
          </cell>
        </row>
        <row r="693">
          <cell r="BB693" t="str">
            <v>.</v>
          </cell>
        </row>
        <row r="694">
          <cell r="BB694" t="str">
            <v>.</v>
          </cell>
        </row>
        <row r="695">
          <cell r="BB695" t="str">
            <v>.</v>
          </cell>
        </row>
        <row r="696">
          <cell r="BB696" t="str">
            <v>.</v>
          </cell>
        </row>
        <row r="697">
          <cell r="BB697" t="str">
            <v>.</v>
          </cell>
        </row>
        <row r="698">
          <cell r="BB698" t="str">
            <v>.</v>
          </cell>
        </row>
        <row r="699">
          <cell r="BB699" t="str">
            <v>.</v>
          </cell>
        </row>
        <row r="700">
          <cell r="BB700" t="str">
            <v>.</v>
          </cell>
        </row>
        <row r="701">
          <cell r="BB701" t="str">
            <v>.</v>
          </cell>
        </row>
        <row r="702">
          <cell r="BB702" t="str">
            <v>.</v>
          </cell>
        </row>
        <row r="703">
          <cell r="BB703" t="str">
            <v>.</v>
          </cell>
        </row>
        <row r="704">
          <cell r="BB704" t="str">
            <v>.</v>
          </cell>
        </row>
        <row r="705">
          <cell r="BB705" t="str">
            <v>.</v>
          </cell>
        </row>
        <row r="706">
          <cell r="BB706" t="str">
            <v>.</v>
          </cell>
        </row>
        <row r="707">
          <cell r="BB707" t="str">
            <v>.</v>
          </cell>
        </row>
        <row r="708">
          <cell r="BB708" t="str">
            <v>.</v>
          </cell>
        </row>
        <row r="709">
          <cell r="BB709" t="str">
            <v>.</v>
          </cell>
        </row>
        <row r="710">
          <cell r="BB710" t="str">
            <v>.</v>
          </cell>
        </row>
        <row r="711">
          <cell r="BB711" t="str">
            <v>.</v>
          </cell>
        </row>
        <row r="712">
          <cell r="BB712" t="str">
            <v>.</v>
          </cell>
        </row>
        <row r="713">
          <cell r="BB713" t="str">
            <v>.</v>
          </cell>
        </row>
        <row r="714">
          <cell r="BB714" t="str">
            <v>.</v>
          </cell>
        </row>
        <row r="715">
          <cell r="BB715" t="str">
            <v>.</v>
          </cell>
        </row>
        <row r="716">
          <cell r="BB716" t="str">
            <v>.</v>
          </cell>
        </row>
        <row r="717">
          <cell r="BB717" t="str">
            <v>.</v>
          </cell>
        </row>
        <row r="718">
          <cell r="BB718" t="str">
            <v>.</v>
          </cell>
        </row>
        <row r="719">
          <cell r="BB719" t="str">
            <v>.</v>
          </cell>
        </row>
        <row r="720">
          <cell r="BB720" t="str">
            <v>.</v>
          </cell>
        </row>
        <row r="721">
          <cell r="BB721" t="str">
            <v>.</v>
          </cell>
        </row>
        <row r="722">
          <cell r="BB722" t="str">
            <v>.</v>
          </cell>
        </row>
        <row r="723">
          <cell r="BB723" t="str">
            <v>.</v>
          </cell>
        </row>
        <row r="724">
          <cell r="BB724" t="str">
            <v>.</v>
          </cell>
        </row>
        <row r="725">
          <cell r="BB725" t="str">
            <v>.</v>
          </cell>
        </row>
        <row r="726">
          <cell r="BB726" t="str">
            <v>.</v>
          </cell>
        </row>
        <row r="727">
          <cell r="BB727" t="str">
            <v>.</v>
          </cell>
        </row>
        <row r="728">
          <cell r="BB728" t="str">
            <v>.</v>
          </cell>
        </row>
        <row r="729">
          <cell r="BB729" t="str">
            <v>.</v>
          </cell>
        </row>
        <row r="730">
          <cell r="BB730" t="str">
            <v>.</v>
          </cell>
        </row>
        <row r="731">
          <cell r="BB731" t="str">
            <v>.</v>
          </cell>
        </row>
        <row r="732">
          <cell r="BB732" t="str">
            <v>.</v>
          </cell>
        </row>
        <row r="733">
          <cell r="BB733" t="str">
            <v>.</v>
          </cell>
        </row>
        <row r="734">
          <cell r="BB734" t="str">
            <v>.</v>
          </cell>
        </row>
        <row r="735">
          <cell r="BB735" t="str">
            <v>.</v>
          </cell>
        </row>
        <row r="736">
          <cell r="BB736" t="str">
            <v>.</v>
          </cell>
        </row>
        <row r="737">
          <cell r="BB737" t="str">
            <v>.</v>
          </cell>
        </row>
        <row r="738">
          <cell r="BB738" t="str">
            <v>.</v>
          </cell>
        </row>
        <row r="739">
          <cell r="BB739" t="str">
            <v>.</v>
          </cell>
        </row>
        <row r="740">
          <cell r="BB740" t="str">
            <v>.</v>
          </cell>
        </row>
        <row r="741">
          <cell r="BB741" t="str">
            <v>.</v>
          </cell>
        </row>
        <row r="742">
          <cell r="BB742" t="str">
            <v>.</v>
          </cell>
        </row>
        <row r="743">
          <cell r="BB743" t="str">
            <v>.</v>
          </cell>
        </row>
        <row r="744">
          <cell r="BB744" t="str">
            <v>.</v>
          </cell>
        </row>
        <row r="745">
          <cell r="BB745" t="str">
            <v>.</v>
          </cell>
        </row>
        <row r="746">
          <cell r="BB746" t="str">
            <v>.</v>
          </cell>
        </row>
        <row r="747">
          <cell r="BB747" t="str">
            <v>.</v>
          </cell>
        </row>
        <row r="748">
          <cell r="BB748" t="str">
            <v>.</v>
          </cell>
        </row>
        <row r="749">
          <cell r="BB749" t="str">
            <v>.</v>
          </cell>
        </row>
        <row r="750">
          <cell r="BB750" t="str">
            <v>.</v>
          </cell>
        </row>
        <row r="751">
          <cell r="BB751" t="str">
            <v>.</v>
          </cell>
        </row>
        <row r="752">
          <cell r="BB752" t="str">
            <v>.</v>
          </cell>
        </row>
        <row r="753">
          <cell r="BB753" t="str">
            <v>.</v>
          </cell>
        </row>
        <row r="754">
          <cell r="BB754" t="str">
            <v>.</v>
          </cell>
        </row>
        <row r="755">
          <cell r="BB755" t="str">
            <v>.</v>
          </cell>
        </row>
        <row r="756">
          <cell r="BB756" t="str">
            <v>.</v>
          </cell>
        </row>
        <row r="757">
          <cell r="BB757" t="str">
            <v>.</v>
          </cell>
        </row>
        <row r="758">
          <cell r="BB758" t="str">
            <v>.</v>
          </cell>
        </row>
        <row r="759">
          <cell r="BB759" t="str">
            <v>.</v>
          </cell>
        </row>
        <row r="760">
          <cell r="BB760" t="str">
            <v>.</v>
          </cell>
        </row>
        <row r="761">
          <cell r="BB761" t="str">
            <v>.</v>
          </cell>
        </row>
        <row r="762">
          <cell r="BB762" t="str">
            <v>.</v>
          </cell>
        </row>
        <row r="763">
          <cell r="BB763" t="str">
            <v>.</v>
          </cell>
        </row>
        <row r="764">
          <cell r="BB764" t="str">
            <v>.</v>
          </cell>
        </row>
        <row r="765">
          <cell r="BB765" t="str">
            <v>.</v>
          </cell>
        </row>
        <row r="766">
          <cell r="BB766" t="str">
            <v>.</v>
          </cell>
        </row>
        <row r="767">
          <cell r="BB767" t="str">
            <v>.</v>
          </cell>
        </row>
        <row r="768">
          <cell r="BB768" t="str">
            <v>.</v>
          </cell>
        </row>
        <row r="769">
          <cell r="BB769" t="str">
            <v>.</v>
          </cell>
        </row>
        <row r="770">
          <cell r="BB770" t="str">
            <v>.</v>
          </cell>
        </row>
        <row r="771">
          <cell r="BB771" t="str">
            <v>.</v>
          </cell>
        </row>
        <row r="772">
          <cell r="BB772" t="str">
            <v>.</v>
          </cell>
        </row>
        <row r="773">
          <cell r="BB773" t="str">
            <v>.</v>
          </cell>
        </row>
        <row r="774">
          <cell r="BB774" t="str">
            <v>.</v>
          </cell>
        </row>
        <row r="775">
          <cell r="BB775" t="str">
            <v>.</v>
          </cell>
        </row>
        <row r="776">
          <cell r="BB776" t="str">
            <v>.</v>
          </cell>
        </row>
        <row r="777">
          <cell r="BB777" t="str">
            <v>.</v>
          </cell>
        </row>
        <row r="778">
          <cell r="BB778" t="str">
            <v>.</v>
          </cell>
        </row>
        <row r="779">
          <cell r="BB779" t="str">
            <v>.</v>
          </cell>
        </row>
        <row r="780">
          <cell r="BB780" t="str">
            <v>.</v>
          </cell>
        </row>
        <row r="781">
          <cell r="BB781" t="str">
            <v>.</v>
          </cell>
        </row>
        <row r="782">
          <cell r="BB782" t="str">
            <v>.</v>
          </cell>
        </row>
        <row r="783">
          <cell r="BB783" t="str">
            <v>.</v>
          </cell>
        </row>
        <row r="784">
          <cell r="BB784" t="str">
            <v>.</v>
          </cell>
        </row>
        <row r="785">
          <cell r="BB785" t="str">
            <v>.</v>
          </cell>
        </row>
        <row r="786">
          <cell r="BB786" t="str">
            <v>.</v>
          </cell>
        </row>
        <row r="787">
          <cell r="BB787" t="str">
            <v>.</v>
          </cell>
        </row>
        <row r="788">
          <cell r="BB788" t="str">
            <v>.</v>
          </cell>
        </row>
        <row r="789">
          <cell r="BB789" t="str">
            <v>.</v>
          </cell>
        </row>
        <row r="790">
          <cell r="BB790" t="str">
            <v>.</v>
          </cell>
        </row>
        <row r="791">
          <cell r="BB791" t="str">
            <v>.</v>
          </cell>
        </row>
        <row r="792">
          <cell r="BB792" t="str">
            <v>.</v>
          </cell>
        </row>
        <row r="793">
          <cell r="BB793" t="str">
            <v>.</v>
          </cell>
        </row>
        <row r="794">
          <cell r="BB794" t="str">
            <v>.</v>
          </cell>
        </row>
        <row r="795">
          <cell r="BB795" t="str">
            <v>.</v>
          </cell>
        </row>
        <row r="796">
          <cell r="BB796" t="str">
            <v>.</v>
          </cell>
        </row>
        <row r="797">
          <cell r="BB797" t="str">
            <v>.</v>
          </cell>
        </row>
        <row r="798">
          <cell r="BB798" t="str">
            <v>.</v>
          </cell>
        </row>
        <row r="799">
          <cell r="BB799" t="str">
            <v>.</v>
          </cell>
        </row>
        <row r="800">
          <cell r="BB800" t="str">
            <v>.</v>
          </cell>
        </row>
        <row r="801">
          <cell r="BB801" t="str">
            <v>.</v>
          </cell>
        </row>
        <row r="802">
          <cell r="BB802" t="str">
            <v>.</v>
          </cell>
        </row>
        <row r="803">
          <cell r="BB803" t="str">
            <v>.</v>
          </cell>
        </row>
        <row r="804">
          <cell r="BB804" t="str">
            <v>.</v>
          </cell>
        </row>
        <row r="805">
          <cell r="BB805" t="str">
            <v>.</v>
          </cell>
        </row>
        <row r="806">
          <cell r="BB806" t="str">
            <v>.</v>
          </cell>
        </row>
        <row r="807">
          <cell r="BB807" t="str">
            <v>.</v>
          </cell>
        </row>
        <row r="808">
          <cell r="BB808" t="str">
            <v>.</v>
          </cell>
        </row>
        <row r="809">
          <cell r="BB809" t="str">
            <v>.</v>
          </cell>
        </row>
        <row r="810">
          <cell r="BB810" t="str">
            <v>.</v>
          </cell>
        </row>
        <row r="811">
          <cell r="BB811" t="str">
            <v>.</v>
          </cell>
        </row>
        <row r="812">
          <cell r="BB812" t="str">
            <v>.</v>
          </cell>
        </row>
        <row r="813">
          <cell r="BB813" t="str">
            <v>.</v>
          </cell>
        </row>
        <row r="814">
          <cell r="BB814" t="str">
            <v>.</v>
          </cell>
        </row>
        <row r="815">
          <cell r="BB815" t="str">
            <v>.</v>
          </cell>
        </row>
        <row r="816">
          <cell r="BB816" t="str">
            <v>.</v>
          </cell>
        </row>
        <row r="817">
          <cell r="BB817" t="str">
            <v>.</v>
          </cell>
        </row>
        <row r="818">
          <cell r="BB818" t="str">
            <v>.</v>
          </cell>
        </row>
        <row r="819">
          <cell r="BB819" t="str">
            <v>.</v>
          </cell>
        </row>
        <row r="820">
          <cell r="BB820" t="str">
            <v>.</v>
          </cell>
        </row>
        <row r="821">
          <cell r="BB821" t="str">
            <v>.</v>
          </cell>
        </row>
        <row r="822">
          <cell r="BB822" t="str">
            <v>.</v>
          </cell>
        </row>
        <row r="823">
          <cell r="BB823" t="str">
            <v>.</v>
          </cell>
        </row>
        <row r="824">
          <cell r="BB824" t="str">
            <v>.</v>
          </cell>
        </row>
        <row r="825">
          <cell r="BB825" t="str">
            <v>.</v>
          </cell>
        </row>
        <row r="826">
          <cell r="BB826" t="str">
            <v>.</v>
          </cell>
        </row>
        <row r="827">
          <cell r="BB827" t="str">
            <v>.</v>
          </cell>
        </row>
        <row r="828">
          <cell r="BB828" t="str">
            <v>.</v>
          </cell>
        </row>
        <row r="829">
          <cell r="BB829" t="str">
            <v>.</v>
          </cell>
        </row>
        <row r="830">
          <cell r="BB830" t="str">
            <v>.</v>
          </cell>
        </row>
        <row r="831">
          <cell r="BB831" t="str">
            <v>.</v>
          </cell>
        </row>
        <row r="832">
          <cell r="BB832" t="str">
            <v>.</v>
          </cell>
        </row>
        <row r="833">
          <cell r="BB833" t="str">
            <v>.</v>
          </cell>
        </row>
        <row r="834">
          <cell r="BB834" t="str">
            <v>.</v>
          </cell>
        </row>
        <row r="835">
          <cell r="BB835" t="str">
            <v>.</v>
          </cell>
        </row>
        <row r="836">
          <cell r="BB836" t="str">
            <v>.</v>
          </cell>
        </row>
        <row r="837">
          <cell r="BB837" t="str">
            <v>.</v>
          </cell>
        </row>
        <row r="838">
          <cell r="BB838" t="str">
            <v>.</v>
          </cell>
        </row>
        <row r="839">
          <cell r="BB839" t="str">
            <v>.</v>
          </cell>
        </row>
        <row r="840">
          <cell r="BB840" t="str">
            <v>.</v>
          </cell>
        </row>
        <row r="841">
          <cell r="BB841" t="str">
            <v>.</v>
          </cell>
        </row>
        <row r="842">
          <cell r="BB842" t="str">
            <v>.</v>
          </cell>
        </row>
        <row r="843">
          <cell r="BB843" t="str">
            <v>.</v>
          </cell>
        </row>
        <row r="844">
          <cell r="BB844" t="str">
            <v>.</v>
          </cell>
        </row>
        <row r="845">
          <cell r="BB845" t="str">
            <v>.</v>
          </cell>
        </row>
        <row r="846">
          <cell r="BB846" t="str">
            <v>.</v>
          </cell>
        </row>
        <row r="847">
          <cell r="BB847" t="str">
            <v>.</v>
          </cell>
        </row>
        <row r="848">
          <cell r="BB848" t="str">
            <v>.</v>
          </cell>
        </row>
        <row r="849">
          <cell r="BB849" t="str">
            <v>.</v>
          </cell>
        </row>
        <row r="850">
          <cell r="BB850" t="str">
            <v>.</v>
          </cell>
        </row>
        <row r="851">
          <cell r="BB851" t="str">
            <v>.</v>
          </cell>
        </row>
        <row r="852">
          <cell r="BB852" t="str">
            <v>.</v>
          </cell>
        </row>
        <row r="853">
          <cell r="BB853" t="str">
            <v>.</v>
          </cell>
        </row>
        <row r="854">
          <cell r="BB854" t="str">
            <v>.</v>
          </cell>
        </row>
        <row r="855">
          <cell r="BB855" t="str">
            <v>.</v>
          </cell>
        </row>
        <row r="856">
          <cell r="BB856" t="str">
            <v>.</v>
          </cell>
        </row>
        <row r="857">
          <cell r="BB857" t="str">
            <v>.</v>
          </cell>
        </row>
        <row r="858">
          <cell r="BB858" t="str">
            <v>.</v>
          </cell>
        </row>
        <row r="859">
          <cell r="BB859" t="str">
            <v>.</v>
          </cell>
        </row>
        <row r="860">
          <cell r="BB860" t="str">
            <v>.</v>
          </cell>
        </row>
        <row r="861">
          <cell r="BB861" t="str">
            <v>.</v>
          </cell>
        </row>
        <row r="862">
          <cell r="BB862" t="str">
            <v>.</v>
          </cell>
        </row>
        <row r="863">
          <cell r="BB863" t="str">
            <v>.</v>
          </cell>
        </row>
        <row r="864">
          <cell r="BB864" t="str">
            <v>.</v>
          </cell>
        </row>
        <row r="865">
          <cell r="BB865" t="str">
            <v>.</v>
          </cell>
        </row>
        <row r="866">
          <cell r="BB866" t="str">
            <v>.</v>
          </cell>
        </row>
        <row r="867">
          <cell r="BB867" t="str">
            <v>.</v>
          </cell>
        </row>
        <row r="868">
          <cell r="BB868" t="str">
            <v>.</v>
          </cell>
        </row>
        <row r="869">
          <cell r="BB869" t="str">
            <v>.</v>
          </cell>
        </row>
        <row r="870">
          <cell r="BB870" t="str">
            <v>.</v>
          </cell>
        </row>
        <row r="871">
          <cell r="BB871" t="str">
            <v>.</v>
          </cell>
        </row>
        <row r="872">
          <cell r="BB872" t="str">
            <v>.</v>
          </cell>
        </row>
        <row r="873">
          <cell r="BB873" t="str">
            <v>.</v>
          </cell>
        </row>
        <row r="874">
          <cell r="BB874" t="str">
            <v>.</v>
          </cell>
        </row>
        <row r="875">
          <cell r="BB875" t="str">
            <v>.</v>
          </cell>
        </row>
        <row r="876">
          <cell r="BB876" t="str">
            <v>.</v>
          </cell>
        </row>
        <row r="877">
          <cell r="BB877" t="str">
            <v>.</v>
          </cell>
        </row>
        <row r="878">
          <cell r="BB878" t="str">
            <v>.</v>
          </cell>
        </row>
        <row r="879">
          <cell r="BB879" t="str">
            <v>.</v>
          </cell>
        </row>
        <row r="880">
          <cell r="BB880" t="str">
            <v>.</v>
          </cell>
        </row>
        <row r="881">
          <cell r="BB881" t="str">
            <v>.</v>
          </cell>
        </row>
        <row r="882">
          <cell r="BB882" t="str">
            <v>.</v>
          </cell>
        </row>
        <row r="883">
          <cell r="BB883" t="str">
            <v>.</v>
          </cell>
        </row>
        <row r="884">
          <cell r="BB884" t="str">
            <v>.</v>
          </cell>
        </row>
        <row r="885">
          <cell r="BB885" t="str">
            <v>.</v>
          </cell>
        </row>
        <row r="886">
          <cell r="BB886" t="str">
            <v>.</v>
          </cell>
        </row>
        <row r="887">
          <cell r="BB887" t="str">
            <v>.</v>
          </cell>
        </row>
        <row r="888">
          <cell r="BB888" t="str">
            <v>.</v>
          </cell>
        </row>
        <row r="889">
          <cell r="BB889" t="str">
            <v>.</v>
          </cell>
        </row>
        <row r="890">
          <cell r="BB890" t="str">
            <v>.</v>
          </cell>
        </row>
        <row r="891">
          <cell r="BB891" t="str">
            <v>.</v>
          </cell>
        </row>
        <row r="892">
          <cell r="BB892" t="str">
            <v>.</v>
          </cell>
        </row>
        <row r="893">
          <cell r="BB893" t="str">
            <v>.</v>
          </cell>
        </row>
        <row r="894">
          <cell r="BB894" t="str">
            <v>.</v>
          </cell>
        </row>
        <row r="895">
          <cell r="BB895" t="str">
            <v>.</v>
          </cell>
        </row>
        <row r="896">
          <cell r="BB896" t="str">
            <v>.</v>
          </cell>
        </row>
        <row r="897">
          <cell r="BB897" t="str">
            <v>.</v>
          </cell>
        </row>
        <row r="898">
          <cell r="BB898" t="str">
            <v>.</v>
          </cell>
        </row>
        <row r="899">
          <cell r="BB899" t="str">
            <v>.</v>
          </cell>
        </row>
        <row r="900">
          <cell r="BB900" t="str">
            <v>.</v>
          </cell>
        </row>
        <row r="901">
          <cell r="BB901" t="str">
            <v>.</v>
          </cell>
        </row>
        <row r="902">
          <cell r="BB902" t="str">
            <v>.</v>
          </cell>
        </row>
        <row r="903">
          <cell r="BB903" t="str">
            <v>.</v>
          </cell>
        </row>
        <row r="904">
          <cell r="BB904" t="str">
            <v>.</v>
          </cell>
        </row>
        <row r="905">
          <cell r="BB905" t="str">
            <v>.</v>
          </cell>
        </row>
        <row r="906">
          <cell r="BB906" t="str">
            <v>.</v>
          </cell>
        </row>
        <row r="907">
          <cell r="BB907" t="str">
            <v>.</v>
          </cell>
        </row>
        <row r="908">
          <cell r="BB908" t="str">
            <v>.</v>
          </cell>
        </row>
        <row r="909">
          <cell r="BB909" t="str">
            <v>.</v>
          </cell>
        </row>
        <row r="910">
          <cell r="BB910" t="str">
            <v>.</v>
          </cell>
        </row>
        <row r="911">
          <cell r="BB911" t="str">
            <v>.</v>
          </cell>
        </row>
        <row r="912">
          <cell r="BB912" t="str">
            <v>.</v>
          </cell>
        </row>
        <row r="913">
          <cell r="BB913" t="str">
            <v>.</v>
          </cell>
        </row>
        <row r="914">
          <cell r="BB914" t="str">
            <v>.</v>
          </cell>
        </row>
        <row r="915">
          <cell r="BB915" t="str">
            <v>.</v>
          </cell>
        </row>
        <row r="916">
          <cell r="BB916" t="str">
            <v>.</v>
          </cell>
        </row>
        <row r="917">
          <cell r="BB917" t="str">
            <v>.</v>
          </cell>
        </row>
        <row r="918">
          <cell r="BB918" t="str">
            <v>.</v>
          </cell>
        </row>
        <row r="919">
          <cell r="BB919" t="str">
            <v>.</v>
          </cell>
        </row>
        <row r="920">
          <cell r="BB920" t="str">
            <v>.</v>
          </cell>
        </row>
        <row r="921">
          <cell r="BB921" t="str">
            <v>.</v>
          </cell>
        </row>
        <row r="922">
          <cell r="BB922" t="str">
            <v>.</v>
          </cell>
        </row>
        <row r="923">
          <cell r="BB923" t="str">
            <v>.</v>
          </cell>
        </row>
        <row r="924">
          <cell r="BB924" t="str">
            <v>.</v>
          </cell>
        </row>
        <row r="925">
          <cell r="BB925" t="str">
            <v>.</v>
          </cell>
        </row>
        <row r="926">
          <cell r="BB926" t="str">
            <v>.</v>
          </cell>
        </row>
        <row r="927">
          <cell r="BB927" t="str">
            <v>.</v>
          </cell>
        </row>
        <row r="928">
          <cell r="BB928" t="str">
            <v>.</v>
          </cell>
        </row>
        <row r="929">
          <cell r="BB929" t="str">
            <v>.</v>
          </cell>
        </row>
        <row r="930">
          <cell r="BB930" t="str">
            <v>.</v>
          </cell>
        </row>
        <row r="931">
          <cell r="BB931" t="str">
            <v>.</v>
          </cell>
        </row>
        <row r="932">
          <cell r="BB932" t="str">
            <v>.</v>
          </cell>
        </row>
        <row r="933">
          <cell r="BB933" t="str">
            <v>.</v>
          </cell>
        </row>
        <row r="934">
          <cell r="BB934" t="str">
            <v>.</v>
          </cell>
        </row>
        <row r="935">
          <cell r="BB935" t="str">
            <v>.</v>
          </cell>
        </row>
        <row r="936">
          <cell r="BB936" t="str">
            <v>.</v>
          </cell>
        </row>
        <row r="937">
          <cell r="BB937" t="str">
            <v>.</v>
          </cell>
        </row>
        <row r="938">
          <cell r="BB938" t="str">
            <v>.</v>
          </cell>
        </row>
        <row r="939">
          <cell r="BB939" t="str">
            <v>.</v>
          </cell>
        </row>
        <row r="940">
          <cell r="BB940" t="str">
            <v>.</v>
          </cell>
        </row>
        <row r="941">
          <cell r="BB941" t="str">
            <v>.</v>
          </cell>
        </row>
        <row r="942">
          <cell r="BB942" t="str">
            <v>.</v>
          </cell>
        </row>
        <row r="943">
          <cell r="BB943" t="str">
            <v>.</v>
          </cell>
        </row>
        <row r="944">
          <cell r="BB944" t="str">
            <v>.</v>
          </cell>
        </row>
        <row r="945">
          <cell r="BB945" t="str">
            <v>.</v>
          </cell>
        </row>
        <row r="946">
          <cell r="BB946" t="str">
            <v>.</v>
          </cell>
        </row>
        <row r="947">
          <cell r="BB947" t="str">
            <v>.</v>
          </cell>
        </row>
        <row r="948">
          <cell r="BB948" t="str">
            <v>.</v>
          </cell>
        </row>
        <row r="949">
          <cell r="BB949" t="str">
            <v>.</v>
          </cell>
        </row>
        <row r="950">
          <cell r="BB950" t="str">
            <v>.</v>
          </cell>
        </row>
        <row r="951">
          <cell r="BB951" t="str">
            <v>.</v>
          </cell>
        </row>
        <row r="952">
          <cell r="BB952" t="str">
            <v>.</v>
          </cell>
        </row>
        <row r="953">
          <cell r="BB953" t="str">
            <v>.</v>
          </cell>
        </row>
        <row r="954">
          <cell r="BB954" t="str">
            <v>.</v>
          </cell>
        </row>
        <row r="955">
          <cell r="BB955" t="str">
            <v>.</v>
          </cell>
        </row>
        <row r="956">
          <cell r="BB956" t="str">
            <v>.</v>
          </cell>
        </row>
        <row r="957">
          <cell r="BB957" t="str">
            <v>.</v>
          </cell>
        </row>
        <row r="958">
          <cell r="BB958" t="str">
            <v>.</v>
          </cell>
        </row>
        <row r="959">
          <cell r="BB959" t="str">
            <v>.</v>
          </cell>
        </row>
        <row r="960">
          <cell r="BB960" t="str">
            <v>.</v>
          </cell>
        </row>
        <row r="961">
          <cell r="BB961" t="str">
            <v>.</v>
          </cell>
        </row>
        <row r="962">
          <cell r="BB962" t="str">
            <v>.</v>
          </cell>
        </row>
        <row r="963">
          <cell r="BB963" t="str">
            <v>.</v>
          </cell>
        </row>
        <row r="964">
          <cell r="BB964" t="str">
            <v>.</v>
          </cell>
        </row>
        <row r="965">
          <cell r="BB965" t="str">
            <v>.</v>
          </cell>
        </row>
        <row r="966">
          <cell r="BB966" t="str">
            <v>.</v>
          </cell>
        </row>
        <row r="967">
          <cell r="BB967" t="str">
            <v>.</v>
          </cell>
        </row>
        <row r="968">
          <cell r="BB968" t="str">
            <v>.</v>
          </cell>
        </row>
        <row r="969">
          <cell r="BB969" t="str">
            <v>.</v>
          </cell>
        </row>
        <row r="970">
          <cell r="BB970" t="str">
            <v>.</v>
          </cell>
        </row>
        <row r="971">
          <cell r="BB971" t="str">
            <v>.</v>
          </cell>
        </row>
        <row r="972">
          <cell r="BB972" t="str">
            <v>.</v>
          </cell>
        </row>
        <row r="973">
          <cell r="BB973" t="str">
            <v>.</v>
          </cell>
        </row>
        <row r="974">
          <cell r="BB974" t="str">
            <v>.</v>
          </cell>
        </row>
        <row r="975">
          <cell r="BB975" t="str">
            <v>.</v>
          </cell>
        </row>
        <row r="976">
          <cell r="BB976" t="str">
            <v>.</v>
          </cell>
        </row>
        <row r="977">
          <cell r="BB977" t="str">
            <v>.</v>
          </cell>
        </row>
        <row r="978">
          <cell r="BB978" t="str">
            <v>.</v>
          </cell>
        </row>
        <row r="979">
          <cell r="BB979" t="str">
            <v>.</v>
          </cell>
        </row>
        <row r="980">
          <cell r="BB980" t="str">
            <v>.</v>
          </cell>
        </row>
        <row r="981">
          <cell r="BB981" t="str">
            <v>.</v>
          </cell>
        </row>
        <row r="982">
          <cell r="BB982" t="str">
            <v>.</v>
          </cell>
        </row>
        <row r="983">
          <cell r="BB983" t="str">
            <v>.</v>
          </cell>
        </row>
        <row r="984">
          <cell r="BB984" t="str">
            <v>.</v>
          </cell>
        </row>
        <row r="985">
          <cell r="BB985" t="str">
            <v>.</v>
          </cell>
        </row>
        <row r="986">
          <cell r="BB986" t="str">
            <v>.</v>
          </cell>
        </row>
        <row r="987">
          <cell r="BB987" t="str">
            <v>.</v>
          </cell>
        </row>
        <row r="988">
          <cell r="BB988" t="str">
            <v>.</v>
          </cell>
        </row>
        <row r="989">
          <cell r="BB989" t="str">
            <v>.</v>
          </cell>
        </row>
        <row r="990">
          <cell r="BB990" t="str">
            <v>.</v>
          </cell>
        </row>
        <row r="991">
          <cell r="BB991" t="str">
            <v>.</v>
          </cell>
        </row>
        <row r="992">
          <cell r="BB992" t="str">
            <v>.</v>
          </cell>
        </row>
        <row r="993">
          <cell r="BB993" t="str">
            <v>.</v>
          </cell>
        </row>
        <row r="994">
          <cell r="BB994" t="str">
            <v>.</v>
          </cell>
        </row>
        <row r="995">
          <cell r="BB995" t="str">
            <v>.</v>
          </cell>
        </row>
        <row r="996">
          <cell r="BB996" t="str">
            <v>.</v>
          </cell>
        </row>
        <row r="997">
          <cell r="A997" t="str">
            <v>.</v>
          </cell>
          <cell r="B997" t="str">
            <v>.</v>
          </cell>
          <cell r="C997" t="str">
            <v>.</v>
          </cell>
          <cell r="D997" t="str">
            <v>.</v>
          </cell>
          <cell r="E997" t="str">
            <v>.</v>
          </cell>
          <cell r="F997" t="str">
            <v>.</v>
          </cell>
          <cell r="G997" t="str">
            <v>.</v>
          </cell>
          <cell r="I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row>
      </sheetData>
      <sheetData sheetId="4"/>
      <sheetData sheetId="5">
        <row r="1">
          <cell r="S1" t="str">
            <v>SmartCharts</v>
          </cell>
          <cell r="BB1" t="str">
            <v>.</v>
          </cell>
        </row>
        <row r="2">
          <cell r="BB2" t="str">
            <v>.</v>
          </cell>
        </row>
        <row r="3">
          <cell r="BB3" t="str">
            <v>.</v>
          </cell>
        </row>
        <row r="4">
          <cell r="BB4" t="str">
            <v>.</v>
          </cell>
        </row>
        <row r="5">
          <cell r="C5" t="str">
            <v>Define value axis here:</v>
          </cell>
        </row>
        <row r="6">
          <cell r="C6" t="str">
            <v>Pharmaceutical Revenue Contribution</v>
          </cell>
        </row>
        <row r="10">
          <cell r="C10" t="str">
            <v>Input your data here:</v>
          </cell>
          <cell r="BB10" t="str">
            <v>.</v>
          </cell>
        </row>
        <row r="11">
          <cell r="D11" t="str">
            <v>Traditional</v>
          </cell>
          <cell r="E11" t="str">
            <v>Biologic</v>
          </cell>
          <cell r="BB11" t="str">
            <v>.</v>
          </cell>
        </row>
        <row r="12">
          <cell r="C12">
            <v>2010</v>
          </cell>
          <cell r="D12">
            <v>0.82430001699349376</v>
          </cell>
          <cell r="E12">
            <v>0.17569998300650647</v>
          </cell>
          <cell r="BB12" t="str">
            <v>.</v>
          </cell>
        </row>
        <row r="13">
          <cell r="C13">
            <v>2011</v>
          </cell>
          <cell r="D13">
            <v>0.80735644965960518</v>
          </cell>
          <cell r="E13">
            <v>0.19264355034039463</v>
          </cell>
          <cell r="BB13" t="str">
            <v>.</v>
          </cell>
        </row>
        <row r="14">
          <cell r="C14">
            <v>2012</v>
          </cell>
          <cell r="D14">
            <v>0.74906834211819795</v>
          </cell>
          <cell r="E14">
            <v>0.25093165788180211</v>
          </cell>
          <cell r="BB14" t="str">
            <v>.</v>
          </cell>
        </row>
        <row r="15">
          <cell r="C15">
            <v>2013</v>
          </cell>
          <cell r="D15">
            <v>0.72367300587064676</v>
          </cell>
          <cell r="E15">
            <v>0.27632699412935324</v>
          </cell>
          <cell r="BB15" t="str">
            <v>.</v>
          </cell>
        </row>
        <row r="16">
          <cell r="C16">
            <v>2014</v>
          </cell>
          <cell r="D16">
            <v>0.70424570108479179</v>
          </cell>
          <cell r="E16">
            <v>0.29575429891520816</v>
          </cell>
          <cell r="BB16" t="str">
            <v>.</v>
          </cell>
        </row>
        <row r="17">
          <cell r="C17">
            <v>2015</v>
          </cell>
          <cell r="D17">
            <v>0.68245948091534925</v>
          </cell>
          <cell r="E17">
            <v>0.3175405190846507</v>
          </cell>
          <cell r="BB17" t="str">
            <v>.</v>
          </cell>
        </row>
        <row r="18">
          <cell r="BB18" t="str">
            <v>.</v>
          </cell>
        </row>
        <row r="20">
          <cell r="BB20" t="str">
            <v>.</v>
          </cell>
        </row>
        <row r="21">
          <cell r="BB21" t="str">
            <v>.</v>
          </cell>
        </row>
        <row r="22">
          <cell r="BB22" t="str">
            <v>.</v>
          </cell>
        </row>
        <row r="23">
          <cell r="BB23" t="str">
            <v>.</v>
          </cell>
        </row>
        <row r="24">
          <cell r="BB24" t="str">
            <v>.</v>
          </cell>
        </row>
        <row r="25">
          <cell r="BB25" t="str">
            <v>.</v>
          </cell>
        </row>
        <row r="26">
          <cell r="BB26" t="str">
            <v>.</v>
          </cell>
        </row>
        <row r="27">
          <cell r="BB27" t="str">
            <v>.</v>
          </cell>
        </row>
        <row r="28">
          <cell r="BB28" t="str">
            <v>.</v>
          </cell>
        </row>
        <row r="29">
          <cell r="BB29" t="str">
            <v>.</v>
          </cell>
        </row>
        <row r="30">
          <cell r="BB30" t="str">
            <v>.</v>
          </cell>
        </row>
        <row r="31">
          <cell r="BB31" t="str">
            <v>.</v>
          </cell>
        </row>
        <row r="32">
          <cell r="BB32" t="str">
            <v>.</v>
          </cell>
        </row>
        <row r="33">
          <cell r="BB33" t="str">
            <v>.</v>
          </cell>
        </row>
        <row r="34">
          <cell r="BB34" t="str">
            <v>.</v>
          </cell>
        </row>
        <row r="35">
          <cell r="BB35" t="str">
            <v>.</v>
          </cell>
        </row>
        <row r="36">
          <cell r="BB36" t="str">
            <v>.</v>
          </cell>
        </row>
        <row r="37">
          <cell r="K37" t="str">
            <v>Do not change the width of the exhibit or font sizes (they are optimized for export to Word).</v>
          </cell>
          <cell r="BB37" t="str">
            <v>.</v>
          </cell>
        </row>
        <row r="38">
          <cell r="BB38" t="str">
            <v>.</v>
          </cell>
        </row>
        <row r="39">
          <cell r="K39" t="str">
            <v>Do not delete any rows or columns (some gray cells are used for calculations).</v>
          </cell>
          <cell r="BB39" t="str">
            <v>.</v>
          </cell>
        </row>
        <row r="40">
          <cell r="BB40" t="str">
            <v>.</v>
          </cell>
        </row>
        <row r="41">
          <cell r="BB41" t="str">
            <v>.</v>
          </cell>
        </row>
        <row r="42">
          <cell r="BB42" t="str">
            <v>.</v>
          </cell>
        </row>
        <row r="43">
          <cell r="BB43" t="str">
            <v>.</v>
          </cell>
        </row>
        <row r="44">
          <cell r="BB44" t="str">
            <v>.</v>
          </cell>
        </row>
        <row r="45">
          <cell r="BB45" t="str">
            <v>.</v>
          </cell>
        </row>
        <row r="46">
          <cell r="BB46" t="str">
            <v>.</v>
          </cell>
        </row>
        <row r="47">
          <cell r="BB47" t="str">
            <v>.</v>
          </cell>
        </row>
        <row r="48">
          <cell r="BB48" t="str">
            <v>.</v>
          </cell>
        </row>
        <row r="49">
          <cell r="BB49" t="str">
            <v>.</v>
          </cell>
        </row>
        <row r="50">
          <cell r="BB50" t="str">
            <v>.</v>
          </cell>
        </row>
        <row r="51">
          <cell r="BB51" t="str">
            <v>.</v>
          </cell>
        </row>
        <row r="52">
          <cell r="BB52" t="str">
            <v>.</v>
          </cell>
        </row>
        <row r="53">
          <cell r="BB53" t="str">
            <v>.</v>
          </cell>
        </row>
        <row r="54">
          <cell r="BB54" t="str">
            <v>.</v>
          </cell>
        </row>
        <row r="55">
          <cell r="BB55" t="str">
            <v>.</v>
          </cell>
        </row>
        <row r="56">
          <cell r="BB56" t="str">
            <v>.</v>
          </cell>
        </row>
        <row r="57">
          <cell r="BB57" t="str">
            <v>.</v>
          </cell>
        </row>
        <row r="58">
          <cell r="BB58" t="str">
            <v>.</v>
          </cell>
        </row>
        <row r="59">
          <cell r="BB59" t="str">
            <v>.</v>
          </cell>
        </row>
        <row r="60">
          <cell r="BB60" t="str">
            <v>.</v>
          </cell>
        </row>
        <row r="61">
          <cell r="BB61" t="str">
            <v>.</v>
          </cell>
        </row>
        <row r="62">
          <cell r="BB62" t="str">
            <v>.</v>
          </cell>
        </row>
        <row r="63">
          <cell r="BB63" t="str">
            <v>.</v>
          </cell>
        </row>
        <row r="64">
          <cell r="BB64" t="str">
            <v>.</v>
          </cell>
        </row>
        <row r="65">
          <cell r="BB65" t="str">
            <v>.</v>
          </cell>
        </row>
        <row r="66">
          <cell r="BB66" t="str">
            <v>.</v>
          </cell>
        </row>
        <row r="67">
          <cell r="BB67" t="str">
            <v>.</v>
          </cell>
        </row>
        <row r="68">
          <cell r="BB68" t="str">
            <v>.</v>
          </cell>
        </row>
        <row r="69">
          <cell r="BB69" t="str">
            <v>.</v>
          </cell>
        </row>
        <row r="70">
          <cell r="BB70" t="str">
            <v>.</v>
          </cell>
        </row>
        <row r="71">
          <cell r="BB71" t="str">
            <v>.</v>
          </cell>
        </row>
        <row r="72">
          <cell r="BB72" t="str">
            <v>.</v>
          </cell>
        </row>
        <row r="73">
          <cell r="BB73" t="str">
            <v>.</v>
          </cell>
        </row>
        <row r="74">
          <cell r="BB74" t="str">
            <v>.</v>
          </cell>
        </row>
        <row r="75">
          <cell r="BB75" t="str">
            <v>.</v>
          </cell>
        </row>
        <row r="76">
          <cell r="BB76" t="str">
            <v>.</v>
          </cell>
        </row>
        <row r="77">
          <cell r="BB77" t="str">
            <v>.</v>
          </cell>
        </row>
        <row r="78">
          <cell r="BB78" t="str">
            <v>.</v>
          </cell>
        </row>
        <row r="79">
          <cell r="BB79" t="str">
            <v>.</v>
          </cell>
        </row>
        <row r="80">
          <cell r="BB80" t="str">
            <v>.</v>
          </cell>
        </row>
        <row r="81">
          <cell r="BB81" t="str">
            <v>.</v>
          </cell>
        </row>
        <row r="82">
          <cell r="BB82" t="str">
            <v>.</v>
          </cell>
        </row>
        <row r="83">
          <cell r="BB83" t="str">
            <v>.</v>
          </cell>
        </row>
        <row r="84">
          <cell r="BB84" t="str">
            <v>.</v>
          </cell>
        </row>
        <row r="85">
          <cell r="BB85" t="str">
            <v>.</v>
          </cell>
        </row>
        <row r="86">
          <cell r="BB86" t="str">
            <v>.</v>
          </cell>
        </row>
        <row r="87">
          <cell r="BB87" t="str">
            <v>.</v>
          </cell>
        </row>
        <row r="88">
          <cell r="BB88" t="str">
            <v>.</v>
          </cell>
        </row>
        <row r="89">
          <cell r="BB89" t="str">
            <v>.</v>
          </cell>
        </row>
        <row r="90">
          <cell r="BB90" t="str">
            <v>.</v>
          </cell>
        </row>
        <row r="91">
          <cell r="BB91" t="str">
            <v>.</v>
          </cell>
        </row>
        <row r="92">
          <cell r="BB92" t="str">
            <v>.</v>
          </cell>
        </row>
        <row r="93">
          <cell r="BB93" t="str">
            <v>.</v>
          </cell>
        </row>
        <row r="94">
          <cell r="BB94" t="str">
            <v>.</v>
          </cell>
        </row>
        <row r="95">
          <cell r="BB95" t="str">
            <v>.</v>
          </cell>
        </row>
        <row r="96">
          <cell r="BB96" t="str">
            <v>.</v>
          </cell>
        </row>
        <row r="97">
          <cell r="BB97" t="str">
            <v>.</v>
          </cell>
        </row>
        <row r="98">
          <cell r="BB98" t="str">
            <v>.</v>
          </cell>
        </row>
        <row r="99">
          <cell r="BB99" t="str">
            <v>.</v>
          </cell>
        </row>
        <row r="100">
          <cell r="BB100" t="str">
            <v>.</v>
          </cell>
        </row>
        <row r="101">
          <cell r="BB101" t="str">
            <v>.</v>
          </cell>
        </row>
        <row r="102">
          <cell r="BB102" t="str">
            <v>.</v>
          </cell>
        </row>
        <row r="103">
          <cell r="BB103" t="str">
            <v>.</v>
          </cell>
        </row>
        <row r="104">
          <cell r="BB104" t="str">
            <v>.</v>
          </cell>
        </row>
        <row r="105">
          <cell r="BB105" t="str">
            <v>.</v>
          </cell>
        </row>
        <row r="106">
          <cell r="BB106" t="str">
            <v>.</v>
          </cell>
        </row>
        <row r="107">
          <cell r="BB107" t="str">
            <v>.</v>
          </cell>
        </row>
        <row r="108">
          <cell r="BB108" t="str">
            <v>.</v>
          </cell>
        </row>
        <row r="109">
          <cell r="BB109" t="str">
            <v>.</v>
          </cell>
        </row>
        <row r="110">
          <cell r="BB110" t="str">
            <v>.</v>
          </cell>
        </row>
        <row r="111">
          <cell r="BB111" t="str">
            <v>.</v>
          </cell>
        </row>
        <row r="112">
          <cell r="BB112" t="str">
            <v>.</v>
          </cell>
        </row>
        <row r="113">
          <cell r="BB113" t="str">
            <v>.</v>
          </cell>
        </row>
        <row r="114">
          <cell r="BB114" t="str">
            <v>.</v>
          </cell>
        </row>
        <row r="115">
          <cell r="BB115" t="str">
            <v>.</v>
          </cell>
        </row>
        <row r="116">
          <cell r="BB116" t="str">
            <v>.</v>
          </cell>
        </row>
        <row r="117">
          <cell r="BB117" t="str">
            <v>.</v>
          </cell>
        </row>
        <row r="118">
          <cell r="BB118" t="str">
            <v>.</v>
          </cell>
        </row>
        <row r="119">
          <cell r="BB119" t="str">
            <v>.</v>
          </cell>
        </row>
        <row r="120">
          <cell r="BB120" t="str">
            <v>.</v>
          </cell>
        </row>
        <row r="121">
          <cell r="BB121" t="str">
            <v>.</v>
          </cell>
        </row>
        <row r="122">
          <cell r="BB122" t="str">
            <v>.</v>
          </cell>
        </row>
        <row r="123">
          <cell r="BB123" t="str">
            <v>.</v>
          </cell>
        </row>
        <row r="124">
          <cell r="BB124" t="str">
            <v>.</v>
          </cell>
        </row>
        <row r="125">
          <cell r="BB125" t="str">
            <v>.</v>
          </cell>
        </row>
        <row r="126">
          <cell r="BB126" t="str">
            <v>.</v>
          </cell>
        </row>
        <row r="127">
          <cell r="BB127" t="str">
            <v>.</v>
          </cell>
        </row>
        <row r="128">
          <cell r="BB128" t="str">
            <v>.</v>
          </cell>
        </row>
        <row r="129">
          <cell r="BB129" t="str">
            <v>.</v>
          </cell>
        </row>
        <row r="130">
          <cell r="BB130" t="str">
            <v>.</v>
          </cell>
        </row>
        <row r="131">
          <cell r="BB131" t="str">
            <v>.</v>
          </cell>
        </row>
        <row r="132">
          <cell r="BB132" t="str">
            <v>.</v>
          </cell>
        </row>
        <row r="133">
          <cell r="BB133" t="str">
            <v>.</v>
          </cell>
        </row>
        <row r="134">
          <cell r="BB134" t="str">
            <v>.</v>
          </cell>
        </row>
        <row r="135">
          <cell r="BB135" t="str">
            <v>.</v>
          </cell>
        </row>
        <row r="136">
          <cell r="BB136" t="str">
            <v>.</v>
          </cell>
        </row>
        <row r="137">
          <cell r="BB137" t="str">
            <v>.</v>
          </cell>
        </row>
        <row r="138">
          <cell r="BB138" t="str">
            <v>.</v>
          </cell>
        </row>
        <row r="139">
          <cell r="BB139" t="str">
            <v>.</v>
          </cell>
        </row>
        <row r="140">
          <cell r="BB140" t="str">
            <v>.</v>
          </cell>
        </row>
        <row r="141">
          <cell r="BB141" t="str">
            <v>.</v>
          </cell>
        </row>
        <row r="142">
          <cell r="BB142" t="str">
            <v>.</v>
          </cell>
        </row>
        <row r="143">
          <cell r="BB143" t="str">
            <v>.</v>
          </cell>
        </row>
        <row r="144">
          <cell r="BB144" t="str">
            <v>.</v>
          </cell>
        </row>
        <row r="145">
          <cell r="BB145" t="str">
            <v>.</v>
          </cell>
        </row>
        <row r="146">
          <cell r="BB146" t="str">
            <v>.</v>
          </cell>
        </row>
        <row r="147">
          <cell r="BB147" t="str">
            <v>.</v>
          </cell>
        </row>
        <row r="148">
          <cell r="BB148" t="str">
            <v>.</v>
          </cell>
        </row>
        <row r="149">
          <cell r="BB149" t="str">
            <v>.</v>
          </cell>
        </row>
        <row r="150">
          <cell r="BB150" t="str">
            <v>.</v>
          </cell>
        </row>
        <row r="151">
          <cell r="BB151" t="str">
            <v>.</v>
          </cell>
        </row>
        <row r="152">
          <cell r="BB152" t="str">
            <v>.</v>
          </cell>
        </row>
        <row r="153">
          <cell r="BB153" t="str">
            <v>.</v>
          </cell>
        </row>
        <row r="154">
          <cell r="BB154" t="str">
            <v>.</v>
          </cell>
        </row>
        <row r="155">
          <cell r="BB155" t="str">
            <v>.</v>
          </cell>
        </row>
        <row r="156">
          <cell r="BB156" t="str">
            <v>.</v>
          </cell>
        </row>
        <row r="157">
          <cell r="BB157" t="str">
            <v>.</v>
          </cell>
        </row>
        <row r="158">
          <cell r="BB158" t="str">
            <v>.</v>
          </cell>
        </row>
        <row r="159">
          <cell r="BB159" t="str">
            <v>.</v>
          </cell>
        </row>
        <row r="160">
          <cell r="BB160" t="str">
            <v>.</v>
          </cell>
        </row>
        <row r="161">
          <cell r="BB161" t="str">
            <v>.</v>
          </cell>
        </row>
        <row r="162">
          <cell r="BB162" t="str">
            <v>.</v>
          </cell>
        </row>
        <row r="163">
          <cell r="BB163" t="str">
            <v>.</v>
          </cell>
        </row>
        <row r="164">
          <cell r="BB164" t="str">
            <v>.</v>
          </cell>
        </row>
        <row r="165">
          <cell r="BB165" t="str">
            <v>.</v>
          </cell>
        </row>
        <row r="166">
          <cell r="BB166" t="str">
            <v>.</v>
          </cell>
        </row>
        <row r="167">
          <cell r="BB167" t="str">
            <v>.</v>
          </cell>
        </row>
        <row r="168">
          <cell r="BB168" t="str">
            <v>.</v>
          </cell>
        </row>
        <row r="169">
          <cell r="BB169" t="str">
            <v>.</v>
          </cell>
        </row>
        <row r="170">
          <cell r="BB170" t="str">
            <v>.</v>
          </cell>
        </row>
        <row r="171">
          <cell r="BB171" t="str">
            <v>.</v>
          </cell>
        </row>
        <row r="172">
          <cell r="BB172" t="str">
            <v>.</v>
          </cell>
        </row>
        <row r="173">
          <cell r="BB173" t="str">
            <v>.</v>
          </cell>
        </row>
        <row r="174">
          <cell r="BB174" t="str">
            <v>.</v>
          </cell>
        </row>
        <row r="175">
          <cell r="BB175" t="str">
            <v>.</v>
          </cell>
        </row>
        <row r="176">
          <cell r="BB176" t="str">
            <v>.</v>
          </cell>
        </row>
        <row r="177">
          <cell r="BB177" t="str">
            <v>.</v>
          </cell>
        </row>
        <row r="178">
          <cell r="BB178" t="str">
            <v>.</v>
          </cell>
        </row>
        <row r="179">
          <cell r="BB179" t="str">
            <v>.</v>
          </cell>
        </row>
        <row r="180">
          <cell r="BB180" t="str">
            <v>.</v>
          </cell>
        </row>
        <row r="181">
          <cell r="BB181" t="str">
            <v>.</v>
          </cell>
        </row>
        <row r="182">
          <cell r="BB182" t="str">
            <v>.</v>
          </cell>
        </row>
        <row r="183">
          <cell r="BB183" t="str">
            <v>.</v>
          </cell>
        </row>
        <row r="184">
          <cell r="BB184" t="str">
            <v>.</v>
          </cell>
        </row>
        <row r="185">
          <cell r="BB185" t="str">
            <v>.</v>
          </cell>
        </row>
        <row r="186">
          <cell r="BB186" t="str">
            <v>.</v>
          </cell>
        </row>
        <row r="187">
          <cell r="BB187" t="str">
            <v>.</v>
          </cell>
        </row>
        <row r="188">
          <cell r="BB188" t="str">
            <v>.</v>
          </cell>
        </row>
        <row r="189">
          <cell r="BB189" t="str">
            <v>.</v>
          </cell>
        </row>
        <row r="190">
          <cell r="BB190" t="str">
            <v>.</v>
          </cell>
        </row>
        <row r="191">
          <cell r="BB191" t="str">
            <v>.</v>
          </cell>
        </row>
        <row r="192">
          <cell r="BB192" t="str">
            <v>.</v>
          </cell>
        </row>
        <row r="193">
          <cell r="BB193" t="str">
            <v>.</v>
          </cell>
        </row>
        <row r="194">
          <cell r="BB194" t="str">
            <v>.</v>
          </cell>
        </row>
        <row r="195">
          <cell r="BB195" t="str">
            <v>.</v>
          </cell>
        </row>
        <row r="196">
          <cell r="BB196" t="str">
            <v>.</v>
          </cell>
        </row>
        <row r="197">
          <cell r="BB197" t="str">
            <v>.</v>
          </cell>
        </row>
        <row r="198">
          <cell r="BB198" t="str">
            <v>.</v>
          </cell>
        </row>
        <row r="199">
          <cell r="BB199" t="str">
            <v>.</v>
          </cell>
        </row>
        <row r="200">
          <cell r="BB200" t="str">
            <v>.</v>
          </cell>
        </row>
        <row r="201">
          <cell r="BB201" t="str">
            <v>.</v>
          </cell>
        </row>
        <row r="202">
          <cell r="BB202" t="str">
            <v>.</v>
          </cell>
        </row>
        <row r="203">
          <cell r="BB203" t="str">
            <v>.</v>
          </cell>
        </row>
        <row r="204">
          <cell r="BB204" t="str">
            <v>.</v>
          </cell>
        </row>
        <row r="205">
          <cell r="BB205" t="str">
            <v>.</v>
          </cell>
        </row>
        <row r="206">
          <cell r="BB206" t="str">
            <v>.</v>
          </cell>
        </row>
        <row r="207">
          <cell r="BB207" t="str">
            <v>.</v>
          </cell>
        </row>
        <row r="208">
          <cell r="BB208" t="str">
            <v>.</v>
          </cell>
        </row>
        <row r="209">
          <cell r="BB209" t="str">
            <v>.</v>
          </cell>
        </row>
        <row r="210">
          <cell r="BB210" t="str">
            <v>.</v>
          </cell>
        </row>
        <row r="211">
          <cell r="BB211" t="str">
            <v>.</v>
          </cell>
        </row>
        <row r="212">
          <cell r="BB212" t="str">
            <v>.</v>
          </cell>
        </row>
        <row r="213">
          <cell r="BB213" t="str">
            <v>.</v>
          </cell>
        </row>
        <row r="214">
          <cell r="BB214" t="str">
            <v>.</v>
          </cell>
        </row>
        <row r="215">
          <cell r="BB215" t="str">
            <v>.</v>
          </cell>
        </row>
        <row r="216">
          <cell r="BB216" t="str">
            <v>.</v>
          </cell>
        </row>
        <row r="217">
          <cell r="BB217" t="str">
            <v>.</v>
          </cell>
        </row>
        <row r="218">
          <cell r="BB218" t="str">
            <v>.</v>
          </cell>
        </row>
        <row r="219">
          <cell r="BB219" t="str">
            <v>.</v>
          </cell>
        </row>
        <row r="220">
          <cell r="BB220" t="str">
            <v>.</v>
          </cell>
        </row>
        <row r="221">
          <cell r="BB221" t="str">
            <v>.</v>
          </cell>
        </row>
        <row r="222">
          <cell r="BB222" t="str">
            <v>.</v>
          </cell>
        </row>
        <row r="223">
          <cell r="BB223" t="str">
            <v>.</v>
          </cell>
        </row>
        <row r="224">
          <cell r="BB224" t="str">
            <v>.</v>
          </cell>
        </row>
        <row r="225">
          <cell r="BB225" t="str">
            <v>.</v>
          </cell>
        </row>
        <row r="226">
          <cell r="BB226" t="str">
            <v>.</v>
          </cell>
        </row>
        <row r="227">
          <cell r="BB227" t="str">
            <v>.</v>
          </cell>
        </row>
        <row r="228">
          <cell r="BB228" t="str">
            <v>.</v>
          </cell>
        </row>
        <row r="229">
          <cell r="BB229" t="str">
            <v>.</v>
          </cell>
        </row>
        <row r="230">
          <cell r="BB230" t="str">
            <v>.</v>
          </cell>
        </row>
        <row r="231">
          <cell r="BB231" t="str">
            <v>.</v>
          </cell>
        </row>
        <row r="232">
          <cell r="BB232" t="str">
            <v>.</v>
          </cell>
        </row>
        <row r="233">
          <cell r="BB233" t="str">
            <v>.</v>
          </cell>
        </row>
        <row r="234">
          <cell r="BB234" t="str">
            <v>.</v>
          </cell>
        </row>
        <row r="235">
          <cell r="BB235" t="str">
            <v>.</v>
          </cell>
        </row>
        <row r="236">
          <cell r="BB236" t="str">
            <v>.</v>
          </cell>
        </row>
        <row r="237">
          <cell r="BB237" t="str">
            <v>.</v>
          </cell>
        </row>
        <row r="238">
          <cell r="BB238" t="str">
            <v>.</v>
          </cell>
        </row>
        <row r="239">
          <cell r="BB239" t="str">
            <v>.</v>
          </cell>
        </row>
        <row r="240">
          <cell r="BB240" t="str">
            <v>.</v>
          </cell>
        </row>
        <row r="241">
          <cell r="BB241" t="str">
            <v>.</v>
          </cell>
        </row>
        <row r="242">
          <cell r="BB242" t="str">
            <v>.</v>
          </cell>
        </row>
        <row r="243">
          <cell r="BB243" t="str">
            <v>.</v>
          </cell>
        </row>
        <row r="244">
          <cell r="BB244" t="str">
            <v>.</v>
          </cell>
        </row>
        <row r="245">
          <cell r="BB245" t="str">
            <v>.</v>
          </cell>
        </row>
        <row r="246">
          <cell r="BB246" t="str">
            <v>.</v>
          </cell>
        </row>
        <row r="247">
          <cell r="BB247" t="str">
            <v>.</v>
          </cell>
        </row>
        <row r="248">
          <cell r="BB248" t="str">
            <v>.</v>
          </cell>
        </row>
        <row r="249">
          <cell r="BB249" t="str">
            <v>.</v>
          </cell>
        </row>
        <row r="250">
          <cell r="BB250" t="str">
            <v>.</v>
          </cell>
        </row>
        <row r="251">
          <cell r="BB251" t="str">
            <v>.</v>
          </cell>
        </row>
        <row r="252">
          <cell r="BB252" t="str">
            <v>.</v>
          </cell>
        </row>
        <row r="253">
          <cell r="BB253" t="str">
            <v>.</v>
          </cell>
        </row>
        <row r="254">
          <cell r="BB254" t="str">
            <v>.</v>
          </cell>
        </row>
        <row r="255">
          <cell r="BB255" t="str">
            <v>.</v>
          </cell>
        </row>
        <row r="256">
          <cell r="BB256" t="str">
            <v>.</v>
          </cell>
        </row>
        <row r="257">
          <cell r="BB257" t="str">
            <v>.</v>
          </cell>
        </row>
        <row r="258">
          <cell r="BB258" t="str">
            <v>.</v>
          </cell>
        </row>
        <row r="259">
          <cell r="BB259" t="str">
            <v>.</v>
          </cell>
        </row>
        <row r="260">
          <cell r="BB260" t="str">
            <v>.</v>
          </cell>
        </row>
        <row r="261">
          <cell r="BB261" t="str">
            <v>.</v>
          </cell>
        </row>
        <row r="262">
          <cell r="BB262" t="str">
            <v>.</v>
          </cell>
        </row>
        <row r="263">
          <cell r="BB263" t="str">
            <v>.</v>
          </cell>
        </row>
        <row r="264">
          <cell r="BB264" t="str">
            <v>.</v>
          </cell>
        </row>
        <row r="265">
          <cell r="BB265" t="str">
            <v>.</v>
          </cell>
        </row>
        <row r="266">
          <cell r="BB266" t="str">
            <v>.</v>
          </cell>
        </row>
        <row r="267">
          <cell r="BB267" t="str">
            <v>.</v>
          </cell>
        </row>
        <row r="268">
          <cell r="BB268" t="str">
            <v>.</v>
          </cell>
        </row>
        <row r="269">
          <cell r="BB269" t="str">
            <v>.</v>
          </cell>
        </row>
        <row r="270">
          <cell r="BB270" t="str">
            <v>.</v>
          </cell>
        </row>
        <row r="271">
          <cell r="BB271" t="str">
            <v>.</v>
          </cell>
        </row>
        <row r="272">
          <cell r="BB272" t="str">
            <v>.</v>
          </cell>
        </row>
        <row r="273">
          <cell r="BB273" t="str">
            <v>.</v>
          </cell>
        </row>
        <row r="274">
          <cell r="BB274" t="str">
            <v>.</v>
          </cell>
        </row>
        <row r="275">
          <cell r="BB275" t="str">
            <v>.</v>
          </cell>
        </row>
        <row r="276">
          <cell r="BB276" t="str">
            <v>.</v>
          </cell>
        </row>
        <row r="277">
          <cell r="BB277" t="str">
            <v>.</v>
          </cell>
        </row>
        <row r="278">
          <cell r="BB278" t="str">
            <v>.</v>
          </cell>
        </row>
        <row r="279">
          <cell r="BB279" t="str">
            <v>.</v>
          </cell>
        </row>
        <row r="280">
          <cell r="BB280" t="str">
            <v>.</v>
          </cell>
        </row>
        <row r="281">
          <cell r="BB281" t="str">
            <v>.</v>
          </cell>
        </row>
        <row r="282">
          <cell r="BB282" t="str">
            <v>.</v>
          </cell>
        </row>
        <row r="283">
          <cell r="BB283" t="str">
            <v>.</v>
          </cell>
        </row>
        <row r="284">
          <cell r="BB284" t="str">
            <v>.</v>
          </cell>
        </row>
        <row r="285">
          <cell r="BB285" t="str">
            <v>.</v>
          </cell>
        </row>
        <row r="286">
          <cell r="BB286" t="str">
            <v>.</v>
          </cell>
        </row>
        <row r="287">
          <cell r="BB287" t="str">
            <v>.</v>
          </cell>
        </row>
        <row r="288">
          <cell r="BB288" t="str">
            <v>.</v>
          </cell>
        </row>
        <row r="289">
          <cell r="BB289" t="str">
            <v>.</v>
          </cell>
        </row>
        <row r="290">
          <cell r="BB290" t="str">
            <v>.</v>
          </cell>
        </row>
        <row r="291">
          <cell r="BB291" t="str">
            <v>.</v>
          </cell>
        </row>
        <row r="292">
          <cell r="BB292" t="str">
            <v>.</v>
          </cell>
        </row>
        <row r="293">
          <cell r="BB293" t="str">
            <v>.</v>
          </cell>
        </row>
        <row r="294">
          <cell r="BB294" t="str">
            <v>.</v>
          </cell>
        </row>
        <row r="295">
          <cell r="BB295" t="str">
            <v>.</v>
          </cell>
        </row>
        <row r="296">
          <cell r="BB296" t="str">
            <v>.</v>
          </cell>
        </row>
        <row r="297">
          <cell r="BB297" t="str">
            <v>.</v>
          </cell>
        </row>
        <row r="298">
          <cell r="BB298" t="str">
            <v>.</v>
          </cell>
        </row>
        <row r="299">
          <cell r="BB299" t="str">
            <v>.</v>
          </cell>
        </row>
        <row r="300">
          <cell r="BB300" t="str">
            <v>.</v>
          </cell>
        </row>
        <row r="301">
          <cell r="BB301" t="str">
            <v>.</v>
          </cell>
        </row>
        <row r="302">
          <cell r="BB302" t="str">
            <v>.</v>
          </cell>
        </row>
        <row r="303">
          <cell r="BB303" t="str">
            <v>.</v>
          </cell>
        </row>
        <row r="304">
          <cell r="BB304" t="str">
            <v>.</v>
          </cell>
        </row>
        <row r="305">
          <cell r="BB305" t="str">
            <v>.</v>
          </cell>
        </row>
        <row r="306">
          <cell r="BB306" t="str">
            <v>.</v>
          </cell>
        </row>
        <row r="307">
          <cell r="BB307" t="str">
            <v>.</v>
          </cell>
        </row>
        <row r="308">
          <cell r="BB308" t="str">
            <v>.</v>
          </cell>
        </row>
        <row r="309">
          <cell r="BB309" t="str">
            <v>.</v>
          </cell>
        </row>
        <row r="310">
          <cell r="BB310" t="str">
            <v>.</v>
          </cell>
        </row>
        <row r="311">
          <cell r="BB311" t="str">
            <v>.</v>
          </cell>
        </row>
        <row r="312">
          <cell r="BB312" t="str">
            <v>.</v>
          </cell>
        </row>
        <row r="313">
          <cell r="BB313" t="str">
            <v>.</v>
          </cell>
        </row>
        <row r="314">
          <cell r="BB314" t="str">
            <v>.</v>
          </cell>
        </row>
        <row r="315">
          <cell r="BB315" t="str">
            <v>.</v>
          </cell>
        </row>
        <row r="316">
          <cell r="BB316" t="str">
            <v>.</v>
          </cell>
        </row>
        <row r="317">
          <cell r="BB317" t="str">
            <v>.</v>
          </cell>
        </row>
        <row r="318">
          <cell r="BB318" t="str">
            <v>.</v>
          </cell>
        </row>
        <row r="319">
          <cell r="BB319" t="str">
            <v>.</v>
          </cell>
        </row>
        <row r="320">
          <cell r="BB320" t="str">
            <v>.</v>
          </cell>
        </row>
        <row r="321">
          <cell r="BB321" t="str">
            <v>.</v>
          </cell>
        </row>
        <row r="322">
          <cell r="BB322" t="str">
            <v>.</v>
          </cell>
        </row>
        <row r="323">
          <cell r="BB323" t="str">
            <v>.</v>
          </cell>
        </row>
        <row r="324">
          <cell r="BB324" t="str">
            <v>.</v>
          </cell>
        </row>
        <row r="325">
          <cell r="BB325" t="str">
            <v>.</v>
          </cell>
        </row>
        <row r="326">
          <cell r="BB326" t="str">
            <v>.</v>
          </cell>
        </row>
        <row r="327">
          <cell r="BB327" t="str">
            <v>.</v>
          </cell>
        </row>
        <row r="328">
          <cell r="BB328" t="str">
            <v>.</v>
          </cell>
        </row>
        <row r="329">
          <cell r="BB329" t="str">
            <v>.</v>
          </cell>
        </row>
        <row r="330">
          <cell r="BB330" t="str">
            <v>.</v>
          </cell>
        </row>
        <row r="331">
          <cell r="BB331" t="str">
            <v>.</v>
          </cell>
        </row>
        <row r="332">
          <cell r="BB332" t="str">
            <v>.</v>
          </cell>
        </row>
        <row r="333">
          <cell r="BB333" t="str">
            <v>.</v>
          </cell>
        </row>
        <row r="334">
          <cell r="BB334" t="str">
            <v>.</v>
          </cell>
        </row>
        <row r="335">
          <cell r="BB335" t="str">
            <v>.</v>
          </cell>
        </row>
        <row r="336">
          <cell r="BB336" t="str">
            <v>.</v>
          </cell>
        </row>
        <row r="337">
          <cell r="BB337" t="str">
            <v>.</v>
          </cell>
        </row>
        <row r="338">
          <cell r="BB338" t="str">
            <v>.</v>
          </cell>
        </row>
        <row r="339">
          <cell r="BB339" t="str">
            <v>.</v>
          </cell>
        </row>
        <row r="340">
          <cell r="BB340" t="str">
            <v>.</v>
          </cell>
        </row>
        <row r="341">
          <cell r="BB341" t="str">
            <v>.</v>
          </cell>
        </row>
        <row r="342">
          <cell r="BB342" t="str">
            <v>.</v>
          </cell>
        </row>
        <row r="343">
          <cell r="BB343" t="str">
            <v>.</v>
          </cell>
        </row>
        <row r="344">
          <cell r="BB344" t="str">
            <v>.</v>
          </cell>
        </row>
        <row r="345">
          <cell r="BB345" t="str">
            <v>.</v>
          </cell>
        </row>
        <row r="346">
          <cell r="BB346" t="str">
            <v>.</v>
          </cell>
        </row>
        <row r="347">
          <cell r="BB347" t="str">
            <v>.</v>
          </cell>
        </row>
        <row r="348">
          <cell r="BB348" t="str">
            <v>.</v>
          </cell>
        </row>
        <row r="349">
          <cell r="BB349" t="str">
            <v>.</v>
          </cell>
        </row>
        <row r="350">
          <cell r="BB350" t="str">
            <v>.</v>
          </cell>
        </row>
        <row r="351">
          <cell r="BB351" t="str">
            <v>.</v>
          </cell>
        </row>
        <row r="352">
          <cell r="BB352" t="str">
            <v>.</v>
          </cell>
        </row>
        <row r="353">
          <cell r="BB353" t="str">
            <v>.</v>
          </cell>
        </row>
        <row r="354">
          <cell r="BB354" t="str">
            <v>.</v>
          </cell>
        </row>
        <row r="355">
          <cell r="BB355" t="str">
            <v>.</v>
          </cell>
        </row>
        <row r="356">
          <cell r="BB356" t="str">
            <v>.</v>
          </cell>
        </row>
        <row r="357">
          <cell r="BB357" t="str">
            <v>.</v>
          </cell>
        </row>
        <row r="358">
          <cell r="BB358" t="str">
            <v>.</v>
          </cell>
        </row>
        <row r="359">
          <cell r="BB359" t="str">
            <v>.</v>
          </cell>
        </row>
        <row r="360">
          <cell r="BB360" t="str">
            <v>.</v>
          </cell>
        </row>
        <row r="361">
          <cell r="BB361" t="str">
            <v>.</v>
          </cell>
        </row>
        <row r="362">
          <cell r="BB362" t="str">
            <v>.</v>
          </cell>
        </row>
        <row r="363">
          <cell r="BB363" t="str">
            <v>.</v>
          </cell>
        </row>
        <row r="364">
          <cell r="BB364" t="str">
            <v>.</v>
          </cell>
        </row>
        <row r="365">
          <cell r="BB365" t="str">
            <v>.</v>
          </cell>
        </row>
        <row r="366">
          <cell r="BB366" t="str">
            <v>.</v>
          </cell>
        </row>
        <row r="367">
          <cell r="BB367" t="str">
            <v>.</v>
          </cell>
        </row>
        <row r="368">
          <cell r="BB368" t="str">
            <v>.</v>
          </cell>
        </row>
        <row r="369">
          <cell r="BB369" t="str">
            <v>.</v>
          </cell>
        </row>
        <row r="370">
          <cell r="BB370" t="str">
            <v>.</v>
          </cell>
        </row>
        <row r="371">
          <cell r="BB371" t="str">
            <v>.</v>
          </cell>
        </row>
        <row r="372">
          <cell r="BB372" t="str">
            <v>.</v>
          </cell>
        </row>
        <row r="373">
          <cell r="BB373" t="str">
            <v>.</v>
          </cell>
        </row>
        <row r="374">
          <cell r="BB374" t="str">
            <v>.</v>
          </cell>
        </row>
        <row r="375">
          <cell r="BB375" t="str">
            <v>.</v>
          </cell>
        </row>
        <row r="376">
          <cell r="BB376" t="str">
            <v>.</v>
          </cell>
        </row>
        <row r="377">
          <cell r="BB377" t="str">
            <v>.</v>
          </cell>
        </row>
        <row r="378">
          <cell r="BB378" t="str">
            <v>.</v>
          </cell>
        </row>
        <row r="379">
          <cell r="BB379" t="str">
            <v>.</v>
          </cell>
        </row>
        <row r="380">
          <cell r="BB380" t="str">
            <v>.</v>
          </cell>
        </row>
        <row r="381">
          <cell r="BB381" t="str">
            <v>.</v>
          </cell>
        </row>
        <row r="382">
          <cell r="BB382" t="str">
            <v>.</v>
          </cell>
        </row>
        <row r="383">
          <cell r="BB383" t="str">
            <v>.</v>
          </cell>
        </row>
        <row r="384">
          <cell r="BB384" t="str">
            <v>.</v>
          </cell>
        </row>
        <row r="385">
          <cell r="BB385" t="str">
            <v>.</v>
          </cell>
        </row>
        <row r="386">
          <cell r="BB386" t="str">
            <v>.</v>
          </cell>
        </row>
        <row r="387">
          <cell r="BB387" t="str">
            <v>.</v>
          </cell>
        </row>
        <row r="388">
          <cell r="BB388" t="str">
            <v>.</v>
          </cell>
        </row>
        <row r="389">
          <cell r="BB389" t="str">
            <v>.</v>
          </cell>
        </row>
        <row r="390">
          <cell r="BB390" t="str">
            <v>.</v>
          </cell>
        </row>
        <row r="391">
          <cell r="BB391" t="str">
            <v>.</v>
          </cell>
        </row>
        <row r="392">
          <cell r="BB392" t="str">
            <v>.</v>
          </cell>
        </row>
        <row r="393">
          <cell r="BB393" t="str">
            <v>.</v>
          </cell>
        </row>
        <row r="394">
          <cell r="BB394" t="str">
            <v>.</v>
          </cell>
        </row>
        <row r="395">
          <cell r="BB395" t="str">
            <v>.</v>
          </cell>
        </row>
        <row r="396">
          <cell r="BB396" t="str">
            <v>.</v>
          </cell>
        </row>
        <row r="397">
          <cell r="BB397" t="str">
            <v>.</v>
          </cell>
        </row>
        <row r="398">
          <cell r="BB398" t="str">
            <v>.</v>
          </cell>
        </row>
        <row r="399">
          <cell r="BB399" t="str">
            <v>.</v>
          </cell>
        </row>
        <row r="400">
          <cell r="BB400" t="str">
            <v>.</v>
          </cell>
        </row>
        <row r="401">
          <cell r="BB401" t="str">
            <v>.</v>
          </cell>
        </row>
        <row r="402">
          <cell r="BB402" t="str">
            <v>.</v>
          </cell>
        </row>
        <row r="403">
          <cell r="BB403" t="str">
            <v>.</v>
          </cell>
        </row>
        <row r="404">
          <cell r="BB404" t="str">
            <v>.</v>
          </cell>
        </row>
        <row r="405">
          <cell r="BB405" t="str">
            <v>.</v>
          </cell>
        </row>
        <row r="406">
          <cell r="BB406" t="str">
            <v>.</v>
          </cell>
        </row>
        <row r="407">
          <cell r="BB407" t="str">
            <v>.</v>
          </cell>
        </row>
        <row r="408">
          <cell r="BB408" t="str">
            <v>.</v>
          </cell>
        </row>
        <row r="409">
          <cell r="BB409" t="str">
            <v>.</v>
          </cell>
        </row>
        <row r="410">
          <cell r="BB410" t="str">
            <v>.</v>
          </cell>
        </row>
        <row r="411">
          <cell r="BB411" t="str">
            <v>.</v>
          </cell>
        </row>
        <row r="412">
          <cell r="BB412" t="str">
            <v>.</v>
          </cell>
        </row>
        <row r="413">
          <cell r="BB413" t="str">
            <v>.</v>
          </cell>
        </row>
        <row r="414">
          <cell r="BB414" t="str">
            <v>.</v>
          </cell>
        </row>
        <row r="415">
          <cell r="BB415" t="str">
            <v>.</v>
          </cell>
        </row>
        <row r="416">
          <cell r="BB416" t="str">
            <v>.</v>
          </cell>
        </row>
        <row r="417">
          <cell r="BB417" t="str">
            <v>.</v>
          </cell>
        </row>
        <row r="418">
          <cell r="BB418" t="str">
            <v>.</v>
          </cell>
        </row>
        <row r="419">
          <cell r="BB419" t="str">
            <v>.</v>
          </cell>
        </row>
        <row r="420">
          <cell r="BB420" t="str">
            <v>.</v>
          </cell>
        </row>
        <row r="421">
          <cell r="BB421" t="str">
            <v>.</v>
          </cell>
        </row>
        <row r="422">
          <cell r="BB422" t="str">
            <v>.</v>
          </cell>
        </row>
        <row r="423">
          <cell r="BB423" t="str">
            <v>.</v>
          </cell>
        </row>
        <row r="424">
          <cell r="BB424" t="str">
            <v>.</v>
          </cell>
        </row>
        <row r="425">
          <cell r="BB425" t="str">
            <v>.</v>
          </cell>
        </row>
        <row r="426">
          <cell r="BB426" t="str">
            <v>.</v>
          </cell>
        </row>
        <row r="427">
          <cell r="BB427" t="str">
            <v>.</v>
          </cell>
        </row>
        <row r="428">
          <cell r="BB428" t="str">
            <v>.</v>
          </cell>
        </row>
        <row r="429">
          <cell r="BB429" t="str">
            <v>.</v>
          </cell>
        </row>
        <row r="430">
          <cell r="BB430" t="str">
            <v>.</v>
          </cell>
        </row>
        <row r="431">
          <cell r="BB431" t="str">
            <v>.</v>
          </cell>
        </row>
        <row r="432">
          <cell r="BB432" t="str">
            <v>.</v>
          </cell>
        </row>
        <row r="433">
          <cell r="BB433" t="str">
            <v>.</v>
          </cell>
        </row>
        <row r="434">
          <cell r="BB434" t="str">
            <v>.</v>
          </cell>
        </row>
        <row r="435">
          <cell r="BB435" t="str">
            <v>.</v>
          </cell>
        </row>
        <row r="436">
          <cell r="BB436" t="str">
            <v>.</v>
          </cell>
        </row>
        <row r="437">
          <cell r="BB437" t="str">
            <v>.</v>
          </cell>
        </row>
        <row r="438">
          <cell r="BB438" t="str">
            <v>.</v>
          </cell>
        </row>
        <row r="439">
          <cell r="BB439" t="str">
            <v>.</v>
          </cell>
        </row>
        <row r="440">
          <cell r="BB440" t="str">
            <v>.</v>
          </cell>
        </row>
        <row r="441">
          <cell r="BB441" t="str">
            <v>.</v>
          </cell>
        </row>
        <row r="442">
          <cell r="BB442" t="str">
            <v>.</v>
          </cell>
        </row>
        <row r="443">
          <cell r="BB443" t="str">
            <v>.</v>
          </cell>
        </row>
        <row r="444">
          <cell r="BB444" t="str">
            <v>.</v>
          </cell>
        </row>
        <row r="445">
          <cell r="BB445" t="str">
            <v>.</v>
          </cell>
        </row>
        <row r="446">
          <cell r="BB446" t="str">
            <v>.</v>
          </cell>
        </row>
        <row r="447">
          <cell r="BB447" t="str">
            <v>.</v>
          </cell>
        </row>
        <row r="448">
          <cell r="BB448" t="str">
            <v>.</v>
          </cell>
        </row>
        <row r="449">
          <cell r="BB449" t="str">
            <v>.</v>
          </cell>
        </row>
        <row r="450">
          <cell r="BB450" t="str">
            <v>.</v>
          </cell>
        </row>
        <row r="451">
          <cell r="BB451" t="str">
            <v>.</v>
          </cell>
        </row>
        <row r="452">
          <cell r="BB452" t="str">
            <v>.</v>
          </cell>
        </row>
        <row r="453">
          <cell r="BB453" t="str">
            <v>.</v>
          </cell>
        </row>
        <row r="454">
          <cell r="BB454" t="str">
            <v>.</v>
          </cell>
        </row>
        <row r="455">
          <cell r="BB455" t="str">
            <v>.</v>
          </cell>
        </row>
        <row r="456">
          <cell r="BB456" t="str">
            <v>.</v>
          </cell>
        </row>
        <row r="457">
          <cell r="BB457" t="str">
            <v>.</v>
          </cell>
        </row>
        <row r="458">
          <cell r="BB458" t="str">
            <v>.</v>
          </cell>
        </row>
        <row r="459">
          <cell r="BB459" t="str">
            <v>.</v>
          </cell>
        </row>
        <row r="460">
          <cell r="BB460" t="str">
            <v>.</v>
          </cell>
        </row>
        <row r="461">
          <cell r="BB461" t="str">
            <v>.</v>
          </cell>
        </row>
        <row r="462">
          <cell r="BB462" t="str">
            <v>.</v>
          </cell>
        </row>
        <row r="463">
          <cell r="BB463" t="str">
            <v>.</v>
          </cell>
        </row>
        <row r="464">
          <cell r="BB464" t="str">
            <v>.</v>
          </cell>
        </row>
        <row r="465">
          <cell r="BB465" t="str">
            <v>.</v>
          </cell>
        </row>
        <row r="466">
          <cell r="BB466" t="str">
            <v>.</v>
          </cell>
        </row>
        <row r="467">
          <cell r="BB467" t="str">
            <v>.</v>
          </cell>
        </row>
        <row r="468">
          <cell r="BB468" t="str">
            <v>.</v>
          </cell>
        </row>
        <row r="469">
          <cell r="BB469" t="str">
            <v>.</v>
          </cell>
        </row>
        <row r="470">
          <cell r="BB470" t="str">
            <v>.</v>
          </cell>
        </row>
        <row r="471">
          <cell r="BB471" t="str">
            <v>.</v>
          </cell>
        </row>
        <row r="472">
          <cell r="BB472" t="str">
            <v>.</v>
          </cell>
        </row>
        <row r="473">
          <cell r="BB473" t="str">
            <v>.</v>
          </cell>
        </row>
        <row r="474">
          <cell r="BB474" t="str">
            <v>.</v>
          </cell>
        </row>
        <row r="475">
          <cell r="BB475" t="str">
            <v>.</v>
          </cell>
        </row>
        <row r="476">
          <cell r="BB476" t="str">
            <v>.</v>
          </cell>
        </row>
        <row r="477">
          <cell r="BB477" t="str">
            <v>.</v>
          </cell>
        </row>
        <row r="478">
          <cell r="BB478" t="str">
            <v>.</v>
          </cell>
        </row>
        <row r="479">
          <cell r="BB479" t="str">
            <v>.</v>
          </cell>
        </row>
        <row r="480">
          <cell r="BB480" t="str">
            <v>.</v>
          </cell>
        </row>
        <row r="481">
          <cell r="BB481" t="str">
            <v>.</v>
          </cell>
        </row>
        <row r="482">
          <cell r="BB482" t="str">
            <v>.</v>
          </cell>
        </row>
        <row r="483">
          <cell r="BB483" t="str">
            <v>.</v>
          </cell>
        </row>
        <row r="484">
          <cell r="BB484" t="str">
            <v>.</v>
          </cell>
        </row>
        <row r="485">
          <cell r="BB485" t="str">
            <v>.</v>
          </cell>
        </row>
        <row r="486">
          <cell r="BB486" t="str">
            <v>.</v>
          </cell>
        </row>
        <row r="487">
          <cell r="BB487" t="str">
            <v>.</v>
          </cell>
        </row>
        <row r="488">
          <cell r="BB488" t="str">
            <v>.</v>
          </cell>
        </row>
        <row r="489">
          <cell r="BB489" t="str">
            <v>.</v>
          </cell>
        </row>
        <row r="490">
          <cell r="BB490" t="str">
            <v>.</v>
          </cell>
        </row>
        <row r="491">
          <cell r="BB491" t="str">
            <v>.</v>
          </cell>
        </row>
        <row r="492">
          <cell r="BB492" t="str">
            <v>.</v>
          </cell>
        </row>
        <row r="493">
          <cell r="BB493" t="str">
            <v>.</v>
          </cell>
        </row>
        <row r="494">
          <cell r="BB494" t="str">
            <v>.</v>
          </cell>
        </row>
        <row r="495">
          <cell r="BB495" t="str">
            <v>.</v>
          </cell>
        </row>
        <row r="496">
          <cell r="BB496" t="str">
            <v>.</v>
          </cell>
        </row>
        <row r="497">
          <cell r="BB497" t="str">
            <v>.</v>
          </cell>
        </row>
        <row r="498">
          <cell r="BB498" t="str">
            <v>.</v>
          </cell>
        </row>
        <row r="499">
          <cell r="BB499" t="str">
            <v>.</v>
          </cell>
        </row>
        <row r="500">
          <cell r="BB500" t="str">
            <v>.</v>
          </cell>
        </row>
        <row r="501">
          <cell r="BB501" t="str">
            <v>.</v>
          </cell>
        </row>
        <row r="502">
          <cell r="BB502" t="str">
            <v>.</v>
          </cell>
        </row>
        <row r="503">
          <cell r="BB503" t="str">
            <v>.</v>
          </cell>
        </row>
        <row r="504">
          <cell r="BB504" t="str">
            <v>.</v>
          </cell>
        </row>
        <row r="505">
          <cell r="BB505" t="str">
            <v>.</v>
          </cell>
        </row>
        <row r="506">
          <cell r="BB506" t="str">
            <v>.</v>
          </cell>
        </row>
        <row r="507">
          <cell r="BB507" t="str">
            <v>.</v>
          </cell>
        </row>
        <row r="508">
          <cell r="BB508" t="str">
            <v>.</v>
          </cell>
        </row>
        <row r="509">
          <cell r="BB509" t="str">
            <v>.</v>
          </cell>
        </row>
        <row r="510">
          <cell r="BB510" t="str">
            <v>.</v>
          </cell>
        </row>
        <row r="511">
          <cell r="BB511" t="str">
            <v>.</v>
          </cell>
        </row>
        <row r="512">
          <cell r="BB512" t="str">
            <v>.</v>
          </cell>
        </row>
        <row r="513">
          <cell r="BB513" t="str">
            <v>.</v>
          </cell>
        </row>
        <row r="514">
          <cell r="BB514" t="str">
            <v>.</v>
          </cell>
        </row>
        <row r="515">
          <cell r="BB515" t="str">
            <v>.</v>
          </cell>
        </row>
        <row r="516">
          <cell r="BB516" t="str">
            <v>.</v>
          </cell>
        </row>
        <row r="517">
          <cell r="BB517" t="str">
            <v>.</v>
          </cell>
        </row>
        <row r="518">
          <cell r="BB518" t="str">
            <v>.</v>
          </cell>
        </row>
        <row r="519">
          <cell r="BB519" t="str">
            <v>.</v>
          </cell>
        </row>
        <row r="520">
          <cell r="BB520" t="str">
            <v>.</v>
          </cell>
        </row>
        <row r="521">
          <cell r="BB521" t="str">
            <v>.</v>
          </cell>
        </row>
        <row r="522">
          <cell r="BB522" t="str">
            <v>.</v>
          </cell>
        </row>
        <row r="523">
          <cell r="BB523" t="str">
            <v>.</v>
          </cell>
        </row>
        <row r="524">
          <cell r="BB524" t="str">
            <v>.</v>
          </cell>
        </row>
        <row r="525">
          <cell r="BB525" t="str">
            <v>.</v>
          </cell>
        </row>
        <row r="526">
          <cell r="BB526" t="str">
            <v>.</v>
          </cell>
        </row>
        <row r="527">
          <cell r="BB527" t="str">
            <v>.</v>
          </cell>
        </row>
        <row r="528">
          <cell r="BB528" t="str">
            <v>.</v>
          </cell>
        </row>
        <row r="529">
          <cell r="BB529" t="str">
            <v>.</v>
          </cell>
        </row>
        <row r="530">
          <cell r="BB530" t="str">
            <v>.</v>
          </cell>
        </row>
        <row r="531">
          <cell r="BB531" t="str">
            <v>.</v>
          </cell>
        </row>
        <row r="532">
          <cell r="BB532" t="str">
            <v>.</v>
          </cell>
        </row>
        <row r="533">
          <cell r="BB533" t="str">
            <v>.</v>
          </cell>
        </row>
        <row r="534">
          <cell r="BB534" t="str">
            <v>.</v>
          </cell>
        </row>
        <row r="535">
          <cell r="BB535" t="str">
            <v>.</v>
          </cell>
        </row>
        <row r="536">
          <cell r="BB536" t="str">
            <v>.</v>
          </cell>
        </row>
        <row r="537">
          <cell r="BB537" t="str">
            <v>.</v>
          </cell>
        </row>
        <row r="538">
          <cell r="BB538" t="str">
            <v>.</v>
          </cell>
        </row>
        <row r="539">
          <cell r="BB539" t="str">
            <v>.</v>
          </cell>
        </row>
        <row r="540">
          <cell r="BB540" t="str">
            <v>.</v>
          </cell>
        </row>
        <row r="541">
          <cell r="BB541" t="str">
            <v>.</v>
          </cell>
        </row>
        <row r="542">
          <cell r="BB542" t="str">
            <v>.</v>
          </cell>
        </row>
        <row r="543">
          <cell r="BB543" t="str">
            <v>.</v>
          </cell>
        </row>
        <row r="544">
          <cell r="BB544" t="str">
            <v>.</v>
          </cell>
        </row>
        <row r="545">
          <cell r="BB545" t="str">
            <v>.</v>
          </cell>
        </row>
        <row r="546">
          <cell r="BB546" t="str">
            <v>.</v>
          </cell>
        </row>
        <row r="547">
          <cell r="BB547" t="str">
            <v>.</v>
          </cell>
        </row>
        <row r="548">
          <cell r="BB548" t="str">
            <v>.</v>
          </cell>
        </row>
        <row r="549">
          <cell r="BB549" t="str">
            <v>.</v>
          </cell>
        </row>
        <row r="550">
          <cell r="BB550" t="str">
            <v>.</v>
          </cell>
        </row>
        <row r="551">
          <cell r="BB551" t="str">
            <v>.</v>
          </cell>
        </row>
        <row r="552">
          <cell r="BB552" t="str">
            <v>.</v>
          </cell>
        </row>
        <row r="553">
          <cell r="BB553" t="str">
            <v>.</v>
          </cell>
        </row>
        <row r="554">
          <cell r="BB554" t="str">
            <v>.</v>
          </cell>
        </row>
        <row r="555">
          <cell r="BB555" t="str">
            <v>.</v>
          </cell>
        </row>
        <row r="556">
          <cell r="BB556" t="str">
            <v>.</v>
          </cell>
        </row>
        <row r="557">
          <cell r="BB557" t="str">
            <v>.</v>
          </cell>
        </row>
        <row r="558">
          <cell r="BB558" t="str">
            <v>.</v>
          </cell>
        </row>
        <row r="559">
          <cell r="BB559" t="str">
            <v>.</v>
          </cell>
        </row>
        <row r="560">
          <cell r="BB560" t="str">
            <v>.</v>
          </cell>
        </row>
        <row r="561">
          <cell r="BB561" t="str">
            <v>.</v>
          </cell>
        </row>
        <row r="562">
          <cell r="BB562" t="str">
            <v>.</v>
          </cell>
        </row>
        <row r="563">
          <cell r="BB563" t="str">
            <v>.</v>
          </cell>
        </row>
        <row r="564">
          <cell r="BB564" t="str">
            <v>.</v>
          </cell>
        </row>
        <row r="565">
          <cell r="BB565" t="str">
            <v>.</v>
          </cell>
        </row>
        <row r="566">
          <cell r="BB566" t="str">
            <v>.</v>
          </cell>
        </row>
        <row r="567">
          <cell r="BB567" t="str">
            <v>.</v>
          </cell>
        </row>
        <row r="568">
          <cell r="BB568" t="str">
            <v>.</v>
          </cell>
        </row>
        <row r="569">
          <cell r="BB569" t="str">
            <v>.</v>
          </cell>
        </row>
        <row r="570">
          <cell r="BB570" t="str">
            <v>.</v>
          </cell>
        </row>
        <row r="571">
          <cell r="BB571" t="str">
            <v>.</v>
          </cell>
        </row>
        <row r="572">
          <cell r="BB572" t="str">
            <v>.</v>
          </cell>
        </row>
        <row r="573">
          <cell r="BB573" t="str">
            <v>.</v>
          </cell>
        </row>
        <row r="574">
          <cell r="BB574" t="str">
            <v>.</v>
          </cell>
        </row>
        <row r="575">
          <cell r="BB575" t="str">
            <v>.</v>
          </cell>
        </row>
        <row r="576">
          <cell r="BB576" t="str">
            <v>.</v>
          </cell>
        </row>
        <row r="577">
          <cell r="BB577" t="str">
            <v>.</v>
          </cell>
        </row>
        <row r="578">
          <cell r="BB578" t="str">
            <v>.</v>
          </cell>
        </row>
        <row r="579">
          <cell r="BB579" t="str">
            <v>.</v>
          </cell>
        </row>
        <row r="580">
          <cell r="BB580" t="str">
            <v>.</v>
          </cell>
        </row>
        <row r="581">
          <cell r="BB581" t="str">
            <v>.</v>
          </cell>
        </row>
        <row r="582">
          <cell r="BB582" t="str">
            <v>.</v>
          </cell>
        </row>
        <row r="583">
          <cell r="BB583" t="str">
            <v>.</v>
          </cell>
        </row>
        <row r="584">
          <cell r="BB584" t="str">
            <v>.</v>
          </cell>
        </row>
        <row r="585">
          <cell r="BB585" t="str">
            <v>.</v>
          </cell>
        </row>
        <row r="586">
          <cell r="BB586" t="str">
            <v>.</v>
          </cell>
        </row>
        <row r="587">
          <cell r="BB587" t="str">
            <v>.</v>
          </cell>
        </row>
        <row r="588">
          <cell r="BB588" t="str">
            <v>.</v>
          </cell>
        </row>
        <row r="589">
          <cell r="BB589" t="str">
            <v>.</v>
          </cell>
        </row>
        <row r="590">
          <cell r="BB590" t="str">
            <v>.</v>
          </cell>
        </row>
        <row r="591">
          <cell r="BB591" t="str">
            <v>.</v>
          </cell>
        </row>
        <row r="592">
          <cell r="BB592" t="str">
            <v>.</v>
          </cell>
        </row>
        <row r="593">
          <cell r="BB593" t="str">
            <v>.</v>
          </cell>
        </row>
        <row r="594">
          <cell r="BB594" t="str">
            <v>.</v>
          </cell>
        </row>
        <row r="595">
          <cell r="BB595" t="str">
            <v>.</v>
          </cell>
        </row>
        <row r="596">
          <cell r="BB596" t="str">
            <v>.</v>
          </cell>
        </row>
        <row r="597">
          <cell r="BB597" t="str">
            <v>.</v>
          </cell>
        </row>
        <row r="598">
          <cell r="BB598" t="str">
            <v>.</v>
          </cell>
        </row>
        <row r="599">
          <cell r="BB599" t="str">
            <v>.</v>
          </cell>
        </row>
        <row r="600">
          <cell r="BB600" t="str">
            <v>.</v>
          </cell>
        </row>
        <row r="601">
          <cell r="BB601" t="str">
            <v>.</v>
          </cell>
        </row>
        <row r="602">
          <cell r="BB602" t="str">
            <v>.</v>
          </cell>
        </row>
        <row r="603">
          <cell r="BB603" t="str">
            <v>.</v>
          </cell>
        </row>
        <row r="604">
          <cell r="BB604" t="str">
            <v>.</v>
          </cell>
        </row>
        <row r="605">
          <cell r="BB605" t="str">
            <v>.</v>
          </cell>
        </row>
        <row r="606">
          <cell r="BB606" t="str">
            <v>.</v>
          </cell>
        </row>
        <row r="607">
          <cell r="BB607" t="str">
            <v>.</v>
          </cell>
        </row>
        <row r="608">
          <cell r="BB608" t="str">
            <v>.</v>
          </cell>
        </row>
        <row r="609">
          <cell r="BB609" t="str">
            <v>.</v>
          </cell>
        </row>
        <row r="610">
          <cell r="BB610" t="str">
            <v>.</v>
          </cell>
        </row>
        <row r="611">
          <cell r="BB611" t="str">
            <v>.</v>
          </cell>
        </row>
        <row r="612">
          <cell r="BB612" t="str">
            <v>.</v>
          </cell>
        </row>
        <row r="613">
          <cell r="BB613" t="str">
            <v>.</v>
          </cell>
        </row>
        <row r="614">
          <cell r="BB614" t="str">
            <v>.</v>
          </cell>
        </row>
        <row r="615">
          <cell r="BB615" t="str">
            <v>.</v>
          </cell>
        </row>
        <row r="616">
          <cell r="BB616" t="str">
            <v>.</v>
          </cell>
        </row>
        <row r="617">
          <cell r="BB617" t="str">
            <v>.</v>
          </cell>
        </row>
        <row r="618">
          <cell r="BB618" t="str">
            <v>.</v>
          </cell>
        </row>
        <row r="619">
          <cell r="BB619" t="str">
            <v>.</v>
          </cell>
        </row>
        <row r="620">
          <cell r="BB620" t="str">
            <v>.</v>
          </cell>
        </row>
        <row r="621">
          <cell r="BB621" t="str">
            <v>.</v>
          </cell>
        </row>
        <row r="622">
          <cell r="BB622" t="str">
            <v>.</v>
          </cell>
        </row>
        <row r="623">
          <cell r="BB623" t="str">
            <v>.</v>
          </cell>
        </row>
        <row r="624">
          <cell r="BB624" t="str">
            <v>.</v>
          </cell>
        </row>
        <row r="625">
          <cell r="BB625" t="str">
            <v>.</v>
          </cell>
        </row>
        <row r="626">
          <cell r="BB626" t="str">
            <v>.</v>
          </cell>
        </row>
        <row r="627">
          <cell r="BB627" t="str">
            <v>.</v>
          </cell>
        </row>
        <row r="628">
          <cell r="BB628" t="str">
            <v>.</v>
          </cell>
        </row>
        <row r="629">
          <cell r="BB629" t="str">
            <v>.</v>
          </cell>
        </row>
        <row r="630">
          <cell r="BB630" t="str">
            <v>.</v>
          </cell>
        </row>
        <row r="631">
          <cell r="BB631" t="str">
            <v>.</v>
          </cell>
        </row>
        <row r="632">
          <cell r="BB632" t="str">
            <v>.</v>
          </cell>
        </row>
        <row r="633">
          <cell r="BB633" t="str">
            <v>.</v>
          </cell>
        </row>
        <row r="634">
          <cell r="BB634" t="str">
            <v>.</v>
          </cell>
        </row>
        <row r="635">
          <cell r="BB635" t="str">
            <v>.</v>
          </cell>
        </row>
        <row r="636">
          <cell r="BB636" t="str">
            <v>.</v>
          </cell>
        </row>
        <row r="637">
          <cell r="BB637" t="str">
            <v>.</v>
          </cell>
        </row>
        <row r="638">
          <cell r="BB638" t="str">
            <v>.</v>
          </cell>
        </row>
        <row r="639">
          <cell r="BB639" t="str">
            <v>.</v>
          </cell>
        </row>
        <row r="640">
          <cell r="BB640" t="str">
            <v>.</v>
          </cell>
        </row>
        <row r="641">
          <cell r="BB641" t="str">
            <v>.</v>
          </cell>
        </row>
        <row r="642">
          <cell r="BB642" t="str">
            <v>.</v>
          </cell>
        </row>
        <row r="643">
          <cell r="BB643" t="str">
            <v>.</v>
          </cell>
        </row>
        <row r="644">
          <cell r="BB644" t="str">
            <v>.</v>
          </cell>
        </row>
        <row r="645">
          <cell r="BB645" t="str">
            <v>.</v>
          </cell>
        </row>
        <row r="646">
          <cell r="BB646" t="str">
            <v>.</v>
          </cell>
        </row>
        <row r="647">
          <cell r="BB647" t="str">
            <v>.</v>
          </cell>
        </row>
        <row r="648">
          <cell r="BB648" t="str">
            <v>.</v>
          </cell>
        </row>
        <row r="649">
          <cell r="BB649" t="str">
            <v>.</v>
          </cell>
        </row>
        <row r="650">
          <cell r="BB650" t="str">
            <v>.</v>
          </cell>
        </row>
        <row r="651">
          <cell r="BB651" t="str">
            <v>.</v>
          </cell>
        </row>
        <row r="652">
          <cell r="BB652" t="str">
            <v>.</v>
          </cell>
        </row>
        <row r="653">
          <cell r="BB653" t="str">
            <v>.</v>
          </cell>
        </row>
        <row r="654">
          <cell r="BB654" t="str">
            <v>.</v>
          </cell>
        </row>
        <row r="655">
          <cell r="BB655" t="str">
            <v>.</v>
          </cell>
        </row>
        <row r="656">
          <cell r="BB656" t="str">
            <v>.</v>
          </cell>
        </row>
        <row r="657">
          <cell r="BB657" t="str">
            <v>.</v>
          </cell>
        </row>
        <row r="658">
          <cell r="BB658" t="str">
            <v>.</v>
          </cell>
        </row>
        <row r="659">
          <cell r="BB659" t="str">
            <v>.</v>
          </cell>
        </row>
        <row r="660">
          <cell r="BB660" t="str">
            <v>.</v>
          </cell>
        </row>
        <row r="661">
          <cell r="BB661" t="str">
            <v>.</v>
          </cell>
        </row>
        <row r="662">
          <cell r="BB662" t="str">
            <v>.</v>
          </cell>
        </row>
        <row r="663">
          <cell r="BB663" t="str">
            <v>.</v>
          </cell>
        </row>
        <row r="664">
          <cell r="BB664" t="str">
            <v>.</v>
          </cell>
        </row>
        <row r="665">
          <cell r="BB665" t="str">
            <v>.</v>
          </cell>
        </row>
        <row r="666">
          <cell r="BB666" t="str">
            <v>.</v>
          </cell>
        </row>
        <row r="667">
          <cell r="BB667" t="str">
            <v>.</v>
          </cell>
        </row>
        <row r="668">
          <cell r="BB668" t="str">
            <v>.</v>
          </cell>
        </row>
        <row r="669">
          <cell r="BB669" t="str">
            <v>.</v>
          </cell>
        </row>
        <row r="670">
          <cell r="BB670" t="str">
            <v>.</v>
          </cell>
        </row>
        <row r="671">
          <cell r="BB671" t="str">
            <v>.</v>
          </cell>
        </row>
        <row r="672">
          <cell r="BB672" t="str">
            <v>.</v>
          </cell>
        </row>
        <row r="673">
          <cell r="BB673" t="str">
            <v>.</v>
          </cell>
        </row>
        <row r="674">
          <cell r="BB674" t="str">
            <v>.</v>
          </cell>
        </row>
        <row r="675">
          <cell r="BB675" t="str">
            <v>.</v>
          </cell>
        </row>
        <row r="676">
          <cell r="BB676" t="str">
            <v>.</v>
          </cell>
        </row>
        <row r="677">
          <cell r="BB677" t="str">
            <v>.</v>
          </cell>
        </row>
        <row r="678">
          <cell r="BB678" t="str">
            <v>.</v>
          </cell>
        </row>
        <row r="679">
          <cell r="BB679" t="str">
            <v>.</v>
          </cell>
        </row>
        <row r="680">
          <cell r="BB680" t="str">
            <v>.</v>
          </cell>
        </row>
        <row r="681">
          <cell r="BB681" t="str">
            <v>.</v>
          </cell>
        </row>
        <row r="682">
          <cell r="BB682" t="str">
            <v>.</v>
          </cell>
        </row>
        <row r="683">
          <cell r="BB683" t="str">
            <v>.</v>
          </cell>
        </row>
        <row r="684">
          <cell r="BB684" t="str">
            <v>.</v>
          </cell>
        </row>
        <row r="685">
          <cell r="BB685" t="str">
            <v>.</v>
          </cell>
        </row>
        <row r="686">
          <cell r="BB686" t="str">
            <v>.</v>
          </cell>
        </row>
        <row r="687">
          <cell r="BB687" t="str">
            <v>.</v>
          </cell>
        </row>
        <row r="688">
          <cell r="BB688" t="str">
            <v>.</v>
          </cell>
        </row>
        <row r="689">
          <cell r="BB689" t="str">
            <v>.</v>
          </cell>
        </row>
        <row r="690">
          <cell r="BB690" t="str">
            <v>.</v>
          </cell>
        </row>
        <row r="691">
          <cell r="BB691" t="str">
            <v>.</v>
          </cell>
        </row>
        <row r="692">
          <cell r="BB692" t="str">
            <v>.</v>
          </cell>
        </row>
        <row r="693">
          <cell r="BB693" t="str">
            <v>.</v>
          </cell>
        </row>
        <row r="694">
          <cell r="BB694" t="str">
            <v>.</v>
          </cell>
        </row>
        <row r="695">
          <cell r="BB695" t="str">
            <v>.</v>
          </cell>
        </row>
        <row r="696">
          <cell r="BB696" t="str">
            <v>.</v>
          </cell>
        </row>
        <row r="697">
          <cell r="BB697" t="str">
            <v>.</v>
          </cell>
        </row>
        <row r="698">
          <cell r="BB698" t="str">
            <v>.</v>
          </cell>
        </row>
        <row r="699">
          <cell r="BB699" t="str">
            <v>.</v>
          </cell>
        </row>
        <row r="700">
          <cell r="BB700" t="str">
            <v>.</v>
          </cell>
        </row>
        <row r="701">
          <cell r="BB701" t="str">
            <v>.</v>
          </cell>
        </row>
        <row r="702">
          <cell r="BB702" t="str">
            <v>.</v>
          </cell>
        </row>
        <row r="703">
          <cell r="BB703" t="str">
            <v>.</v>
          </cell>
        </row>
        <row r="704">
          <cell r="BB704" t="str">
            <v>.</v>
          </cell>
        </row>
        <row r="705">
          <cell r="BB705" t="str">
            <v>.</v>
          </cell>
        </row>
        <row r="706">
          <cell r="BB706" t="str">
            <v>.</v>
          </cell>
        </row>
        <row r="707">
          <cell r="BB707" t="str">
            <v>.</v>
          </cell>
        </row>
        <row r="708">
          <cell r="BB708" t="str">
            <v>.</v>
          </cell>
        </row>
        <row r="709">
          <cell r="BB709" t="str">
            <v>.</v>
          </cell>
        </row>
        <row r="710">
          <cell r="BB710" t="str">
            <v>.</v>
          </cell>
        </row>
        <row r="711">
          <cell r="BB711" t="str">
            <v>.</v>
          </cell>
        </row>
        <row r="712">
          <cell r="BB712" t="str">
            <v>.</v>
          </cell>
        </row>
        <row r="713">
          <cell r="BB713" t="str">
            <v>.</v>
          </cell>
        </row>
        <row r="714">
          <cell r="BB714" t="str">
            <v>.</v>
          </cell>
        </row>
        <row r="715">
          <cell r="BB715" t="str">
            <v>.</v>
          </cell>
        </row>
        <row r="716">
          <cell r="BB716" t="str">
            <v>.</v>
          </cell>
        </row>
        <row r="717">
          <cell r="BB717" t="str">
            <v>.</v>
          </cell>
        </row>
        <row r="718">
          <cell r="BB718" t="str">
            <v>.</v>
          </cell>
        </row>
        <row r="719">
          <cell r="BB719" t="str">
            <v>.</v>
          </cell>
        </row>
        <row r="720">
          <cell r="BB720" t="str">
            <v>.</v>
          </cell>
        </row>
        <row r="721">
          <cell r="BB721" t="str">
            <v>.</v>
          </cell>
        </row>
        <row r="722">
          <cell r="BB722" t="str">
            <v>.</v>
          </cell>
        </row>
        <row r="723">
          <cell r="BB723" t="str">
            <v>.</v>
          </cell>
        </row>
        <row r="724">
          <cell r="BB724" t="str">
            <v>.</v>
          </cell>
        </row>
        <row r="725">
          <cell r="BB725" t="str">
            <v>.</v>
          </cell>
        </row>
        <row r="726">
          <cell r="BB726" t="str">
            <v>.</v>
          </cell>
        </row>
        <row r="727">
          <cell r="BB727" t="str">
            <v>.</v>
          </cell>
        </row>
        <row r="728">
          <cell r="BB728" t="str">
            <v>.</v>
          </cell>
        </row>
        <row r="729">
          <cell r="BB729" t="str">
            <v>.</v>
          </cell>
        </row>
        <row r="730">
          <cell r="BB730" t="str">
            <v>.</v>
          </cell>
        </row>
        <row r="731">
          <cell r="BB731" t="str">
            <v>.</v>
          </cell>
        </row>
        <row r="732">
          <cell r="BB732" t="str">
            <v>.</v>
          </cell>
        </row>
        <row r="733">
          <cell r="BB733" t="str">
            <v>.</v>
          </cell>
        </row>
        <row r="734">
          <cell r="BB734" t="str">
            <v>.</v>
          </cell>
        </row>
        <row r="735">
          <cell r="BB735" t="str">
            <v>.</v>
          </cell>
        </row>
        <row r="736">
          <cell r="BB736" t="str">
            <v>.</v>
          </cell>
        </row>
        <row r="737">
          <cell r="BB737" t="str">
            <v>.</v>
          </cell>
        </row>
        <row r="738">
          <cell r="BB738" t="str">
            <v>.</v>
          </cell>
        </row>
        <row r="739">
          <cell r="BB739" t="str">
            <v>.</v>
          </cell>
        </row>
        <row r="740">
          <cell r="BB740" t="str">
            <v>.</v>
          </cell>
        </row>
        <row r="741">
          <cell r="BB741" t="str">
            <v>.</v>
          </cell>
        </row>
        <row r="742">
          <cell r="BB742" t="str">
            <v>.</v>
          </cell>
        </row>
        <row r="743">
          <cell r="BB743" t="str">
            <v>.</v>
          </cell>
        </row>
        <row r="744">
          <cell r="BB744" t="str">
            <v>.</v>
          </cell>
        </row>
        <row r="745">
          <cell r="BB745" t="str">
            <v>.</v>
          </cell>
        </row>
        <row r="746">
          <cell r="BB746" t="str">
            <v>.</v>
          </cell>
        </row>
        <row r="747">
          <cell r="BB747" t="str">
            <v>.</v>
          </cell>
        </row>
        <row r="748">
          <cell r="BB748" t="str">
            <v>.</v>
          </cell>
        </row>
        <row r="749">
          <cell r="BB749" t="str">
            <v>.</v>
          </cell>
        </row>
        <row r="750">
          <cell r="BB750" t="str">
            <v>.</v>
          </cell>
        </row>
        <row r="751">
          <cell r="BB751" t="str">
            <v>.</v>
          </cell>
        </row>
        <row r="752">
          <cell r="BB752" t="str">
            <v>.</v>
          </cell>
        </row>
        <row r="753">
          <cell r="BB753" t="str">
            <v>.</v>
          </cell>
        </row>
        <row r="754">
          <cell r="BB754" t="str">
            <v>.</v>
          </cell>
        </row>
        <row r="755">
          <cell r="BB755" t="str">
            <v>.</v>
          </cell>
        </row>
        <row r="756">
          <cell r="BB756" t="str">
            <v>.</v>
          </cell>
        </row>
        <row r="757">
          <cell r="BB757" t="str">
            <v>.</v>
          </cell>
        </row>
        <row r="758">
          <cell r="BB758" t="str">
            <v>.</v>
          </cell>
        </row>
        <row r="759">
          <cell r="BB759" t="str">
            <v>.</v>
          </cell>
        </row>
        <row r="760">
          <cell r="BB760" t="str">
            <v>.</v>
          </cell>
        </row>
        <row r="761">
          <cell r="BB761" t="str">
            <v>.</v>
          </cell>
        </row>
        <row r="762">
          <cell r="BB762" t="str">
            <v>.</v>
          </cell>
        </row>
        <row r="763">
          <cell r="BB763" t="str">
            <v>.</v>
          </cell>
        </row>
        <row r="764">
          <cell r="BB764" t="str">
            <v>.</v>
          </cell>
        </row>
        <row r="765">
          <cell r="BB765" t="str">
            <v>.</v>
          </cell>
        </row>
        <row r="766">
          <cell r="BB766" t="str">
            <v>.</v>
          </cell>
        </row>
        <row r="767">
          <cell r="BB767" t="str">
            <v>.</v>
          </cell>
        </row>
        <row r="768">
          <cell r="BB768" t="str">
            <v>.</v>
          </cell>
        </row>
        <row r="769">
          <cell r="BB769" t="str">
            <v>.</v>
          </cell>
        </row>
        <row r="770">
          <cell r="BB770" t="str">
            <v>.</v>
          </cell>
        </row>
        <row r="771">
          <cell r="BB771" t="str">
            <v>.</v>
          </cell>
        </row>
        <row r="772">
          <cell r="BB772" t="str">
            <v>.</v>
          </cell>
        </row>
        <row r="773">
          <cell r="BB773" t="str">
            <v>.</v>
          </cell>
        </row>
        <row r="774">
          <cell r="BB774" t="str">
            <v>.</v>
          </cell>
        </row>
        <row r="775">
          <cell r="BB775" t="str">
            <v>.</v>
          </cell>
        </row>
        <row r="776">
          <cell r="BB776" t="str">
            <v>.</v>
          </cell>
        </row>
        <row r="777">
          <cell r="BB777" t="str">
            <v>.</v>
          </cell>
        </row>
        <row r="778">
          <cell r="BB778" t="str">
            <v>.</v>
          </cell>
        </row>
        <row r="779">
          <cell r="BB779" t="str">
            <v>.</v>
          </cell>
        </row>
        <row r="780">
          <cell r="BB780" t="str">
            <v>.</v>
          </cell>
        </row>
        <row r="781">
          <cell r="BB781" t="str">
            <v>.</v>
          </cell>
        </row>
        <row r="782">
          <cell r="BB782" t="str">
            <v>.</v>
          </cell>
        </row>
        <row r="783">
          <cell r="BB783" t="str">
            <v>.</v>
          </cell>
        </row>
        <row r="784">
          <cell r="BB784" t="str">
            <v>.</v>
          </cell>
        </row>
        <row r="785">
          <cell r="BB785" t="str">
            <v>.</v>
          </cell>
        </row>
        <row r="786">
          <cell r="BB786" t="str">
            <v>.</v>
          </cell>
        </row>
        <row r="787">
          <cell r="BB787" t="str">
            <v>.</v>
          </cell>
        </row>
        <row r="788">
          <cell r="BB788" t="str">
            <v>.</v>
          </cell>
        </row>
        <row r="789">
          <cell r="BB789" t="str">
            <v>.</v>
          </cell>
        </row>
        <row r="790">
          <cell r="BB790" t="str">
            <v>.</v>
          </cell>
        </row>
        <row r="791">
          <cell r="BB791" t="str">
            <v>.</v>
          </cell>
        </row>
        <row r="792">
          <cell r="BB792" t="str">
            <v>.</v>
          </cell>
        </row>
        <row r="793">
          <cell r="BB793" t="str">
            <v>.</v>
          </cell>
        </row>
        <row r="794">
          <cell r="BB794" t="str">
            <v>.</v>
          </cell>
        </row>
        <row r="795">
          <cell r="BB795" t="str">
            <v>.</v>
          </cell>
        </row>
        <row r="796">
          <cell r="BB796" t="str">
            <v>.</v>
          </cell>
        </row>
        <row r="797">
          <cell r="BB797" t="str">
            <v>.</v>
          </cell>
        </row>
        <row r="798">
          <cell r="BB798" t="str">
            <v>.</v>
          </cell>
        </row>
        <row r="799">
          <cell r="BB799" t="str">
            <v>.</v>
          </cell>
        </row>
        <row r="800">
          <cell r="BB800" t="str">
            <v>.</v>
          </cell>
        </row>
        <row r="801">
          <cell r="BB801" t="str">
            <v>.</v>
          </cell>
        </row>
        <row r="802">
          <cell r="BB802" t="str">
            <v>.</v>
          </cell>
        </row>
        <row r="803">
          <cell r="BB803" t="str">
            <v>.</v>
          </cell>
        </row>
        <row r="804">
          <cell r="BB804" t="str">
            <v>.</v>
          </cell>
        </row>
        <row r="805">
          <cell r="BB805" t="str">
            <v>.</v>
          </cell>
        </row>
        <row r="806">
          <cell r="BB806" t="str">
            <v>.</v>
          </cell>
        </row>
        <row r="807">
          <cell r="BB807" t="str">
            <v>.</v>
          </cell>
        </row>
        <row r="808">
          <cell r="BB808" t="str">
            <v>.</v>
          </cell>
        </row>
        <row r="809">
          <cell r="BB809" t="str">
            <v>.</v>
          </cell>
        </row>
        <row r="810">
          <cell r="BB810" t="str">
            <v>.</v>
          </cell>
        </row>
        <row r="811">
          <cell r="BB811" t="str">
            <v>.</v>
          </cell>
        </row>
        <row r="812">
          <cell r="BB812" t="str">
            <v>.</v>
          </cell>
        </row>
        <row r="813">
          <cell r="BB813" t="str">
            <v>.</v>
          </cell>
        </row>
        <row r="814">
          <cell r="BB814" t="str">
            <v>.</v>
          </cell>
        </row>
        <row r="815">
          <cell r="BB815" t="str">
            <v>.</v>
          </cell>
        </row>
        <row r="816">
          <cell r="BB816" t="str">
            <v>.</v>
          </cell>
        </row>
        <row r="817">
          <cell r="BB817" t="str">
            <v>.</v>
          </cell>
        </row>
        <row r="818">
          <cell r="BB818" t="str">
            <v>.</v>
          </cell>
        </row>
        <row r="819">
          <cell r="BB819" t="str">
            <v>.</v>
          </cell>
        </row>
        <row r="820">
          <cell r="BB820" t="str">
            <v>.</v>
          </cell>
        </row>
        <row r="821">
          <cell r="BB821" t="str">
            <v>.</v>
          </cell>
        </row>
        <row r="822">
          <cell r="BB822" t="str">
            <v>.</v>
          </cell>
        </row>
        <row r="823">
          <cell r="BB823" t="str">
            <v>.</v>
          </cell>
        </row>
        <row r="824">
          <cell r="BB824" t="str">
            <v>.</v>
          </cell>
        </row>
        <row r="825">
          <cell r="BB825" t="str">
            <v>.</v>
          </cell>
        </row>
        <row r="826">
          <cell r="BB826" t="str">
            <v>.</v>
          </cell>
        </row>
        <row r="827">
          <cell r="BB827" t="str">
            <v>.</v>
          </cell>
        </row>
        <row r="828">
          <cell r="BB828" t="str">
            <v>.</v>
          </cell>
        </row>
        <row r="829">
          <cell r="BB829" t="str">
            <v>.</v>
          </cell>
        </row>
        <row r="830">
          <cell r="BB830" t="str">
            <v>.</v>
          </cell>
        </row>
        <row r="831">
          <cell r="BB831" t="str">
            <v>.</v>
          </cell>
        </row>
        <row r="832">
          <cell r="BB832" t="str">
            <v>.</v>
          </cell>
        </row>
        <row r="833">
          <cell r="BB833" t="str">
            <v>.</v>
          </cell>
        </row>
        <row r="834">
          <cell r="BB834" t="str">
            <v>.</v>
          </cell>
        </row>
        <row r="835">
          <cell r="BB835" t="str">
            <v>.</v>
          </cell>
        </row>
        <row r="836">
          <cell r="BB836" t="str">
            <v>.</v>
          </cell>
        </row>
        <row r="837">
          <cell r="BB837" t="str">
            <v>.</v>
          </cell>
        </row>
        <row r="838">
          <cell r="BB838" t="str">
            <v>.</v>
          </cell>
        </row>
        <row r="839">
          <cell r="BB839" t="str">
            <v>.</v>
          </cell>
        </row>
        <row r="840">
          <cell r="BB840" t="str">
            <v>.</v>
          </cell>
        </row>
        <row r="841">
          <cell r="BB841" t="str">
            <v>.</v>
          </cell>
        </row>
        <row r="842">
          <cell r="BB842" t="str">
            <v>.</v>
          </cell>
        </row>
        <row r="843">
          <cell r="BB843" t="str">
            <v>.</v>
          </cell>
        </row>
        <row r="844">
          <cell r="BB844" t="str">
            <v>.</v>
          </cell>
        </row>
        <row r="845">
          <cell r="BB845" t="str">
            <v>.</v>
          </cell>
        </row>
        <row r="846">
          <cell r="BB846" t="str">
            <v>.</v>
          </cell>
        </row>
        <row r="847">
          <cell r="BB847" t="str">
            <v>.</v>
          </cell>
        </row>
        <row r="848">
          <cell r="BB848" t="str">
            <v>.</v>
          </cell>
        </row>
        <row r="849">
          <cell r="BB849" t="str">
            <v>.</v>
          </cell>
        </row>
        <row r="850">
          <cell r="BB850" t="str">
            <v>.</v>
          </cell>
        </row>
        <row r="851">
          <cell r="BB851" t="str">
            <v>.</v>
          </cell>
        </row>
        <row r="852">
          <cell r="BB852" t="str">
            <v>.</v>
          </cell>
        </row>
        <row r="853">
          <cell r="BB853" t="str">
            <v>.</v>
          </cell>
        </row>
        <row r="854">
          <cell r="BB854" t="str">
            <v>.</v>
          </cell>
        </row>
        <row r="855">
          <cell r="BB855" t="str">
            <v>.</v>
          </cell>
        </row>
        <row r="856">
          <cell r="BB856" t="str">
            <v>.</v>
          </cell>
        </row>
        <row r="857">
          <cell r="BB857" t="str">
            <v>.</v>
          </cell>
        </row>
        <row r="858">
          <cell r="BB858" t="str">
            <v>.</v>
          </cell>
        </row>
        <row r="859">
          <cell r="BB859" t="str">
            <v>.</v>
          </cell>
        </row>
        <row r="860">
          <cell r="BB860" t="str">
            <v>.</v>
          </cell>
        </row>
        <row r="861">
          <cell r="BB861" t="str">
            <v>.</v>
          </cell>
        </row>
        <row r="862">
          <cell r="BB862" t="str">
            <v>.</v>
          </cell>
        </row>
        <row r="863">
          <cell r="BB863" t="str">
            <v>.</v>
          </cell>
        </row>
        <row r="864">
          <cell r="BB864" t="str">
            <v>.</v>
          </cell>
        </row>
        <row r="865">
          <cell r="BB865" t="str">
            <v>.</v>
          </cell>
        </row>
        <row r="866">
          <cell r="BB866" t="str">
            <v>.</v>
          </cell>
        </row>
        <row r="867">
          <cell r="BB867" t="str">
            <v>.</v>
          </cell>
        </row>
        <row r="868">
          <cell r="BB868" t="str">
            <v>.</v>
          </cell>
        </row>
        <row r="869">
          <cell r="BB869" t="str">
            <v>.</v>
          </cell>
        </row>
        <row r="870">
          <cell r="BB870" t="str">
            <v>.</v>
          </cell>
        </row>
        <row r="871">
          <cell r="BB871" t="str">
            <v>.</v>
          </cell>
        </row>
        <row r="872">
          <cell r="BB872" t="str">
            <v>.</v>
          </cell>
        </row>
        <row r="873">
          <cell r="BB873" t="str">
            <v>.</v>
          </cell>
        </row>
        <row r="874">
          <cell r="BB874" t="str">
            <v>.</v>
          </cell>
        </row>
        <row r="875">
          <cell r="BB875" t="str">
            <v>.</v>
          </cell>
        </row>
        <row r="876">
          <cell r="BB876" t="str">
            <v>.</v>
          </cell>
        </row>
        <row r="877">
          <cell r="BB877" t="str">
            <v>.</v>
          </cell>
        </row>
        <row r="878">
          <cell r="BB878" t="str">
            <v>.</v>
          </cell>
        </row>
        <row r="879">
          <cell r="BB879" t="str">
            <v>.</v>
          </cell>
        </row>
        <row r="880">
          <cell r="BB880" t="str">
            <v>.</v>
          </cell>
        </row>
        <row r="881">
          <cell r="BB881" t="str">
            <v>.</v>
          </cell>
        </row>
        <row r="882">
          <cell r="BB882" t="str">
            <v>.</v>
          </cell>
        </row>
        <row r="883">
          <cell r="BB883" t="str">
            <v>.</v>
          </cell>
        </row>
        <row r="884">
          <cell r="BB884" t="str">
            <v>.</v>
          </cell>
        </row>
        <row r="885">
          <cell r="BB885" t="str">
            <v>.</v>
          </cell>
        </row>
        <row r="886">
          <cell r="BB886" t="str">
            <v>.</v>
          </cell>
        </row>
        <row r="887">
          <cell r="BB887" t="str">
            <v>.</v>
          </cell>
        </row>
        <row r="888">
          <cell r="BB888" t="str">
            <v>.</v>
          </cell>
        </row>
        <row r="889">
          <cell r="BB889" t="str">
            <v>.</v>
          </cell>
        </row>
        <row r="890">
          <cell r="BB890" t="str">
            <v>.</v>
          </cell>
        </row>
        <row r="891">
          <cell r="BB891" t="str">
            <v>.</v>
          </cell>
        </row>
        <row r="892">
          <cell r="BB892" t="str">
            <v>.</v>
          </cell>
        </row>
        <row r="893">
          <cell r="BB893" t="str">
            <v>.</v>
          </cell>
        </row>
        <row r="894">
          <cell r="BB894" t="str">
            <v>.</v>
          </cell>
        </row>
        <row r="895">
          <cell r="BB895" t="str">
            <v>.</v>
          </cell>
        </row>
        <row r="896">
          <cell r="BB896" t="str">
            <v>.</v>
          </cell>
        </row>
        <row r="897">
          <cell r="BB897" t="str">
            <v>.</v>
          </cell>
        </row>
        <row r="898">
          <cell r="BB898" t="str">
            <v>.</v>
          </cell>
        </row>
        <row r="899">
          <cell r="BB899" t="str">
            <v>.</v>
          </cell>
        </row>
        <row r="900">
          <cell r="BB900" t="str">
            <v>.</v>
          </cell>
        </row>
        <row r="901">
          <cell r="BB901" t="str">
            <v>.</v>
          </cell>
        </row>
        <row r="902">
          <cell r="BB902" t="str">
            <v>.</v>
          </cell>
        </row>
        <row r="903">
          <cell r="BB903" t="str">
            <v>.</v>
          </cell>
        </row>
        <row r="904">
          <cell r="BB904" t="str">
            <v>.</v>
          </cell>
        </row>
        <row r="905">
          <cell r="BB905" t="str">
            <v>.</v>
          </cell>
        </row>
        <row r="906">
          <cell r="BB906" t="str">
            <v>.</v>
          </cell>
        </row>
        <row r="907">
          <cell r="BB907" t="str">
            <v>.</v>
          </cell>
        </row>
        <row r="908">
          <cell r="BB908" t="str">
            <v>.</v>
          </cell>
        </row>
        <row r="909">
          <cell r="BB909" t="str">
            <v>.</v>
          </cell>
        </row>
        <row r="910">
          <cell r="BB910" t="str">
            <v>.</v>
          </cell>
        </row>
        <row r="911">
          <cell r="BB911" t="str">
            <v>.</v>
          </cell>
        </row>
        <row r="912">
          <cell r="BB912" t="str">
            <v>.</v>
          </cell>
        </row>
        <row r="913">
          <cell r="BB913" t="str">
            <v>.</v>
          </cell>
        </row>
        <row r="914">
          <cell r="BB914" t="str">
            <v>.</v>
          </cell>
        </row>
        <row r="915">
          <cell r="BB915" t="str">
            <v>.</v>
          </cell>
        </row>
        <row r="916">
          <cell r="BB916" t="str">
            <v>.</v>
          </cell>
        </row>
        <row r="917">
          <cell r="BB917" t="str">
            <v>.</v>
          </cell>
        </row>
        <row r="918">
          <cell r="BB918" t="str">
            <v>.</v>
          </cell>
        </row>
        <row r="919">
          <cell r="BB919" t="str">
            <v>.</v>
          </cell>
        </row>
        <row r="920">
          <cell r="BB920" t="str">
            <v>.</v>
          </cell>
        </row>
        <row r="921">
          <cell r="BB921" t="str">
            <v>.</v>
          </cell>
        </row>
        <row r="922">
          <cell r="BB922" t="str">
            <v>.</v>
          </cell>
        </row>
        <row r="923">
          <cell r="BB923" t="str">
            <v>.</v>
          </cell>
        </row>
        <row r="924">
          <cell r="BB924" t="str">
            <v>.</v>
          </cell>
        </row>
        <row r="925">
          <cell r="BB925" t="str">
            <v>.</v>
          </cell>
        </row>
        <row r="926">
          <cell r="BB926" t="str">
            <v>.</v>
          </cell>
        </row>
        <row r="927">
          <cell r="BB927" t="str">
            <v>.</v>
          </cell>
        </row>
        <row r="928">
          <cell r="BB928" t="str">
            <v>.</v>
          </cell>
        </row>
        <row r="929">
          <cell r="BB929" t="str">
            <v>.</v>
          </cell>
        </row>
        <row r="930">
          <cell r="BB930" t="str">
            <v>.</v>
          </cell>
        </row>
        <row r="931">
          <cell r="BB931" t="str">
            <v>.</v>
          </cell>
        </row>
        <row r="932">
          <cell r="BB932" t="str">
            <v>.</v>
          </cell>
        </row>
        <row r="933">
          <cell r="BB933" t="str">
            <v>.</v>
          </cell>
        </row>
        <row r="934">
          <cell r="BB934" t="str">
            <v>.</v>
          </cell>
        </row>
        <row r="935">
          <cell r="BB935" t="str">
            <v>.</v>
          </cell>
        </row>
        <row r="936">
          <cell r="BB936" t="str">
            <v>.</v>
          </cell>
        </row>
        <row r="937">
          <cell r="BB937" t="str">
            <v>.</v>
          </cell>
        </row>
        <row r="938">
          <cell r="BB938" t="str">
            <v>.</v>
          </cell>
        </row>
        <row r="939">
          <cell r="BB939" t="str">
            <v>.</v>
          </cell>
        </row>
        <row r="940">
          <cell r="BB940" t="str">
            <v>.</v>
          </cell>
        </row>
        <row r="941">
          <cell r="BB941" t="str">
            <v>.</v>
          </cell>
        </row>
        <row r="942">
          <cell r="BB942" t="str">
            <v>.</v>
          </cell>
        </row>
        <row r="943">
          <cell r="BB943" t="str">
            <v>.</v>
          </cell>
        </row>
        <row r="944">
          <cell r="BB944" t="str">
            <v>.</v>
          </cell>
        </row>
        <row r="945">
          <cell r="BB945" t="str">
            <v>.</v>
          </cell>
        </row>
        <row r="946">
          <cell r="BB946" t="str">
            <v>.</v>
          </cell>
        </row>
        <row r="947">
          <cell r="BB947" t="str">
            <v>.</v>
          </cell>
        </row>
        <row r="948">
          <cell r="BB948" t="str">
            <v>.</v>
          </cell>
        </row>
        <row r="949">
          <cell r="BB949" t="str">
            <v>.</v>
          </cell>
        </row>
        <row r="950">
          <cell r="BB950" t="str">
            <v>.</v>
          </cell>
        </row>
        <row r="951">
          <cell r="BB951" t="str">
            <v>.</v>
          </cell>
        </row>
        <row r="952">
          <cell r="BB952" t="str">
            <v>.</v>
          </cell>
        </row>
        <row r="953">
          <cell r="BB953" t="str">
            <v>.</v>
          </cell>
        </row>
        <row r="954">
          <cell r="BB954" t="str">
            <v>.</v>
          </cell>
        </row>
        <row r="955">
          <cell r="BB955" t="str">
            <v>.</v>
          </cell>
        </row>
        <row r="956">
          <cell r="BB956" t="str">
            <v>.</v>
          </cell>
        </row>
        <row r="957">
          <cell r="BB957" t="str">
            <v>.</v>
          </cell>
        </row>
        <row r="958">
          <cell r="BB958" t="str">
            <v>.</v>
          </cell>
        </row>
        <row r="959">
          <cell r="BB959" t="str">
            <v>.</v>
          </cell>
        </row>
        <row r="960">
          <cell r="BB960" t="str">
            <v>.</v>
          </cell>
        </row>
        <row r="961">
          <cell r="BB961" t="str">
            <v>.</v>
          </cell>
        </row>
        <row r="962">
          <cell r="BB962" t="str">
            <v>.</v>
          </cell>
        </row>
        <row r="963">
          <cell r="BB963" t="str">
            <v>.</v>
          </cell>
        </row>
        <row r="964">
          <cell r="BB964" t="str">
            <v>.</v>
          </cell>
        </row>
        <row r="965">
          <cell r="BB965" t="str">
            <v>.</v>
          </cell>
        </row>
        <row r="966">
          <cell r="BB966" t="str">
            <v>.</v>
          </cell>
        </row>
        <row r="967">
          <cell r="BB967" t="str">
            <v>.</v>
          </cell>
        </row>
        <row r="968">
          <cell r="BB968" t="str">
            <v>.</v>
          </cell>
        </row>
        <row r="969">
          <cell r="BB969" t="str">
            <v>.</v>
          </cell>
        </row>
        <row r="970">
          <cell r="BB970" t="str">
            <v>.</v>
          </cell>
        </row>
        <row r="971">
          <cell r="BB971" t="str">
            <v>.</v>
          </cell>
        </row>
        <row r="972">
          <cell r="BB972" t="str">
            <v>.</v>
          </cell>
        </row>
        <row r="973">
          <cell r="BB973" t="str">
            <v>.</v>
          </cell>
        </row>
        <row r="974">
          <cell r="BB974" t="str">
            <v>.</v>
          </cell>
        </row>
        <row r="975">
          <cell r="BB975" t="str">
            <v>.</v>
          </cell>
        </row>
        <row r="976">
          <cell r="BB976" t="str">
            <v>.</v>
          </cell>
        </row>
        <row r="977">
          <cell r="BB977" t="str">
            <v>.</v>
          </cell>
        </row>
        <row r="978">
          <cell r="BB978" t="str">
            <v>.</v>
          </cell>
        </row>
        <row r="979">
          <cell r="BB979" t="str">
            <v>.</v>
          </cell>
        </row>
        <row r="980">
          <cell r="BB980" t="str">
            <v>.</v>
          </cell>
        </row>
        <row r="981">
          <cell r="BB981" t="str">
            <v>.</v>
          </cell>
        </row>
        <row r="982">
          <cell r="BB982" t="str">
            <v>.</v>
          </cell>
        </row>
        <row r="983">
          <cell r="BB983" t="str">
            <v>.</v>
          </cell>
        </row>
        <row r="984">
          <cell r="BB984" t="str">
            <v>.</v>
          </cell>
        </row>
        <row r="985">
          <cell r="BB985" t="str">
            <v>.</v>
          </cell>
        </row>
        <row r="986">
          <cell r="BB986" t="str">
            <v>.</v>
          </cell>
        </row>
        <row r="987">
          <cell r="BB987" t="str">
            <v>.</v>
          </cell>
        </row>
        <row r="988">
          <cell r="BB988" t="str">
            <v>.</v>
          </cell>
        </row>
        <row r="989">
          <cell r="BB989" t="str">
            <v>.</v>
          </cell>
        </row>
        <row r="990">
          <cell r="BB990" t="str">
            <v>.</v>
          </cell>
        </row>
        <row r="991">
          <cell r="BB991" t="str">
            <v>.</v>
          </cell>
        </row>
        <row r="992">
          <cell r="BB992" t="str">
            <v>.</v>
          </cell>
        </row>
        <row r="993">
          <cell r="BB993" t="str">
            <v>.</v>
          </cell>
        </row>
        <row r="994">
          <cell r="BB994" t="str">
            <v>.</v>
          </cell>
        </row>
        <row r="995">
          <cell r="BB995" t="str">
            <v>.</v>
          </cell>
        </row>
        <row r="996">
          <cell r="BB996" t="str">
            <v>.</v>
          </cell>
        </row>
        <row r="997">
          <cell r="A997" t="str">
            <v>.</v>
          </cell>
          <cell r="B997" t="str">
            <v>.</v>
          </cell>
          <cell r="C997" t="str">
            <v>.</v>
          </cell>
          <cell r="D997" t="str">
            <v>.</v>
          </cell>
          <cell r="E997" t="str">
            <v>.</v>
          </cell>
          <cell r="F997" t="str">
            <v>.</v>
          </cell>
          <cell r="G997" t="str">
            <v>.</v>
          </cell>
          <cell r="I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row>
      </sheetData>
      <sheetData sheetId="6"/>
      <sheetData sheetId="7"/>
      <sheetData sheetId="8"/>
      <sheetData sheetId="9"/>
      <sheetData sheetId="10"/>
      <sheetData sheetId="11"/>
      <sheetData sheetId="12">
        <row r="2">
          <cell r="B2" t="str">
            <v>($M)</v>
          </cell>
          <cell r="C2" t="str">
            <v>2009E</v>
          </cell>
          <cell r="D2" t="str">
            <v>2010E</v>
          </cell>
          <cell r="E2" t="str">
            <v>2011E</v>
          </cell>
          <cell r="F2" t="str">
            <v>2012E</v>
          </cell>
          <cell r="G2" t="str">
            <v>2013E</v>
          </cell>
          <cell r="H2" t="str">
            <v>2014E</v>
          </cell>
          <cell r="I2" t="str">
            <v>2015E</v>
          </cell>
        </row>
        <row r="3">
          <cell r="B3" t="str">
            <v>Revenue</v>
          </cell>
          <cell r="C3">
            <v>46664.590000000004</v>
          </cell>
          <cell r="D3">
            <v>59490.450000000004</v>
          </cell>
          <cell r="E3">
            <v>57134.93</v>
          </cell>
          <cell r="F3">
            <v>58779.911381268947</v>
          </cell>
          <cell r="G3">
            <v>59239.936075638652</v>
          </cell>
          <cell r="H3">
            <v>59771.216511600302</v>
          </cell>
          <cell r="I3">
            <v>59987.717899738433</v>
          </cell>
        </row>
        <row r="4">
          <cell r="B4" t="str">
            <v>Op. Income</v>
          </cell>
          <cell r="C4">
            <v>7540</v>
          </cell>
          <cell r="D4">
            <v>10000</v>
          </cell>
          <cell r="E4">
            <v>9200</v>
          </cell>
          <cell r="F4">
            <v>23420.697731424829</v>
          </cell>
          <cell r="G4">
            <v>24062.427582023694</v>
          </cell>
          <cell r="H4">
            <v>24252.934339512249</v>
          </cell>
          <cell r="I4">
            <v>24182.870845785517</v>
          </cell>
        </row>
        <row r="5">
          <cell r="B5" t="str">
            <v>Op. Margin</v>
          </cell>
          <cell r="C5">
            <v>0.15271279077999245</v>
          </cell>
          <cell r="D5">
            <v>0.14871522964147593</v>
          </cell>
          <cell r="E5">
            <v>0.14030701020421829</v>
          </cell>
          <cell r="F5">
            <v>0.39844731271384948</v>
          </cell>
          <cell r="G5">
            <v>0.40618591403104048</v>
          </cell>
          <cell r="H5">
            <v>0.40576276935580319</v>
          </cell>
          <cell r="I5">
            <v>0.40313036888991177</v>
          </cell>
        </row>
        <row r="6">
          <cell r="B6" t="str">
            <v>EPS</v>
          </cell>
          <cell r="C6">
            <v>0</v>
          </cell>
          <cell r="D6">
            <v>0</v>
          </cell>
          <cell r="E6">
            <v>0</v>
          </cell>
          <cell r="F6">
            <v>2.1029587057701495</v>
          </cell>
          <cell r="G6">
            <v>2.2372166055191349</v>
          </cell>
          <cell r="H6">
            <v>2.3276533306404867</v>
          </cell>
          <cell r="I6">
            <v>2.3911545965022829</v>
          </cell>
        </row>
      </sheetData>
      <sheetData sheetId="13">
        <row r="1">
          <cell r="B1" t="str">
            <v>Historical Planned vs. Realized Cost Savings</v>
          </cell>
        </row>
        <row r="3">
          <cell r="B3" t="str">
            <v>($B)</v>
          </cell>
          <cell r="C3" t="str">
            <v>Warner-Lambert</v>
          </cell>
          <cell r="D3" t="str">
            <v>Pharmacia</v>
          </cell>
          <cell r="E3" t="str">
            <v>Adapting to Scale (AtS)</v>
          </cell>
          <cell r="F3" t="str">
            <v>2007/2008 Plan</v>
          </cell>
        </row>
        <row r="4">
          <cell r="B4" t="str">
            <v>Original Goal</v>
          </cell>
          <cell r="C4">
            <v>1.6</v>
          </cell>
          <cell r="D4">
            <v>3.8</v>
          </cell>
          <cell r="E4">
            <v>2</v>
          </cell>
          <cell r="F4" t="str">
            <v>1.5-2.0</v>
          </cell>
        </row>
        <row r="5">
          <cell r="B5" t="str">
            <v>Actual Savings</v>
          </cell>
          <cell r="C5">
            <v>1.8</v>
          </cell>
          <cell r="D5">
            <v>4.2</v>
          </cell>
          <cell r="E5">
            <v>2.6</v>
          </cell>
          <cell r="F5">
            <v>2.8</v>
          </cell>
        </row>
        <row r="6">
          <cell r="B6" t="str">
            <v>% Upside</v>
          </cell>
          <cell r="C6">
            <v>0.12499999999999997</v>
          </cell>
          <cell r="D6">
            <v>0.10526315789473695</v>
          </cell>
          <cell r="E6">
            <v>0.30000000000000004</v>
          </cell>
          <cell r="F6" t="str">
            <v>40%-87%</v>
          </cell>
        </row>
      </sheetData>
      <sheetData sheetId="14"/>
      <sheetData sheetId="1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ood 2-32"/>
      <sheetName val="Good 12-00 (3)"/>
      <sheetName val="Good 12-43"/>
      <sheetName val="Good 12-07"/>
      <sheetName val="Good 12-00 (2)"/>
      <sheetName val="Good 12-00"/>
      <sheetName val="Good 11-50"/>
      <sheetName val="Good 11-40"/>
      <sheetName val="Good 11-36"/>
      <sheetName val="Good 11-18"/>
      <sheetName val="Good 10-48 pm (2)"/>
      <sheetName val="Samples"/>
      <sheetName val="Good 10-48 pm"/>
      <sheetName val="Good 11-04 pm"/>
      <sheetName val="Sheet3 (6)"/>
      <sheetName val="Sheet3 (5)"/>
      <sheetName val="Sheet3 (3)"/>
      <sheetName val="Sheet3 (2)"/>
      <sheetName val="Sheet1"/>
      <sheetName val="Sheet2"/>
      <sheetName val="Sheet3"/>
      <sheetName val="Sheet3 (4)"/>
      <sheetName val="Good 12-22_tbnt"/>
    </sheetNames>
    <sheetDataSet>
      <sheetData sheetId="0" refreshError="1"/>
      <sheetData sheetId="1" refreshError="1"/>
      <sheetData sheetId="2" refreshError="1"/>
      <sheetData sheetId="3" refreshError="1"/>
      <sheetData sheetId="4">
        <row r="3">
          <cell r="A3" t="str">
            <v>Base</v>
          </cell>
          <cell r="B3">
            <v>40</v>
          </cell>
        </row>
        <row r="4">
          <cell r="A4" t="str">
            <v>Price Target</v>
          </cell>
          <cell r="B4">
            <v>40</v>
          </cell>
          <cell r="S4" t="str">
            <v>Bear</v>
          </cell>
          <cell r="U4" t="str">
            <v>Base</v>
          </cell>
          <cell r="X4" t="str">
            <v>Bull</v>
          </cell>
        </row>
        <row r="5">
          <cell r="R5">
            <v>-30</v>
          </cell>
          <cell r="S5">
            <v>-30</v>
          </cell>
          <cell r="U5">
            <v>40</v>
          </cell>
          <cell r="X5">
            <v>17</v>
          </cell>
          <cell r="Z5">
            <v>17</v>
          </cell>
        </row>
        <row r="6">
          <cell r="C6" t="str">
            <v>Bear</v>
          </cell>
          <cell r="S6" t="str">
            <v>-space2</v>
          </cell>
          <cell r="T6" t="str">
            <v>-bear</v>
          </cell>
          <cell r="U6" t="str">
            <v>-space1</v>
          </cell>
          <cell r="V6" t="str">
            <v>+space1</v>
          </cell>
          <cell r="W6" t="str">
            <v>+bull</v>
          </cell>
          <cell r="X6" t="str">
            <v>+space2</v>
          </cell>
        </row>
        <row r="7">
          <cell r="A7" t="str">
            <v>Binary driver one</v>
          </cell>
          <cell r="C7">
            <v>-5</v>
          </cell>
          <cell r="S7">
            <v>-23</v>
          </cell>
          <cell r="T7">
            <v>-7</v>
          </cell>
          <cell r="U7">
            <v>0</v>
          </cell>
          <cell r="V7">
            <v>0</v>
          </cell>
          <cell r="W7">
            <v>3</v>
          </cell>
          <cell r="X7">
            <v>14</v>
          </cell>
          <cell r="Y7">
            <v>17</v>
          </cell>
        </row>
        <row r="8">
          <cell r="A8" t="str">
            <v>Binary driver two</v>
          </cell>
          <cell r="C8">
            <v>-5</v>
          </cell>
          <cell r="S8">
            <v>-18</v>
          </cell>
          <cell r="T8">
            <v>-5</v>
          </cell>
          <cell r="U8">
            <v>-7</v>
          </cell>
          <cell r="V8">
            <v>3</v>
          </cell>
          <cell r="W8">
            <v>2</v>
          </cell>
          <cell r="X8">
            <v>12</v>
          </cell>
          <cell r="Y8">
            <v>17</v>
          </cell>
        </row>
        <row r="9">
          <cell r="A9" t="str">
            <v>Binary driver three</v>
          </cell>
          <cell r="C9">
            <v>-6</v>
          </cell>
          <cell r="S9">
            <v>-12</v>
          </cell>
          <cell r="T9">
            <v>-6</v>
          </cell>
          <cell r="U9">
            <v>-12</v>
          </cell>
          <cell r="V9">
            <v>5</v>
          </cell>
          <cell r="W9">
            <v>3</v>
          </cell>
          <cell r="X9">
            <v>9</v>
          </cell>
          <cell r="Y9">
            <v>17</v>
          </cell>
        </row>
        <row r="10">
          <cell r="A10" t="str">
            <v>Bull only driver one</v>
          </cell>
          <cell r="C10">
            <v>0</v>
          </cell>
          <cell r="S10">
            <v>-12</v>
          </cell>
          <cell r="U10">
            <v>-18</v>
          </cell>
          <cell r="V10">
            <v>8</v>
          </cell>
          <cell r="W10">
            <v>4</v>
          </cell>
          <cell r="X10">
            <v>5</v>
          </cell>
          <cell r="Y10">
            <v>17</v>
          </cell>
        </row>
        <row r="11">
          <cell r="A11" t="str">
            <v>Bull only driver two</v>
          </cell>
          <cell r="C11">
            <v>0</v>
          </cell>
          <cell r="S11">
            <v>-12</v>
          </cell>
          <cell r="U11">
            <v>-18</v>
          </cell>
          <cell r="V11">
            <v>12</v>
          </cell>
          <cell r="W11">
            <v>5</v>
          </cell>
          <cell r="X11">
            <v>0</v>
          </cell>
          <cell r="Y11">
            <v>17</v>
          </cell>
        </row>
        <row r="12">
          <cell r="A12" t="str">
            <v>Bear only driver one</v>
          </cell>
          <cell r="C12">
            <v>-4</v>
          </cell>
          <cell r="S12">
            <v>-8</v>
          </cell>
          <cell r="T12">
            <v>-4</v>
          </cell>
          <cell r="U12">
            <v>-18</v>
          </cell>
          <cell r="V12">
            <v>17</v>
          </cell>
          <cell r="X12">
            <v>0</v>
          </cell>
          <cell r="Y12">
            <v>17</v>
          </cell>
        </row>
        <row r="13">
          <cell r="A13" t="str">
            <v>Bear only driver two</v>
          </cell>
          <cell r="C13">
            <v>-3</v>
          </cell>
          <cell r="S13">
            <v>-5</v>
          </cell>
          <cell r="T13">
            <v>-3</v>
          </cell>
          <cell r="U13">
            <v>-22</v>
          </cell>
          <cell r="V13">
            <v>17</v>
          </cell>
          <cell r="X13">
            <v>0</v>
          </cell>
          <cell r="Y13">
            <v>17</v>
          </cell>
        </row>
        <row r="14">
          <cell r="A14" t="str">
            <v>Bear only driver three</v>
          </cell>
          <cell r="C14">
            <v>-5</v>
          </cell>
          <cell r="S14">
            <v>0</v>
          </cell>
          <cell r="T14">
            <v>-5</v>
          </cell>
          <cell r="U14">
            <v>-25</v>
          </cell>
          <cell r="V14">
            <v>17</v>
          </cell>
          <cell r="X14">
            <v>0</v>
          </cell>
          <cell r="Y14">
            <v>17</v>
          </cell>
        </row>
        <row r="15">
          <cell r="C15">
            <v>0</v>
          </cell>
        </row>
        <row r="16">
          <cell r="S16" t="str">
            <v>-space1</v>
          </cell>
          <cell r="T16" t="str">
            <v>-bear</v>
          </cell>
          <cell r="U16" t="str">
            <v>-space2</v>
          </cell>
          <cell r="V16" t="str">
            <v>+space1</v>
          </cell>
          <cell r="W16" t="str">
            <v>+bull</v>
          </cell>
          <cell r="X16" t="str">
            <v>+space2</v>
          </cell>
          <cell r="Y16" t="str">
            <v>Bear 
10.00</v>
          </cell>
          <cell r="Z16" t="str">
            <v>Base 
40.00</v>
          </cell>
          <cell r="AA16" t="str">
            <v>Bull
57.00</v>
          </cell>
          <cell r="AB16" t="str">
            <v/>
          </cell>
        </row>
        <row r="18">
          <cell r="R18" t="str">
            <v>Binary driver one</v>
          </cell>
          <cell r="S18">
            <v>0</v>
          </cell>
          <cell r="T18">
            <v>-5</v>
          </cell>
          <cell r="U18">
            <v>-23</v>
          </cell>
          <cell r="V18">
            <v>0</v>
          </cell>
          <cell r="W18">
            <v>3</v>
          </cell>
          <cell r="X18">
            <v>14</v>
          </cell>
          <cell r="Y18">
            <v>-30</v>
          </cell>
          <cell r="Z18">
            <v>0</v>
          </cell>
          <cell r="AA18">
            <v>17</v>
          </cell>
          <cell r="AB18" t="str">
            <v/>
          </cell>
        </row>
        <row r="19">
          <cell r="R19" t="str">
            <v>Binary driver two</v>
          </cell>
          <cell r="S19">
            <v>-7</v>
          </cell>
          <cell r="T19">
            <v>-5</v>
          </cell>
          <cell r="U19">
            <v>-18</v>
          </cell>
          <cell r="V19">
            <v>3</v>
          </cell>
          <cell r="W19">
            <v>2</v>
          </cell>
          <cell r="X19">
            <v>12</v>
          </cell>
          <cell r="Y19">
            <v>-30</v>
          </cell>
          <cell r="Z19">
            <v>0</v>
          </cell>
          <cell r="AA19">
            <v>17</v>
          </cell>
          <cell r="AB19" t="str">
            <v/>
          </cell>
        </row>
        <row r="20">
          <cell r="R20" t="str">
            <v>Binary driver three</v>
          </cell>
          <cell r="S20">
            <v>-12</v>
          </cell>
          <cell r="T20">
            <v>-6</v>
          </cell>
          <cell r="U20">
            <v>-12</v>
          </cell>
          <cell r="V20">
            <v>5</v>
          </cell>
          <cell r="W20">
            <v>3</v>
          </cell>
          <cell r="X20">
            <v>9</v>
          </cell>
          <cell r="Y20">
            <v>-30</v>
          </cell>
          <cell r="Z20">
            <v>0</v>
          </cell>
          <cell r="AA20">
            <v>17</v>
          </cell>
          <cell r="AB20" t="str">
            <v/>
          </cell>
        </row>
        <row r="21">
          <cell r="R21" t="str">
            <v>Bull only driver one</v>
          </cell>
          <cell r="S21">
            <v>-18</v>
          </cell>
          <cell r="T21">
            <v>0</v>
          </cell>
          <cell r="U21">
            <v>-12</v>
          </cell>
          <cell r="V21">
            <v>8</v>
          </cell>
          <cell r="W21">
            <v>4</v>
          </cell>
          <cell r="X21">
            <v>5</v>
          </cell>
          <cell r="Y21">
            <v>-30</v>
          </cell>
          <cell r="Z21">
            <v>0</v>
          </cell>
          <cell r="AA21">
            <v>17</v>
          </cell>
          <cell r="AB21" t="str">
            <v/>
          </cell>
        </row>
        <row r="22">
          <cell r="R22" t="str">
            <v>Bull only driver two</v>
          </cell>
          <cell r="S22">
            <v>-18</v>
          </cell>
          <cell r="T22">
            <v>0</v>
          </cell>
          <cell r="U22">
            <v>-12</v>
          </cell>
          <cell r="V22">
            <v>12</v>
          </cell>
          <cell r="W22">
            <v>5</v>
          </cell>
          <cell r="X22">
            <v>0</v>
          </cell>
          <cell r="Y22">
            <v>-30</v>
          </cell>
          <cell r="Z22">
            <v>0</v>
          </cell>
          <cell r="AA22">
            <v>17</v>
          </cell>
          <cell r="AB22" t="str">
            <v/>
          </cell>
        </row>
        <row r="23">
          <cell r="R23" t="str">
            <v>Bear only driver one</v>
          </cell>
          <cell r="S23">
            <v>-18</v>
          </cell>
          <cell r="T23">
            <v>-4</v>
          </cell>
          <cell r="U23">
            <v>-8</v>
          </cell>
          <cell r="V23">
            <v>17</v>
          </cell>
          <cell r="W23">
            <v>0</v>
          </cell>
          <cell r="X23">
            <v>0</v>
          </cell>
          <cell r="Y23">
            <v>-30</v>
          </cell>
          <cell r="Z23">
            <v>0</v>
          </cell>
          <cell r="AA23">
            <v>17</v>
          </cell>
          <cell r="AB23" t="str">
            <v/>
          </cell>
        </row>
        <row r="24">
          <cell r="R24" t="str">
            <v>Bear only driver two</v>
          </cell>
          <cell r="S24">
            <v>-22</v>
          </cell>
          <cell r="T24">
            <v>-3</v>
          </cell>
          <cell r="U24">
            <v>-5</v>
          </cell>
          <cell r="V24">
            <v>17</v>
          </cell>
          <cell r="W24">
            <v>0</v>
          </cell>
          <cell r="X24">
            <v>0</v>
          </cell>
          <cell r="Y24">
            <v>-30</v>
          </cell>
          <cell r="Z24">
            <v>0</v>
          </cell>
          <cell r="AA24">
            <v>17</v>
          </cell>
          <cell r="AB24" t="str">
            <v/>
          </cell>
        </row>
        <row r="25">
          <cell r="R25" t="str">
            <v>Bear only driver three</v>
          </cell>
          <cell r="S25">
            <v>-25</v>
          </cell>
          <cell r="T25">
            <v>-5</v>
          </cell>
          <cell r="U25">
            <v>0</v>
          </cell>
          <cell r="V25">
            <v>17</v>
          </cell>
          <cell r="W25">
            <v>0</v>
          </cell>
          <cell r="X25">
            <v>0</v>
          </cell>
          <cell r="Y25">
            <v>-30</v>
          </cell>
          <cell r="Z25">
            <v>0</v>
          </cell>
          <cell r="AA25">
            <v>17</v>
          </cell>
          <cell r="AB25" t="str">
            <v/>
          </cell>
        </row>
        <row r="26">
          <cell r="Y26">
            <v>-30</v>
          </cell>
          <cell r="Z26">
            <v>0</v>
          </cell>
          <cell r="AA26">
            <v>17</v>
          </cell>
          <cell r="AB26" t="str">
            <v/>
          </cell>
        </row>
        <row r="27">
          <cell r="Y27">
            <v>-30</v>
          </cell>
          <cell r="Z27">
            <v>0</v>
          </cell>
          <cell r="AA27">
            <v>17</v>
          </cell>
          <cell r="AB27" t="str">
            <v/>
          </cell>
        </row>
        <row r="29">
          <cell r="AA29" t="str">
            <v>Note: Price Target = Base Case unless otherwise indicated.</v>
          </cell>
        </row>
        <row r="31">
          <cell r="R31" t="str">
            <v>Bear</v>
          </cell>
          <cell r="S31">
            <v>10</v>
          </cell>
        </row>
        <row r="32">
          <cell r="S32">
            <v>20</v>
          </cell>
        </row>
        <row r="33">
          <cell r="R33" t="str">
            <v>Bull</v>
          </cell>
          <cell r="S33">
            <v>57</v>
          </cell>
        </row>
      </sheetData>
      <sheetData sheetId="5" refreshError="1"/>
      <sheetData sheetId="6">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Binary driver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Binary driver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7" refreshError="1"/>
      <sheetData sheetId="8">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Driver number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Driver number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9" refreshError="1"/>
      <sheetData sheetId="10" refreshError="1"/>
      <sheetData sheetId="11" refreshError="1"/>
      <sheetData sheetId="12" refreshError="1"/>
      <sheetData sheetId="13" refreshError="1"/>
      <sheetData sheetId="14" refreshError="1"/>
      <sheetData sheetId="15">
        <row r="4">
          <cell r="C4" t="str">
            <v>Bear</v>
          </cell>
          <cell r="E4" t="str">
            <v>Base</v>
          </cell>
          <cell r="H4" t="str">
            <v>Bull</v>
          </cell>
        </row>
        <row r="5">
          <cell r="B5">
            <v>-36</v>
          </cell>
          <cell r="C5">
            <v>-36</v>
          </cell>
          <cell r="E5">
            <v>40</v>
          </cell>
          <cell r="H5">
            <v>18</v>
          </cell>
          <cell r="J5">
            <v>18</v>
          </cell>
        </row>
        <row r="6">
          <cell r="A6" t="str">
            <v>check</v>
          </cell>
          <cell r="C6" t="str">
            <v>-space2</v>
          </cell>
          <cell r="D6" t="str">
            <v>-bear</v>
          </cell>
          <cell r="E6" t="str">
            <v>-space1</v>
          </cell>
          <cell r="F6" t="str">
            <v>+space1</v>
          </cell>
          <cell r="G6" t="str">
            <v>+bull</v>
          </cell>
          <cell r="H6" t="str">
            <v>+space2</v>
          </cell>
        </row>
        <row r="7">
          <cell r="A7">
            <v>-36</v>
          </cell>
          <cell r="B7" t="str">
            <v>This is long label number one</v>
          </cell>
          <cell r="C7">
            <v>-32</v>
          </cell>
          <cell r="D7">
            <v>-4</v>
          </cell>
          <cell r="E7">
            <v>0</v>
          </cell>
          <cell r="F7">
            <v>0</v>
          </cell>
          <cell r="G7">
            <v>4</v>
          </cell>
          <cell r="H7">
            <v>14</v>
          </cell>
          <cell r="I7">
            <v>18</v>
          </cell>
        </row>
        <row r="8">
          <cell r="A8">
            <v>-36</v>
          </cell>
          <cell r="B8" t="str">
            <v>This is long label number two</v>
          </cell>
          <cell r="C8">
            <v>-27</v>
          </cell>
          <cell r="D8">
            <v>-5</v>
          </cell>
          <cell r="E8">
            <v>-4</v>
          </cell>
          <cell r="F8">
            <v>4</v>
          </cell>
          <cell r="G8">
            <v>2</v>
          </cell>
          <cell r="H8">
            <v>12</v>
          </cell>
          <cell r="I8">
            <v>18</v>
          </cell>
        </row>
        <row r="9">
          <cell r="A9">
            <v>-36</v>
          </cell>
          <cell r="B9" t="str">
            <v>This is long label number three</v>
          </cell>
          <cell r="C9">
            <v>-21</v>
          </cell>
          <cell r="D9">
            <v>-6</v>
          </cell>
          <cell r="E9">
            <v>-9</v>
          </cell>
          <cell r="F9">
            <v>6</v>
          </cell>
          <cell r="G9">
            <v>3</v>
          </cell>
          <cell r="H9">
            <v>9</v>
          </cell>
          <cell r="I9">
            <v>18</v>
          </cell>
        </row>
        <row r="10">
          <cell r="A10">
            <v>-36</v>
          </cell>
          <cell r="B10" t="str">
            <v>This is long label number four</v>
          </cell>
          <cell r="C10">
            <v>-17</v>
          </cell>
          <cell r="D10">
            <v>-4</v>
          </cell>
          <cell r="E10">
            <v>-15</v>
          </cell>
          <cell r="F10">
            <v>9</v>
          </cell>
          <cell r="G10">
            <v>4</v>
          </cell>
          <cell r="H10">
            <v>5</v>
          </cell>
          <cell r="I10">
            <v>18</v>
          </cell>
        </row>
        <row r="11">
          <cell r="A11">
            <v>-36</v>
          </cell>
          <cell r="B11" t="str">
            <v>This is long label number five</v>
          </cell>
          <cell r="C11">
            <v>-12</v>
          </cell>
          <cell r="D11">
            <v>-5</v>
          </cell>
          <cell r="E11">
            <v>-19</v>
          </cell>
          <cell r="F11">
            <v>13</v>
          </cell>
          <cell r="G11">
            <v>5</v>
          </cell>
          <cell r="H11">
            <v>0</v>
          </cell>
          <cell r="I11">
            <v>18</v>
          </cell>
        </row>
        <row r="12">
          <cell r="A12">
            <v>-36</v>
          </cell>
          <cell r="B12" t="str">
            <v>This is long label number six</v>
          </cell>
          <cell r="C12">
            <v>-8</v>
          </cell>
          <cell r="D12">
            <v>-4</v>
          </cell>
          <cell r="E12">
            <v>-24</v>
          </cell>
          <cell r="F12">
            <v>18</v>
          </cell>
          <cell r="H12">
            <v>0</v>
          </cell>
          <cell r="I12">
            <v>18</v>
          </cell>
        </row>
        <row r="13">
          <cell r="A13">
            <v>-36</v>
          </cell>
          <cell r="B13" t="str">
            <v>This is long label number seven</v>
          </cell>
          <cell r="C13">
            <v>-5</v>
          </cell>
          <cell r="D13">
            <v>-3</v>
          </cell>
          <cell r="E13">
            <v>-28</v>
          </cell>
          <cell r="F13">
            <v>18</v>
          </cell>
          <cell r="H13">
            <v>0</v>
          </cell>
          <cell r="I13">
            <v>18</v>
          </cell>
        </row>
        <row r="14">
          <cell r="A14">
            <v>-36</v>
          </cell>
          <cell r="B14" t="str">
            <v>This is long label number eight</v>
          </cell>
          <cell r="C14">
            <v>0</v>
          </cell>
          <cell r="D14">
            <v>-5</v>
          </cell>
          <cell r="E14">
            <v>-31</v>
          </cell>
          <cell r="F14">
            <v>18</v>
          </cell>
          <cell r="H14">
            <v>0</v>
          </cell>
          <cell r="I14">
            <v>18</v>
          </cell>
        </row>
        <row r="16">
          <cell r="C16" t="str">
            <v>-space1</v>
          </cell>
          <cell r="D16" t="str">
            <v>-bear</v>
          </cell>
          <cell r="E16" t="str">
            <v>-space2</v>
          </cell>
          <cell r="F16" t="str">
            <v>+space1</v>
          </cell>
          <cell r="G16" t="str">
            <v>+bull</v>
          </cell>
          <cell r="H16" t="str">
            <v>+space2</v>
          </cell>
          <cell r="I16" t="str">
            <v>Bear  4.00</v>
          </cell>
          <cell r="J16" t="str">
            <v>Base  40.00</v>
          </cell>
          <cell r="K16" t="str">
            <v>Bull: 58.00</v>
          </cell>
          <cell r="L16" t="str">
            <v>PT:
42.00</v>
          </cell>
        </row>
        <row r="18">
          <cell r="B18" t="str">
            <v>Driver number one</v>
          </cell>
          <cell r="C18">
            <v>0</v>
          </cell>
          <cell r="D18">
            <v>-4</v>
          </cell>
          <cell r="E18">
            <v>-32</v>
          </cell>
          <cell r="F18">
            <v>0</v>
          </cell>
          <cell r="G18">
            <v>4</v>
          </cell>
          <cell r="H18">
            <v>14</v>
          </cell>
          <cell r="I18">
            <v>-36</v>
          </cell>
          <cell r="J18">
            <v>0</v>
          </cell>
          <cell r="K18">
            <v>18</v>
          </cell>
          <cell r="L18">
            <v>2</v>
          </cell>
        </row>
        <row r="19">
          <cell r="B19" t="str">
            <v>Driver number two</v>
          </cell>
          <cell r="C19">
            <v>-4</v>
          </cell>
          <cell r="D19">
            <v>-5</v>
          </cell>
          <cell r="E19">
            <v>-27</v>
          </cell>
          <cell r="F19">
            <v>4</v>
          </cell>
          <cell r="G19">
            <v>2</v>
          </cell>
          <cell r="H19">
            <v>12</v>
          </cell>
          <cell r="I19">
            <v>-36</v>
          </cell>
          <cell r="J19">
            <v>0</v>
          </cell>
          <cell r="K19">
            <v>18</v>
          </cell>
          <cell r="L19">
            <v>2</v>
          </cell>
        </row>
        <row r="20">
          <cell r="B20" t="str">
            <v>Driver number three</v>
          </cell>
          <cell r="C20">
            <v>-9</v>
          </cell>
          <cell r="D20">
            <v>-6</v>
          </cell>
          <cell r="E20">
            <v>-21</v>
          </cell>
          <cell r="F20">
            <v>6</v>
          </cell>
          <cell r="G20">
            <v>3</v>
          </cell>
          <cell r="H20">
            <v>9</v>
          </cell>
          <cell r="I20">
            <v>-36</v>
          </cell>
          <cell r="J20">
            <v>0</v>
          </cell>
          <cell r="K20">
            <v>18</v>
          </cell>
          <cell r="L20">
            <v>2</v>
          </cell>
        </row>
        <row r="21">
          <cell r="B21" t="str">
            <v>Driver number four</v>
          </cell>
          <cell r="C21">
            <v>-15</v>
          </cell>
          <cell r="D21">
            <v>-4</v>
          </cell>
          <cell r="E21">
            <v>-17</v>
          </cell>
          <cell r="F21">
            <v>9</v>
          </cell>
          <cell r="G21">
            <v>4</v>
          </cell>
          <cell r="H21">
            <v>5</v>
          </cell>
          <cell r="I21">
            <v>-36</v>
          </cell>
          <cell r="J21">
            <v>0</v>
          </cell>
          <cell r="K21">
            <v>18</v>
          </cell>
          <cell r="L21">
            <v>2</v>
          </cell>
        </row>
        <row r="22">
          <cell r="B22" t="str">
            <v>Driver number five</v>
          </cell>
          <cell r="C22">
            <v>-19</v>
          </cell>
          <cell r="D22">
            <v>-5</v>
          </cell>
          <cell r="E22">
            <v>-12</v>
          </cell>
          <cell r="F22">
            <v>13</v>
          </cell>
          <cell r="G22">
            <v>5</v>
          </cell>
          <cell r="H22">
            <v>0</v>
          </cell>
          <cell r="I22">
            <v>-36</v>
          </cell>
          <cell r="J22">
            <v>0</v>
          </cell>
          <cell r="K22">
            <v>18</v>
          </cell>
          <cell r="L22">
            <v>2</v>
          </cell>
        </row>
        <row r="23">
          <cell r="B23" t="str">
            <v>Driver number six</v>
          </cell>
          <cell r="C23">
            <v>-24</v>
          </cell>
          <cell r="D23">
            <v>-4</v>
          </cell>
          <cell r="E23">
            <v>-8</v>
          </cell>
          <cell r="F23">
            <v>18</v>
          </cell>
          <cell r="G23">
            <v>0</v>
          </cell>
          <cell r="H23">
            <v>0</v>
          </cell>
          <cell r="I23">
            <v>-36</v>
          </cell>
          <cell r="J23">
            <v>0</v>
          </cell>
          <cell r="K23">
            <v>18</v>
          </cell>
          <cell r="L23">
            <v>2</v>
          </cell>
        </row>
        <row r="24">
          <cell r="B24" t="str">
            <v>Driver number seven</v>
          </cell>
          <cell r="C24">
            <v>-28</v>
          </cell>
          <cell r="D24">
            <v>-3</v>
          </cell>
          <cell r="E24">
            <v>-5</v>
          </cell>
          <cell r="F24">
            <v>18</v>
          </cell>
          <cell r="G24">
            <v>0</v>
          </cell>
          <cell r="H24">
            <v>0</v>
          </cell>
          <cell r="I24">
            <v>-36</v>
          </cell>
          <cell r="J24">
            <v>0</v>
          </cell>
          <cell r="K24">
            <v>18</v>
          </cell>
          <cell r="L24">
            <v>2</v>
          </cell>
        </row>
        <row r="25">
          <cell r="B25" t="str">
            <v>Driver number eight</v>
          </cell>
          <cell r="C25">
            <v>-31</v>
          </cell>
          <cell r="D25">
            <v>-5</v>
          </cell>
          <cell r="E25">
            <v>0</v>
          </cell>
          <cell r="F25">
            <v>18</v>
          </cell>
          <cell r="G25">
            <v>0</v>
          </cell>
          <cell r="H25">
            <v>0</v>
          </cell>
          <cell r="I25">
            <v>-36</v>
          </cell>
          <cell r="J25">
            <v>0</v>
          </cell>
          <cell r="K25">
            <v>18</v>
          </cell>
          <cell r="L25">
            <v>2</v>
          </cell>
        </row>
        <row r="26">
          <cell r="I26">
            <v>-36</v>
          </cell>
          <cell r="J26">
            <v>0</v>
          </cell>
          <cell r="K26">
            <v>18</v>
          </cell>
          <cell r="L26">
            <v>2</v>
          </cell>
        </row>
        <row r="27">
          <cell r="I27">
            <v>-36</v>
          </cell>
          <cell r="J27">
            <v>0</v>
          </cell>
          <cell r="K27">
            <v>18</v>
          </cell>
          <cell r="L27">
            <v>2</v>
          </cell>
        </row>
        <row r="28">
          <cell r="B28" t="str">
            <v>Bear</v>
          </cell>
          <cell r="C28">
            <v>4</v>
          </cell>
        </row>
        <row r="29">
          <cell r="B29" t="str">
            <v>Base</v>
          </cell>
          <cell r="C29">
            <v>40</v>
          </cell>
        </row>
        <row r="30">
          <cell r="B30" t="str">
            <v>Bull</v>
          </cell>
          <cell r="C30">
            <v>58</v>
          </cell>
        </row>
        <row r="31">
          <cell r="B31" t="str">
            <v>Price Target</v>
          </cell>
          <cell r="C31">
            <v>42</v>
          </cell>
        </row>
      </sheetData>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ail prices"/>
      <sheetName val="Margin build up"/>
      <sheetName val="Sheet1"/>
      <sheetName val="Sheet2"/>
      <sheetName val="Sheet3"/>
      <sheetName val="#REF"/>
    </sheetNames>
    <sheetDataSet>
      <sheetData sheetId="0">
        <row r="4">
          <cell r="C4" t="str">
            <v>Revlimid price in Germany</v>
          </cell>
        </row>
        <row r="5">
          <cell r="C5" t="str">
            <v>mg</v>
          </cell>
          <cell r="D5" t="str">
            <v>Pack size
(# of tabs)</v>
          </cell>
          <cell r="E5" t="str">
            <v>Price 
(€/ pack)</v>
          </cell>
          <cell r="F5" t="str">
            <v>Effective price in $ for 21 tabs</v>
          </cell>
          <cell r="G5" t="str">
            <v>Comparable price in US</v>
          </cell>
          <cell r="H5" t="str">
            <v>Increase in Germany price vs. US</v>
          </cell>
          <cell r="I5" t="str">
            <v>Net to Company</v>
          </cell>
          <cell r="J5" t="str">
            <v>Comparable Price in US</v>
          </cell>
          <cell r="K5" t="str">
            <v>Increase%</v>
          </cell>
        </row>
        <row r="6">
          <cell r="C6">
            <v>5</v>
          </cell>
          <cell r="D6">
            <v>21</v>
          </cell>
          <cell r="E6">
            <v>6496</v>
          </cell>
          <cell r="F6">
            <v>9198.3359999999993</v>
          </cell>
          <cell r="G6">
            <v>6080.9</v>
          </cell>
          <cell r="H6">
            <v>0.51266029699551052</v>
          </cell>
          <cell r="I6">
            <v>6714.7852799999991</v>
          </cell>
          <cell r="J6">
            <v>4905</v>
          </cell>
          <cell r="K6">
            <v>0.36896743730886827</v>
          </cell>
          <cell r="L6">
            <v>0.23769658715596331</v>
          </cell>
        </row>
        <row r="7">
          <cell r="C7">
            <v>10</v>
          </cell>
          <cell r="D7">
            <v>21</v>
          </cell>
          <cell r="E7">
            <v>6856</v>
          </cell>
          <cell r="F7">
            <v>9708.0959999999995</v>
          </cell>
          <cell r="G7">
            <v>6500</v>
          </cell>
          <cell r="H7">
            <v>0.49355323076923074</v>
          </cell>
          <cell r="I7">
            <v>7086.9100799999997</v>
          </cell>
          <cell r="J7">
            <v>5123</v>
          </cell>
          <cell r="K7">
            <v>0.38335156744095245</v>
          </cell>
          <cell r="L7">
            <v>0.25070141713839544</v>
          </cell>
        </row>
        <row r="8">
          <cell r="C8">
            <v>15</v>
          </cell>
          <cell r="D8">
            <v>21</v>
          </cell>
          <cell r="E8">
            <v>7216</v>
          </cell>
          <cell r="F8">
            <v>10217.856</v>
          </cell>
          <cell r="G8">
            <v>7429</v>
          </cell>
          <cell r="H8">
            <v>0.37540126531161655</v>
          </cell>
          <cell r="I8">
            <v>7459.0348799999992</v>
          </cell>
          <cell r="J8">
            <v>6056</v>
          </cell>
          <cell r="K8">
            <v>0.23167682959048874</v>
          </cell>
          <cell r="L8">
            <v>0.11357083223249664</v>
          </cell>
        </row>
        <row r="9">
          <cell r="C9">
            <v>25</v>
          </cell>
          <cell r="D9">
            <v>21</v>
          </cell>
          <cell r="E9">
            <v>7911</v>
          </cell>
          <cell r="F9">
            <v>11201.975999999999</v>
          </cell>
          <cell r="G9">
            <v>7826.2800000000007</v>
          </cell>
          <cell r="H9">
            <v>0.43132829390208349</v>
          </cell>
          <cell r="I9">
            <v>8177.4424799999988</v>
          </cell>
          <cell r="J9">
            <v>6381</v>
          </cell>
          <cell r="K9">
            <v>0.28152992947813793</v>
          </cell>
          <cell r="L9">
            <v>0.15864349788434406</v>
          </cell>
        </row>
        <row r="10">
          <cell r="I10">
            <v>0</v>
          </cell>
        </row>
        <row r="11">
          <cell r="I11">
            <v>0</v>
          </cell>
        </row>
        <row r="12">
          <cell r="C12" t="str">
            <v>Revlimid price in UK (private insurance)</v>
          </cell>
          <cell r="I12">
            <v>0</v>
          </cell>
        </row>
        <row r="13">
          <cell r="C13" t="str">
            <v>mg</v>
          </cell>
          <cell r="D13" t="str">
            <v>Pack size
(# of tabs)</v>
          </cell>
          <cell r="E13" t="str">
            <v>Price 
(£/ pack)</v>
          </cell>
          <cell r="F13" t="str">
            <v>Effective price in $ for 21 tabs</v>
          </cell>
          <cell r="G13" t="str">
            <v>Comparable price in US</v>
          </cell>
          <cell r="H13" t="str">
            <v>Increase in UK price vs. US</v>
          </cell>
          <cell r="I13" t="str">
            <v>Net to Company</v>
          </cell>
        </row>
        <row r="14">
          <cell r="C14">
            <v>5</v>
          </cell>
          <cell r="D14">
            <v>21</v>
          </cell>
          <cell r="E14">
            <v>5714</v>
          </cell>
          <cell r="F14">
            <v>11559.422</v>
          </cell>
          <cell r="G14">
            <v>6080.9</v>
          </cell>
          <cell r="H14">
            <v>0.90093933463796505</v>
          </cell>
          <cell r="I14">
            <v>8438.3780600000009</v>
          </cell>
          <cell r="J14">
            <v>4905</v>
          </cell>
          <cell r="K14">
            <v>0.72036249949031617</v>
          </cell>
        </row>
        <row r="15">
          <cell r="C15">
            <v>10</v>
          </cell>
          <cell r="D15">
            <v>21</v>
          </cell>
          <cell r="E15">
            <v>6050</v>
          </cell>
          <cell r="F15">
            <v>12239.150000000001</v>
          </cell>
          <cell r="G15">
            <v>6500</v>
          </cell>
          <cell r="H15">
            <v>0.88294615384615405</v>
          </cell>
          <cell r="I15">
            <v>8934.5795000000016</v>
          </cell>
          <cell r="J15">
            <v>5123</v>
          </cell>
          <cell r="K15">
            <v>0.74401317587351201</v>
          </cell>
        </row>
        <row r="16">
          <cell r="C16">
            <v>15</v>
          </cell>
          <cell r="D16">
            <v>21</v>
          </cell>
          <cell r="E16">
            <v>6352</v>
          </cell>
          <cell r="F16">
            <v>12850.096000000001</v>
          </cell>
          <cell r="G16">
            <v>7429</v>
          </cell>
          <cell r="H16">
            <v>0.72972082379862724</v>
          </cell>
          <cell r="I16">
            <v>9380.5700800000013</v>
          </cell>
          <cell r="J16">
            <v>6056</v>
          </cell>
          <cell r="K16">
            <v>0.54897128137384432</v>
          </cell>
        </row>
        <row r="17">
          <cell r="C17">
            <v>25</v>
          </cell>
          <cell r="D17">
            <v>21</v>
          </cell>
          <cell r="E17">
            <v>6990</v>
          </cell>
          <cell r="F17">
            <v>14140.77</v>
          </cell>
          <cell r="G17">
            <v>7826.2800000000007</v>
          </cell>
          <cell r="H17">
            <v>0.80683159815391203</v>
          </cell>
          <cell r="I17">
            <v>10322.7621</v>
          </cell>
          <cell r="J17">
            <v>6381</v>
          </cell>
          <cell r="K17">
            <v>0.61773422661024924</v>
          </cell>
        </row>
        <row r="18">
          <cell r="C18" t="str">
            <v>Source: Westbury, UK</v>
          </cell>
        </row>
        <row r="21">
          <cell r="C21" t="str">
            <v>Revlimid price in US</v>
          </cell>
        </row>
        <row r="22">
          <cell r="C22" t="str">
            <v>mg</v>
          </cell>
          <cell r="D22" t="str">
            <v>Pack size
(# of tabs)</v>
          </cell>
          <cell r="E22" t="str">
            <v>Price 
($/ pack)</v>
          </cell>
          <cell r="F22" t="str">
            <v>Effective price for 21 tabs</v>
          </cell>
          <cell r="G22" t="str">
            <v>Price given by Celgene in Jan, 07</v>
          </cell>
          <cell r="H22" t="str">
            <v>Est. price increase since Jan, 07</v>
          </cell>
        </row>
        <row r="23">
          <cell r="C23">
            <v>5</v>
          </cell>
          <cell r="D23">
            <v>30</v>
          </cell>
          <cell r="E23">
            <v>8687</v>
          </cell>
          <cell r="F23">
            <v>6080.9</v>
          </cell>
          <cell r="G23">
            <v>4905</v>
          </cell>
          <cell r="H23">
            <v>0.23973496432212027</v>
          </cell>
        </row>
        <row r="24">
          <cell r="C24">
            <v>10</v>
          </cell>
          <cell r="D24">
            <v>30</v>
          </cell>
          <cell r="E24">
            <v>9090</v>
          </cell>
          <cell r="F24">
            <v>6500</v>
          </cell>
          <cell r="G24">
            <v>5123</v>
          </cell>
          <cell r="H24">
            <v>0.26878781963693155</v>
          </cell>
        </row>
        <row r="25">
          <cell r="C25">
            <v>15</v>
          </cell>
          <cell r="D25">
            <v>21</v>
          </cell>
          <cell r="E25">
            <v>7423</v>
          </cell>
          <cell r="F25">
            <v>7429</v>
          </cell>
          <cell r="G25">
            <v>6056</v>
          </cell>
          <cell r="H25">
            <v>0.22671730515191535</v>
          </cell>
        </row>
        <row r="26">
          <cell r="C26">
            <v>25</v>
          </cell>
          <cell r="D26">
            <v>25</v>
          </cell>
          <cell r="E26">
            <v>9309</v>
          </cell>
          <cell r="F26">
            <v>7826.2800000000007</v>
          </cell>
          <cell r="G26">
            <v>6381</v>
          </cell>
          <cell r="H26">
            <v>0.22649741419840153</v>
          </cell>
        </row>
        <row r="27">
          <cell r="C27" t="str">
            <v>Source: NY pharmacies</v>
          </cell>
        </row>
        <row r="30">
          <cell r="C30" t="str">
            <v>mg</v>
          </cell>
          <cell r="D30" t="str">
            <v>Pack size
(# of tabs)</v>
          </cell>
          <cell r="E30" t="str">
            <v>Price 
($/ pack)</v>
          </cell>
          <cell r="F30" t="str">
            <v>Effective price for 21 tabs</v>
          </cell>
        </row>
        <row r="31">
          <cell r="C31">
            <v>5</v>
          </cell>
          <cell r="D31">
            <v>21</v>
          </cell>
          <cell r="E31" t="str">
            <v>N/A</v>
          </cell>
          <cell r="F31" t="str">
            <v>N/A</v>
          </cell>
        </row>
        <row r="32">
          <cell r="C32">
            <v>10</v>
          </cell>
          <cell r="D32">
            <v>21</v>
          </cell>
          <cell r="E32">
            <v>6637</v>
          </cell>
          <cell r="F32">
            <v>6637</v>
          </cell>
          <cell r="I32">
            <v>1.4159999999999999</v>
          </cell>
        </row>
        <row r="33">
          <cell r="C33">
            <v>15</v>
          </cell>
          <cell r="D33">
            <v>21</v>
          </cell>
          <cell r="E33">
            <v>7435</v>
          </cell>
          <cell r="F33">
            <v>7435</v>
          </cell>
        </row>
        <row r="34">
          <cell r="C34">
            <v>25</v>
          </cell>
          <cell r="D34">
            <v>21</v>
          </cell>
          <cell r="E34">
            <v>7833</v>
          </cell>
          <cell r="F34">
            <v>7833</v>
          </cell>
        </row>
        <row r="35">
          <cell r="C35" t="str">
            <v>Source: Duane Read, NY</v>
          </cell>
        </row>
        <row r="38">
          <cell r="C38" t="str">
            <v>mg</v>
          </cell>
          <cell r="D38" t="str">
            <v>Pack size
(# of tabs)</v>
          </cell>
          <cell r="E38" t="str">
            <v>Price 
($/ pack)</v>
          </cell>
          <cell r="F38" t="str">
            <v>Effective price for 21 tabs</v>
          </cell>
        </row>
        <row r="39">
          <cell r="C39">
            <v>5</v>
          </cell>
          <cell r="D39">
            <v>30</v>
          </cell>
          <cell r="E39">
            <v>8687</v>
          </cell>
          <cell r="F39">
            <v>6080.9</v>
          </cell>
        </row>
        <row r="40">
          <cell r="C40">
            <v>10</v>
          </cell>
          <cell r="D40">
            <v>30</v>
          </cell>
          <cell r="E40">
            <v>9090</v>
          </cell>
          <cell r="F40">
            <v>6363</v>
          </cell>
        </row>
        <row r="41">
          <cell r="C41">
            <v>15</v>
          </cell>
          <cell r="D41">
            <v>21</v>
          </cell>
          <cell r="E41">
            <v>7423</v>
          </cell>
          <cell r="F41">
            <v>7423</v>
          </cell>
        </row>
        <row r="42">
          <cell r="C42">
            <v>25</v>
          </cell>
          <cell r="D42">
            <v>25</v>
          </cell>
          <cell r="E42">
            <v>9309</v>
          </cell>
          <cell r="F42">
            <v>7819.56</v>
          </cell>
        </row>
        <row r="43">
          <cell r="C43" t="str">
            <v>Source: CVS Pharmacy, NY</v>
          </cell>
        </row>
        <row r="46">
          <cell r="C46" t="str">
            <v>mg</v>
          </cell>
          <cell r="D46" t="str">
            <v>Pack size
(# of tabs)</v>
          </cell>
          <cell r="E46" t="str">
            <v>Price 
($/ pack)</v>
          </cell>
          <cell r="F46" t="str">
            <v>Effective price for 21 tabs</v>
          </cell>
        </row>
        <row r="47">
          <cell r="C47">
            <v>5</v>
          </cell>
          <cell r="D47">
            <v>100</v>
          </cell>
          <cell r="E47">
            <v>26002</v>
          </cell>
          <cell r="F47">
            <v>5460.42</v>
          </cell>
        </row>
        <row r="48">
          <cell r="C48">
            <v>5</v>
          </cell>
          <cell r="D48">
            <v>300</v>
          </cell>
          <cell r="E48">
            <v>78006</v>
          </cell>
          <cell r="F48">
            <v>5460.42</v>
          </cell>
        </row>
        <row r="49">
          <cell r="C49">
            <v>10</v>
          </cell>
          <cell r="D49">
            <v>100</v>
          </cell>
          <cell r="E49">
            <v>28001</v>
          </cell>
          <cell r="F49">
            <v>5880.21</v>
          </cell>
        </row>
        <row r="50">
          <cell r="C50">
            <v>10</v>
          </cell>
          <cell r="D50">
            <v>30</v>
          </cell>
          <cell r="E50">
            <v>9232</v>
          </cell>
          <cell r="F50">
            <v>6462.4000000000005</v>
          </cell>
        </row>
        <row r="51">
          <cell r="C51">
            <v>10</v>
          </cell>
          <cell r="D51">
            <v>90</v>
          </cell>
          <cell r="E51">
            <v>27697</v>
          </cell>
          <cell r="F51">
            <v>6462.6333333333341</v>
          </cell>
        </row>
        <row r="52">
          <cell r="C52" t="str">
            <v>Sources: Walgreens</v>
          </cell>
        </row>
      </sheetData>
      <sheetData sheetId="1"/>
      <sheetData sheetId="2"/>
      <sheetData sheetId="3"/>
      <sheetData sheetId="4"/>
      <sheetData sheetId="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 val="short IS"/>
      <sheetName val="Product Mix 100%"/>
      <sheetName val="cost savings"/>
      <sheetName val="Per Pharma Traditional &amp; Biolog"/>
    </sheetNames>
    <sheetDataSet>
      <sheetData sheetId="0" refreshError="1"/>
      <sheetData sheetId="1">
        <row r="1">
          <cell r="R1" t="str">
            <v>SmartCharts</v>
          </cell>
          <cell r="BA1" t="str">
            <v>.</v>
          </cell>
        </row>
        <row r="2">
          <cell r="BA2" t="str">
            <v>.</v>
          </cell>
        </row>
        <row r="3">
          <cell r="BA3" t="str">
            <v>.</v>
          </cell>
        </row>
        <row r="4">
          <cell r="BA4" t="str">
            <v>.</v>
          </cell>
        </row>
        <row r="5">
          <cell r="C5" t="str">
            <v>Define value axis here:</v>
          </cell>
        </row>
        <row r="6">
          <cell r="C6" t="str">
            <v>Eli Lilly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781.72624304999954</v>
          </cell>
          <cell r="E12">
            <v>628.01563373899808</v>
          </cell>
          <cell r="F12">
            <v>619.00336252127454</v>
          </cell>
          <cell r="G12">
            <v>650.37276247114823</v>
          </cell>
          <cell r="H12">
            <v>535.71762648130425</v>
          </cell>
          <cell r="BA12" t="str">
            <v>.</v>
          </cell>
        </row>
        <row r="13">
          <cell r="C13" t="str">
            <v>Pipeline products launching 2010–2015</v>
          </cell>
          <cell r="D13">
            <v>94.75</v>
          </cell>
          <cell r="E13">
            <v>176.17500000000001</v>
          </cell>
          <cell r="F13">
            <v>330.42500000000001</v>
          </cell>
          <cell r="G13">
            <v>642.0732999999999</v>
          </cell>
          <cell r="H13">
            <v>950.38365750000003</v>
          </cell>
          <cell r="BA13" t="str">
            <v>.</v>
          </cell>
        </row>
        <row r="14">
          <cell r="C14" t="str">
            <v>Products expiring 2010–2015</v>
          </cell>
          <cell r="D14">
            <v>-371.49615019999874</v>
          </cell>
          <cell r="E14">
            <v>-2226.0126789459991</v>
          </cell>
          <cell r="F14">
            <v>-713.0858879557818</v>
          </cell>
          <cell r="G14">
            <v>-2566.7028729389294</v>
          </cell>
          <cell r="H14">
            <v>-2382.3369144914741</v>
          </cell>
          <cell r="BA14" t="str">
            <v>.</v>
          </cell>
        </row>
        <row r="15">
          <cell r="C15" t="str">
            <v>Net YOY change</v>
          </cell>
          <cell r="D15">
            <v>504.9800928500008</v>
          </cell>
          <cell r="E15">
            <v>-1421.8220452070018</v>
          </cell>
          <cell r="F15">
            <v>236.34247456549201</v>
          </cell>
          <cell r="G15">
            <v>-1274.2568104677812</v>
          </cell>
          <cell r="H15">
            <v>-896.23563051016754</v>
          </cell>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refreshError="1"/>
      <sheetData sheetId="3" refreshError="1"/>
      <sheetData sheetId="4" refreshError="1"/>
      <sheetData sheetId="5" refreshError="1"/>
      <sheetData sheetId="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contribution analysis"/>
      <sheetName val="rev change analysis"/>
      <sheetName val="2015 rev change"/>
      <sheetName val="2015 biopharma rev change"/>
      <sheetName val="margins"/>
    </sheetNames>
    <sheetDataSet>
      <sheetData sheetId="0"/>
      <sheetData sheetId="1">
        <row r="1">
          <cell r="R1" t="str">
            <v>SmartCharts</v>
          </cell>
          <cell r="BA1" t="str">
            <v>.</v>
          </cell>
        </row>
        <row r="2">
          <cell r="BA2" t="str">
            <v>.</v>
          </cell>
        </row>
        <row r="3">
          <cell r="BA3" t="str">
            <v>.</v>
          </cell>
        </row>
        <row r="4">
          <cell r="BA4" t="str">
            <v>.</v>
          </cell>
        </row>
        <row r="5">
          <cell r="C5" t="str">
            <v>Define value axis here:</v>
          </cell>
        </row>
        <row r="6">
          <cell r="C6" t="str">
            <v>Bristol-Myers Squibb YOY revenue change 2010E-2015E</v>
          </cell>
        </row>
        <row r="10">
          <cell r="C10" t="str">
            <v>Input your data here:</v>
          </cell>
          <cell r="BA10" t="str">
            <v>.</v>
          </cell>
        </row>
        <row r="11">
          <cell r="C11" t="str">
            <v>Sales ($M)</v>
          </cell>
          <cell r="D11" t="str">
            <v>2011E</v>
          </cell>
          <cell r="E11" t="str">
            <v>2012E</v>
          </cell>
          <cell r="F11" t="str">
            <v>2013E</v>
          </cell>
          <cell r="G11" t="str">
            <v>2014E</v>
          </cell>
          <cell r="H11" t="str">
            <v>2015E</v>
          </cell>
          <cell r="BA11" t="str">
            <v>.</v>
          </cell>
        </row>
        <row r="12">
          <cell r="C12" t="str">
            <v>In-line products</v>
          </cell>
          <cell r="D12">
            <v>428.20430499999929</v>
          </cell>
          <cell r="E12">
            <v>406.00087174999862</v>
          </cell>
          <cell r="F12">
            <v>379.77037045850375</v>
          </cell>
          <cell r="G12">
            <v>349.04459650893114</v>
          </cell>
          <cell r="H12">
            <v>290.7973990176979</v>
          </cell>
          <cell r="BA12" t="str">
            <v>.</v>
          </cell>
        </row>
        <row r="13">
          <cell r="C13" t="str">
            <v>Pipeline products launching 2010–2015</v>
          </cell>
          <cell r="D13">
            <v>509.8125</v>
          </cell>
          <cell r="E13">
            <v>791.0775000000001</v>
          </cell>
          <cell r="F13">
            <v>1302.57</v>
          </cell>
          <cell r="G13">
            <v>1653.0442999999996</v>
          </cell>
          <cell r="H13">
            <v>1227.8117000000011</v>
          </cell>
          <cell r="BA13" t="str">
            <v>.</v>
          </cell>
        </row>
        <row r="14">
          <cell r="C14" t="str">
            <v>Products expiring 2010–2015</v>
          </cell>
          <cell r="D14">
            <v>170.7135303846153</v>
          </cell>
          <cell r="E14">
            <v>-3013.0544055538448</v>
          </cell>
          <cell r="F14">
            <v>-3358.1474564076934</v>
          </cell>
          <cell r="G14">
            <v>-1309.0957018979234</v>
          </cell>
          <cell r="H14">
            <v>-2226.5059205538264</v>
          </cell>
          <cell r="BA14" t="str">
            <v>.</v>
          </cell>
        </row>
        <row r="15">
          <cell r="C15" t="str">
            <v>Biopharmaceuticals net YOY change</v>
          </cell>
          <cell r="D15">
            <v>1108.7303353846146</v>
          </cell>
          <cell r="E15">
            <v>-1815.9760338038468</v>
          </cell>
          <cell r="F15">
            <v>-1675.8070859491891</v>
          </cell>
          <cell r="G15">
            <v>692.99319461100822</v>
          </cell>
          <cell r="H15">
            <v>-707.89682153612739</v>
          </cell>
          <cell r="BA15" t="str">
            <v>.</v>
          </cell>
        </row>
        <row r="16">
          <cell r="C16" t="str">
            <v>Mead Johnson YOY change</v>
          </cell>
          <cell r="D16">
            <v>214.20896000000039</v>
          </cell>
          <cell r="E16">
            <v>221.85658040000044</v>
          </cell>
          <cell r="F16">
            <v>215.35684153200009</v>
          </cell>
          <cell r="G16">
            <v>204.1549097092402</v>
          </cell>
          <cell r="H16">
            <v>188.16653348492491</v>
          </cell>
          <cell r="BA16" t="str">
            <v>.</v>
          </cell>
        </row>
        <row r="17">
          <cell r="C17" t="str">
            <v>Total YOY change</v>
          </cell>
          <cell r="D17">
            <v>1322.9392953846145</v>
          </cell>
          <cell r="E17">
            <v>-1594.1194534038477</v>
          </cell>
          <cell r="F17">
            <v>-1460.4502444171885</v>
          </cell>
          <cell r="G17">
            <v>897.14810432025115</v>
          </cell>
          <cell r="H17">
            <v>-519.73028805120339</v>
          </cell>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2" refreshError="1"/>
      <sheetData sheetId="3" refreshError="1"/>
      <sheetData sheetId="4">
        <row r="1">
          <cell r="P1" t="str">
            <v>SmartCharts</v>
          </cell>
          <cell r="BA1" t="str">
            <v>.</v>
          </cell>
        </row>
        <row r="2">
          <cell r="BA2" t="str">
            <v>.</v>
          </cell>
        </row>
        <row r="3">
          <cell r="BA3" t="str">
            <v>.</v>
          </cell>
        </row>
        <row r="4">
          <cell r="BA4" t="str">
            <v>.</v>
          </cell>
        </row>
        <row r="5">
          <cell r="C5" t="str">
            <v>Define value axis here:</v>
          </cell>
        </row>
        <row r="6">
          <cell r="C6" t="str">
            <v>Bristol-Myers Squibb 2010E–2015 margins projections</v>
          </cell>
        </row>
        <row r="10">
          <cell r="C10" t="str">
            <v>Input your data here:</v>
          </cell>
          <cell r="BA10" t="str">
            <v>.</v>
          </cell>
        </row>
        <row r="11">
          <cell r="D11">
            <v>2010</v>
          </cell>
          <cell r="E11">
            <v>2015</v>
          </cell>
          <cell r="BA11" t="str">
            <v>.</v>
          </cell>
        </row>
        <row r="12">
          <cell r="C12" t="str">
            <v>Gross margin</v>
          </cell>
          <cell r="D12">
            <v>0.72499999999999998</v>
          </cell>
          <cell r="E12">
            <v>0.68100000000000005</v>
          </cell>
        </row>
        <row r="13">
          <cell r="C13" t="str">
            <v>Operating margin</v>
          </cell>
          <cell r="D13">
            <v>0.30161955647352828</v>
          </cell>
          <cell r="E13">
            <v>0.25676950311816399</v>
          </cell>
        </row>
        <row r="14">
          <cell r="C14" t="str">
            <v>Net margin</v>
          </cell>
          <cell r="D14">
            <v>0.18869606564379282</v>
          </cell>
          <cell r="E14">
            <v>0.17772499764542135</v>
          </cell>
          <cell r="BA14" t="str">
            <v>.</v>
          </cell>
        </row>
        <row r="15">
          <cell r="BA15" t="str">
            <v>.</v>
          </cell>
        </row>
        <row r="16">
          <cell r="BA16" t="str">
            <v>.</v>
          </cell>
        </row>
        <row r="17">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BA37" t="str">
            <v>.</v>
          </cell>
        </row>
        <row r="38">
          <cell r="BA38" t="str">
            <v>.</v>
          </cell>
        </row>
        <row r="39">
          <cell r="BA39" t="str">
            <v>.</v>
          </cell>
        </row>
        <row r="40">
          <cell r="BA40" t="str">
            <v>.</v>
          </cell>
        </row>
        <row r="41">
          <cell r="BA41" t="str">
            <v>.</v>
          </cell>
        </row>
        <row r="42">
          <cell r="I42" t="str">
            <v>Do not change the width of the exhibit or font sizes (they are optimized for export to Word).</v>
          </cell>
          <cell r="BA42" t="str">
            <v>.</v>
          </cell>
        </row>
        <row r="43">
          <cell r="BA43" t="str">
            <v>.</v>
          </cell>
        </row>
        <row r="44">
          <cell r="I44" t="str">
            <v>Do not delete any rows or columns (some gray cells are used for calculations).</v>
          </cell>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ARNMOD"/>
      <sheetName val="WACC"/>
      <sheetName val="Sheet1"/>
      <sheetName val="Fixed Line Mkt"/>
      <sheetName val="Cash Flow"/>
      <sheetName val="upside_downside"/>
      <sheetName val="Income Statement"/>
      <sheetName val="Balance Sheet"/>
      <sheetName val="Valsum"/>
      <sheetName val="Operating Leases tagged"/>
      <sheetName val="DCF"/>
      <sheetName val="OP"/>
      <sheetName val="Inputs"/>
      <sheetName val="MWA RR"/>
      <sheetName val="Summary"/>
      <sheetName val="IS"/>
      <sheetName val="exh 11"/>
      <sheetName val="exh 14"/>
      <sheetName val="exh 12"/>
      <sheetName val="exh 10"/>
      <sheetName val="exh 1 and 5"/>
      <sheetName val="exh 15"/>
      <sheetName val="exh 3"/>
      <sheetName val="exh 9"/>
      <sheetName val="Good 12-00 (2)"/>
      <sheetName val="Good 11-36"/>
      <sheetName val="Good 11-50"/>
      <sheetName val="Sheet3 (5)"/>
      <sheetName val="Total_Production"/>
      <sheetName val="RFS"/>
      <sheetName val="Corn_Uses"/>
      <sheetName val="US_Production"/>
      <sheetName val="Risk-Reward_View_Chart"/>
      <sheetName val="variables"/>
      <sheetName val="IS Quarterly"/>
      <sheetName val="Sheet1 (2)"/>
      <sheetName val="1Q11 Preview"/>
      <sheetName val="2Q11 Preview"/>
      <sheetName val="Model"/>
      <sheetName val="Intrinsic Value"/>
      <sheetName val="Rev by Geo"/>
      <sheetName val="Report template"/>
      <sheetName val="Model (WIP)"/>
      <sheetName val="sales bkd"/>
      <sheetName val="fin"/>
      <sheetName val="Presentation"/>
      <sheetName val="Valuation"/>
      <sheetName val="Exclusion List"/>
    </sheetNames>
    <sheetDataSet>
      <sheetData sheetId="0" refreshError="1">
        <row r="14">
          <cell r="AR14">
            <v>28</v>
          </cell>
        </row>
        <row r="15">
          <cell r="AR15">
            <v>5</v>
          </cell>
        </row>
        <row r="16">
          <cell r="AR16">
            <v>14</v>
          </cell>
        </row>
        <row r="17">
          <cell r="AR17">
            <v>6</v>
          </cell>
        </row>
        <row r="18">
          <cell r="AR18">
            <v>-5</v>
          </cell>
        </row>
        <row r="512">
          <cell r="B512" t="str">
            <v>売上高</v>
          </cell>
          <cell r="D512" t="str">
            <v>M\</v>
          </cell>
          <cell r="Q512">
            <v>210000</v>
          </cell>
          <cell r="R512">
            <v>105000</v>
          </cell>
          <cell r="S512">
            <v>105000</v>
          </cell>
          <cell r="T512">
            <v>210000</v>
          </cell>
          <cell r="U512">
            <v>105000</v>
          </cell>
          <cell r="V512">
            <v>105000</v>
          </cell>
          <cell r="W512">
            <v>210000</v>
          </cell>
          <cell r="X512">
            <v>93000</v>
          </cell>
          <cell r="Y512">
            <v>100000</v>
          </cell>
          <cell r="Z512">
            <v>193000</v>
          </cell>
          <cell r="AA512">
            <v>91000</v>
          </cell>
          <cell r="AB512">
            <v>94000</v>
          </cell>
          <cell r="AC512">
            <v>185000</v>
          </cell>
        </row>
        <row r="513">
          <cell r="B513" t="str">
            <v>営業利益</v>
          </cell>
          <cell r="D513" t="str">
            <v>M\</v>
          </cell>
          <cell r="Q513">
            <v>8000</v>
          </cell>
          <cell r="R513">
            <v>5000</v>
          </cell>
          <cell r="S513">
            <v>5000</v>
          </cell>
          <cell r="T513">
            <v>10000</v>
          </cell>
          <cell r="V513">
            <v>0</v>
          </cell>
          <cell r="X513">
            <v>3000</v>
          </cell>
          <cell r="Y513">
            <v>4500</v>
          </cell>
          <cell r="Z513">
            <v>7500</v>
          </cell>
          <cell r="AA513">
            <v>3300</v>
          </cell>
          <cell r="AB513">
            <v>4400</v>
          </cell>
          <cell r="AC513">
            <v>7700</v>
          </cell>
        </row>
        <row r="514">
          <cell r="B514" t="str">
            <v>経常利益</v>
          </cell>
          <cell r="D514" t="str">
            <v>M\</v>
          </cell>
          <cell r="Q514">
            <v>6000</v>
          </cell>
          <cell r="R514">
            <v>4000</v>
          </cell>
          <cell r="S514">
            <v>4000</v>
          </cell>
          <cell r="T514">
            <v>8000</v>
          </cell>
          <cell r="U514">
            <v>3600</v>
          </cell>
          <cell r="V514">
            <v>3600</v>
          </cell>
          <cell r="W514">
            <v>7200</v>
          </cell>
          <cell r="X514">
            <v>2000</v>
          </cell>
          <cell r="Y514">
            <v>3000</v>
          </cell>
          <cell r="Z514">
            <v>5000</v>
          </cell>
          <cell r="AA514">
            <v>2500</v>
          </cell>
          <cell r="AB514">
            <v>3500</v>
          </cell>
          <cell r="AC514">
            <v>6000</v>
          </cell>
        </row>
        <row r="515">
          <cell r="B515" t="str">
            <v>当期利益</v>
          </cell>
          <cell r="D515" t="str">
            <v>M\</v>
          </cell>
          <cell r="Q515">
            <v>3000</v>
          </cell>
          <cell r="R515">
            <v>2000</v>
          </cell>
          <cell r="S515">
            <v>2000</v>
          </cell>
          <cell r="T515">
            <v>4000</v>
          </cell>
          <cell r="U515">
            <v>2000</v>
          </cell>
          <cell r="V515">
            <v>2000</v>
          </cell>
          <cell r="W515">
            <v>4000</v>
          </cell>
          <cell r="X515">
            <v>1200</v>
          </cell>
          <cell r="Y515">
            <v>1600</v>
          </cell>
          <cell r="Z515">
            <v>2800</v>
          </cell>
          <cell r="AA515">
            <v>1300</v>
          </cell>
          <cell r="AB515">
            <v>1700</v>
          </cell>
          <cell r="AC515">
            <v>3000</v>
          </cell>
        </row>
        <row r="516">
          <cell r="D516" t="str">
            <v xml:space="preserve"> </v>
          </cell>
        </row>
        <row r="517">
          <cell r="A517" t="str">
            <v>中間決算後の会社予想</v>
          </cell>
          <cell r="D517" t="str">
            <v xml:space="preserve"> </v>
          </cell>
          <cell r="Q517" t="str">
            <v>97/3期</v>
          </cell>
          <cell r="R517" t="str">
            <v>97/9上</v>
          </cell>
          <cell r="S517" t="str">
            <v>下</v>
          </cell>
          <cell r="T517" t="str">
            <v>98/3期</v>
          </cell>
          <cell r="U517" t="str">
            <v>98/9上</v>
          </cell>
          <cell r="V517" t="str">
            <v>下</v>
          </cell>
          <cell r="W517" t="str">
            <v>99/3期</v>
          </cell>
          <cell r="Z517" t="str">
            <v>00/3期</v>
          </cell>
          <cell r="AC517" t="str">
            <v>01/3期</v>
          </cell>
        </row>
        <row r="518">
          <cell r="B518" t="str">
            <v>売上高</v>
          </cell>
          <cell r="D518" t="str">
            <v>M\</v>
          </cell>
          <cell r="Q518">
            <v>200000</v>
          </cell>
          <cell r="S518">
            <v>109491</v>
          </cell>
          <cell r="T518">
            <v>222000</v>
          </cell>
          <cell r="U518">
            <v>104114</v>
          </cell>
          <cell r="V518">
            <v>105886</v>
          </cell>
          <cell r="W518">
            <v>210000</v>
          </cell>
          <cell r="X518">
            <v>91000</v>
          </cell>
          <cell r="Y518">
            <v>93000</v>
          </cell>
          <cell r="Z518">
            <v>184000</v>
          </cell>
          <cell r="AA518">
            <v>92800</v>
          </cell>
          <cell r="AB518">
            <v>94200</v>
          </cell>
          <cell r="AC518">
            <v>187000</v>
          </cell>
        </row>
        <row r="519">
          <cell r="B519" t="str">
            <v>営業利益</v>
          </cell>
          <cell r="D519" t="str">
            <v>M\</v>
          </cell>
          <cell r="Q519">
            <v>7500</v>
          </cell>
          <cell r="S519">
            <v>5552</v>
          </cell>
          <cell r="T519">
            <v>11000</v>
          </cell>
          <cell r="U519">
            <v>4811</v>
          </cell>
          <cell r="V519">
            <v>5689</v>
          </cell>
          <cell r="W519">
            <v>10500</v>
          </cell>
          <cell r="X519">
            <v>750</v>
          </cell>
          <cell r="Y519">
            <v>2350</v>
          </cell>
          <cell r="Z519">
            <v>3100</v>
          </cell>
          <cell r="AA519">
            <v>4000</v>
          </cell>
          <cell r="AB519">
            <v>4600</v>
          </cell>
          <cell r="AC519">
            <v>8600</v>
          </cell>
        </row>
        <row r="520">
          <cell r="B520" t="str">
            <v>経常利益</v>
          </cell>
          <cell r="D520" t="str">
            <v>M\</v>
          </cell>
          <cell r="Q520">
            <v>6000</v>
          </cell>
          <cell r="S520">
            <v>4344</v>
          </cell>
          <cell r="T520">
            <v>8500</v>
          </cell>
          <cell r="U520">
            <v>2863</v>
          </cell>
          <cell r="V520">
            <v>4337</v>
          </cell>
          <cell r="W520">
            <v>7200</v>
          </cell>
          <cell r="X520">
            <v>1200</v>
          </cell>
          <cell r="Y520">
            <v>1300</v>
          </cell>
          <cell r="Z520">
            <v>2500</v>
          </cell>
          <cell r="AA520">
            <v>3200</v>
          </cell>
          <cell r="AB520">
            <v>3800</v>
          </cell>
          <cell r="AC520">
            <v>7000</v>
          </cell>
        </row>
        <row r="521">
          <cell r="B521" t="str">
            <v>当期利益</v>
          </cell>
          <cell r="D521" t="str">
            <v>M\</v>
          </cell>
          <cell r="Q521">
            <v>3000</v>
          </cell>
          <cell r="S521">
            <v>1985</v>
          </cell>
          <cell r="T521">
            <v>4500</v>
          </cell>
          <cell r="U521">
            <v>1269</v>
          </cell>
          <cell r="V521">
            <v>2731</v>
          </cell>
          <cell r="W521">
            <v>4000</v>
          </cell>
          <cell r="X521">
            <v>900</v>
          </cell>
          <cell r="Y521">
            <v>700</v>
          </cell>
          <cell r="Z521">
            <v>1600</v>
          </cell>
          <cell r="AA521">
            <v>1700</v>
          </cell>
          <cell r="AB521">
            <v>1800</v>
          </cell>
          <cell r="AC521">
            <v>3500</v>
          </cell>
        </row>
        <row r="522">
          <cell r="D522" t="str">
            <v xml:space="preserve"> </v>
          </cell>
        </row>
        <row r="523">
          <cell r="A523" t="str">
            <v>修正後の会社予想</v>
          </cell>
          <cell r="D523" t="str">
            <v xml:space="preserve"> </v>
          </cell>
          <cell r="Q523" t="str">
            <v>97/3期</v>
          </cell>
          <cell r="R523" t="str">
            <v>97/9上</v>
          </cell>
          <cell r="S523" t="str">
            <v>下</v>
          </cell>
          <cell r="T523" t="str">
            <v>98/3期</v>
          </cell>
          <cell r="U523" t="str">
            <v>98/9上</v>
          </cell>
          <cell r="V523" t="str">
            <v>下</v>
          </cell>
          <cell r="W523" t="str">
            <v>99/3期</v>
          </cell>
          <cell r="Z523" t="str">
            <v>00/3期</v>
          </cell>
          <cell r="AC523" t="str">
            <v>01/3期</v>
          </cell>
        </row>
        <row r="524">
          <cell r="B524" t="str">
            <v>売上高</v>
          </cell>
          <cell r="D524" t="str">
            <v>M\</v>
          </cell>
          <cell r="U524">
            <v>112509</v>
          </cell>
          <cell r="V524">
            <v>82491</v>
          </cell>
          <cell r="W524">
            <v>195000</v>
          </cell>
          <cell r="X524">
            <v>92411</v>
          </cell>
          <cell r="Y524">
            <v>91589</v>
          </cell>
          <cell r="Z524">
            <v>184000</v>
          </cell>
          <cell r="AC524">
            <v>188600</v>
          </cell>
        </row>
        <row r="525">
          <cell r="B525" t="str">
            <v>営業利益</v>
          </cell>
          <cell r="D525" t="str">
            <v>M\</v>
          </cell>
          <cell r="U525">
            <v>5448</v>
          </cell>
          <cell r="V525">
            <v>-5448</v>
          </cell>
          <cell r="W525" t="str">
            <v>-</v>
          </cell>
          <cell r="X525">
            <v>739</v>
          </cell>
          <cell r="Y525">
            <v>2261</v>
          </cell>
          <cell r="Z525">
            <v>3000</v>
          </cell>
          <cell r="AC525">
            <v>8500</v>
          </cell>
        </row>
        <row r="526">
          <cell r="B526" t="str">
            <v>経常利益</v>
          </cell>
          <cell r="D526" t="str">
            <v>M\</v>
          </cell>
          <cell r="U526">
            <v>4156</v>
          </cell>
          <cell r="V526">
            <v>1144</v>
          </cell>
          <cell r="W526">
            <v>5300</v>
          </cell>
          <cell r="X526">
            <v>1209</v>
          </cell>
          <cell r="Y526">
            <v>1291</v>
          </cell>
          <cell r="Z526">
            <v>2500</v>
          </cell>
          <cell r="AC526">
            <v>7000</v>
          </cell>
        </row>
        <row r="527">
          <cell r="B527" t="str">
            <v>当期利益</v>
          </cell>
          <cell r="D527" t="str">
            <v>M\</v>
          </cell>
          <cell r="U527">
            <v>2515</v>
          </cell>
          <cell r="V527">
            <v>-1515</v>
          </cell>
          <cell r="W527">
            <v>1000</v>
          </cell>
          <cell r="X527">
            <v>1015</v>
          </cell>
          <cell r="Y527">
            <v>585</v>
          </cell>
          <cell r="Z527">
            <v>1600</v>
          </cell>
          <cell r="AC527">
            <v>3500</v>
          </cell>
        </row>
        <row r="529">
          <cell r="A529" t="str">
            <v>自分の業績予想の要約</v>
          </cell>
          <cell r="D529" t="str">
            <v xml:space="preserve"> </v>
          </cell>
          <cell r="Q529" t="str">
            <v>97/3期</v>
          </cell>
          <cell r="R529" t="str">
            <v>97/9上</v>
          </cell>
          <cell r="S529" t="str">
            <v>下</v>
          </cell>
          <cell r="T529" t="str">
            <v>98/3期</v>
          </cell>
          <cell r="U529" t="str">
            <v>98/9上</v>
          </cell>
          <cell r="V529" t="str">
            <v>下</v>
          </cell>
          <cell r="W529" t="str">
            <v>99/3期</v>
          </cell>
          <cell r="Z529" t="str">
            <v>00/3期</v>
          </cell>
          <cell r="AC529" t="str">
            <v>01/3期</v>
          </cell>
        </row>
        <row r="530">
          <cell r="B530" t="str">
            <v>売上高</v>
          </cell>
          <cell r="D530" t="str">
            <v>M\</v>
          </cell>
          <cell r="Q530">
            <v>212588</v>
          </cell>
          <cell r="R530">
            <v>112509</v>
          </cell>
          <cell r="S530">
            <v>108769</v>
          </cell>
          <cell r="T530">
            <v>221278</v>
          </cell>
          <cell r="U530">
            <v>104114</v>
          </cell>
          <cell r="V530">
            <v>105886</v>
          </cell>
          <cell r="W530">
            <v>196247</v>
          </cell>
          <cell r="X530">
            <v>92411</v>
          </cell>
          <cell r="Y530">
            <v>94325</v>
          </cell>
          <cell r="Z530">
            <v>186736</v>
          </cell>
          <cell r="AA530">
            <v>93449</v>
          </cell>
          <cell r="AB530">
            <v>95973</v>
          </cell>
          <cell r="AC530">
            <v>189422</v>
          </cell>
        </row>
        <row r="531">
          <cell r="B531" t="str">
            <v>営業利益</v>
          </cell>
          <cell r="D531" t="str">
            <v>M\</v>
          </cell>
          <cell r="Q531">
            <v>8473</v>
          </cell>
          <cell r="R531">
            <v>5448</v>
          </cell>
          <cell r="S531">
            <v>6280</v>
          </cell>
          <cell r="T531">
            <v>11728</v>
          </cell>
          <cell r="U531">
            <v>4811</v>
          </cell>
          <cell r="V531">
            <v>-4811</v>
          </cell>
          <cell r="W531">
            <v>9099</v>
          </cell>
          <cell r="X531">
            <v>739</v>
          </cell>
          <cell r="Y531">
            <v>2937</v>
          </cell>
          <cell r="Z531">
            <v>3676</v>
          </cell>
          <cell r="AA531">
            <v>3823</v>
          </cell>
          <cell r="AB531">
            <v>4774</v>
          </cell>
          <cell r="AC531">
            <v>8597</v>
          </cell>
        </row>
        <row r="532">
          <cell r="B532" t="str">
            <v>経常利益</v>
          </cell>
          <cell r="D532" t="str">
            <v>M\</v>
          </cell>
          <cell r="Q532">
            <v>6780</v>
          </cell>
          <cell r="R532">
            <v>4156</v>
          </cell>
          <cell r="S532">
            <v>4254</v>
          </cell>
          <cell r="T532">
            <v>8410</v>
          </cell>
          <cell r="U532">
            <v>2863</v>
          </cell>
          <cell r="V532">
            <v>4337</v>
          </cell>
          <cell r="W532">
            <v>5436</v>
          </cell>
          <cell r="X532">
            <v>1209</v>
          </cell>
          <cell r="Y532">
            <v>2206</v>
          </cell>
          <cell r="Z532">
            <v>3415</v>
          </cell>
          <cell r="AA532">
            <v>3188</v>
          </cell>
          <cell r="AB532">
            <v>4246</v>
          </cell>
          <cell r="AC532">
            <v>7434</v>
          </cell>
        </row>
        <row r="533">
          <cell r="B533" t="str">
            <v>当期利益</v>
          </cell>
          <cell r="D533" t="str">
            <v>M\</v>
          </cell>
          <cell r="Q533">
            <v>2642</v>
          </cell>
          <cell r="R533">
            <v>2515</v>
          </cell>
          <cell r="S533">
            <v>1930</v>
          </cell>
          <cell r="T533">
            <v>4445</v>
          </cell>
          <cell r="U533">
            <v>1269</v>
          </cell>
          <cell r="V533">
            <v>2731</v>
          </cell>
          <cell r="W533">
            <v>1249</v>
          </cell>
          <cell r="X533">
            <v>1015</v>
          </cell>
          <cell r="Y533">
            <v>-371</v>
          </cell>
          <cell r="Z533">
            <v>644</v>
          </cell>
          <cell r="AA533">
            <v>1886</v>
          </cell>
          <cell r="AB533">
            <v>1735</v>
          </cell>
          <cell r="AC533">
            <v>3621</v>
          </cell>
        </row>
        <row r="534">
          <cell r="B534" t="str">
            <v>ｷｬｯｼｭﾌﾛｰ</v>
          </cell>
          <cell r="D534" t="str">
            <v>M\</v>
          </cell>
          <cell r="Q534">
            <v>6569</v>
          </cell>
          <cell r="T534">
            <v>8397</v>
          </cell>
          <cell r="W534">
            <v>5219</v>
          </cell>
          <cell r="X534">
            <v>0</v>
          </cell>
          <cell r="Y534">
            <v>0</v>
          </cell>
          <cell r="Z534">
            <v>5272</v>
          </cell>
          <cell r="AA534">
            <v>0</v>
          </cell>
          <cell r="AB534">
            <v>0</v>
          </cell>
          <cell r="AC534">
            <v>7744</v>
          </cell>
        </row>
        <row r="535">
          <cell r="B535" t="str">
            <v>ＥＰＳ</v>
          </cell>
          <cell r="D535" t="str">
            <v xml:space="preserve"> </v>
          </cell>
          <cell r="Q535">
            <v>9.3778729053303369</v>
          </cell>
          <cell r="T535">
            <v>15.777685489853653</v>
          </cell>
          <cell r="W535">
            <v>4.4585484502642458</v>
          </cell>
          <cell r="X535">
            <v>0</v>
          </cell>
          <cell r="Y535">
            <v>0</v>
          </cell>
          <cell r="Z535">
            <v>2.3091291751816403</v>
          </cell>
          <cell r="AA535">
            <v>0</v>
          </cell>
          <cell r="AB535">
            <v>0</v>
          </cell>
          <cell r="AC535">
            <v>12.474266786471992</v>
          </cell>
        </row>
        <row r="536">
          <cell r="B536" t="str">
            <v>ＣＦＰＳ</v>
          </cell>
          <cell r="Q536">
            <v>23.316898983767974</v>
          </cell>
          <cell r="T536">
            <v>29.805449956873144</v>
          </cell>
          <cell r="W536">
            <v>18.63023567808575</v>
          </cell>
          <cell r="X536">
            <v>0</v>
          </cell>
          <cell r="Y536">
            <v>0</v>
          </cell>
          <cell r="Z536">
            <v>18.903305918567714</v>
          </cell>
          <cell r="AA536">
            <v>0</v>
          </cell>
          <cell r="AB536">
            <v>0</v>
          </cell>
          <cell r="AC536">
            <v>26.677912729753963</v>
          </cell>
        </row>
        <row r="537">
          <cell r="B537" t="str">
            <v>ＢＰＳ</v>
          </cell>
          <cell r="D537" t="str">
            <v xml:space="preserve"> </v>
          </cell>
          <cell r="Q537">
            <v>274.47138541921788</v>
          </cell>
          <cell r="T537">
            <v>285.04545180263165</v>
          </cell>
          <cell r="W537">
            <v>283.40518700030344</v>
          </cell>
          <cell r="X537">
            <v>0</v>
          </cell>
          <cell r="Y537">
            <v>0</v>
          </cell>
          <cell r="Z537">
            <v>284.88701918588026</v>
          </cell>
          <cell r="AA537">
            <v>0</v>
          </cell>
          <cell r="AB537">
            <v>0</v>
          </cell>
          <cell r="AC537">
            <v>301.13934185933795</v>
          </cell>
        </row>
        <row r="538">
          <cell r="B538" t="str">
            <v>ＲＯＥ</v>
          </cell>
          <cell r="D538" t="str">
            <v xml:space="preserve"> </v>
          </cell>
          <cell r="Q538">
            <v>3.4167033080723171E-2</v>
          </cell>
          <cell r="T538">
            <v>5.5351472511051616E-2</v>
          </cell>
          <cell r="W538">
            <v>1.5732063683998387E-2</v>
          </cell>
          <cell r="X538">
            <v>0</v>
          </cell>
          <cell r="Y538">
            <v>0</v>
          </cell>
          <cell r="Z538">
            <v>8.1054208148213392E-3</v>
          </cell>
          <cell r="AA538">
            <v>0</v>
          </cell>
          <cell r="AB538">
            <v>0</v>
          </cell>
          <cell r="AC538">
            <v>4.1423570595099185E-2</v>
          </cell>
        </row>
        <row r="539">
          <cell r="B539" t="str">
            <v>発行済株式数</v>
          </cell>
          <cell r="D539" t="str">
            <v xml:space="preserve"> </v>
          </cell>
          <cell r="Q539">
            <v>281727</v>
          </cell>
          <cell r="T539">
            <v>281727</v>
          </cell>
          <cell r="W539">
            <v>280136.016</v>
          </cell>
          <cell r="X539">
            <v>0</v>
          </cell>
          <cell r="Y539">
            <v>0</v>
          </cell>
          <cell r="Z539">
            <v>278893.016</v>
          </cell>
          <cell r="AA539">
            <v>0</v>
          </cell>
          <cell r="AB539">
            <v>0</v>
          </cell>
          <cell r="AC539">
            <v>290277.58199999999</v>
          </cell>
        </row>
        <row r="540">
          <cell r="C540" t="str">
            <v>売上前期比</v>
          </cell>
          <cell r="D540" t="str">
            <v xml:space="preserve"> </v>
          </cell>
          <cell r="T540">
            <v>4.0877189681449488E-2</v>
          </cell>
          <cell r="U540">
            <v>-7.461625292198848E-2</v>
          </cell>
          <cell r="V540">
            <v>-2.6505713944230402E-2</v>
          </cell>
          <cell r="W540">
            <v>-0.11312014750675625</v>
          </cell>
          <cell r="X540">
            <v>-0.11240563228768463</v>
          </cell>
          <cell r="Y540">
            <v>-0.10918346145854974</v>
          </cell>
          <cell r="Z540">
            <v>-4.8464435125122884E-2</v>
          </cell>
          <cell r="AA540">
            <v>1.1232429039832903E-2</v>
          </cell>
          <cell r="AB540">
            <v>1.7471508083753085E-2</v>
          </cell>
          <cell r="AC540">
            <v>1.4383943106845987E-2</v>
          </cell>
        </row>
        <row r="541">
          <cell r="C541" t="str">
            <v>営業前期比</v>
          </cell>
          <cell r="D541" t="str">
            <v xml:space="preserve"> </v>
          </cell>
          <cell r="T541">
            <v>0.38416145403044966</v>
          </cell>
          <cell r="U541">
            <v>-0.11692364170337743</v>
          </cell>
          <cell r="V541">
            <v>-1.7660828025477708</v>
          </cell>
          <cell r="W541">
            <v>-0.22416439290586632</v>
          </cell>
          <cell r="X541">
            <v>-0.84639368114737057</v>
          </cell>
          <cell r="Y541">
            <v>-1.6104759925171481</v>
          </cell>
          <cell r="Z541">
            <v>-0.59599956039125179</v>
          </cell>
          <cell r="AA541">
            <v>4.1732070365358593</v>
          </cell>
          <cell r="AB541">
            <v>0.62546816479400746</v>
          </cell>
          <cell r="AC541">
            <v>1.3386833514689882</v>
          </cell>
        </row>
        <row r="542">
          <cell r="C542" t="str">
            <v>経常前期比</v>
          </cell>
          <cell r="D542" t="str">
            <v xml:space="preserve"> </v>
          </cell>
          <cell r="T542">
            <v>0.24041297935103234</v>
          </cell>
          <cell r="U542">
            <v>-0.31111645813282007</v>
          </cell>
          <cell r="V542">
            <v>1.9511048425011834E-2</v>
          </cell>
          <cell r="W542">
            <v>-0.35362663495838287</v>
          </cell>
          <cell r="X542">
            <v>-0.57771568285015718</v>
          </cell>
          <cell r="Y542">
            <v>-0.49135347014065023</v>
          </cell>
          <cell r="Z542">
            <v>-0.37178072111846949</v>
          </cell>
          <cell r="AA542">
            <v>1.6368899917287014</v>
          </cell>
          <cell r="AB542">
            <v>0.92475067996373528</v>
          </cell>
          <cell r="AC542">
            <v>1.1768667642752564</v>
          </cell>
        </row>
        <row r="543">
          <cell r="C543" t="str">
            <v>当期前期比</v>
          </cell>
          <cell r="D543" t="str">
            <v xml:space="preserve"> </v>
          </cell>
          <cell r="I543" t="str">
            <v>-</v>
          </cell>
          <cell r="J543" t="str">
            <v>-</v>
          </cell>
          <cell r="K543" t="str">
            <v>-</v>
          </cell>
          <cell r="T543">
            <v>0.68243754731264183</v>
          </cell>
          <cell r="U543">
            <v>-0.49542743538767398</v>
          </cell>
          <cell r="V543">
            <v>0.41502590673575135</v>
          </cell>
          <cell r="W543">
            <v>-0.71901012373453321</v>
          </cell>
          <cell r="X543">
            <v>-0.20015760441292352</v>
          </cell>
          <cell r="Y543">
            <v>-1.1358476748443793</v>
          </cell>
          <cell r="Z543">
            <v>-0.48438751000800639</v>
          </cell>
          <cell r="AA543">
            <v>0.8581280788177339</v>
          </cell>
          <cell r="AB543">
            <v>-5.6765498652291102</v>
          </cell>
          <cell r="AC543">
            <v>4.6226708074534164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eetName val="Valuations"/>
      <sheetName val="Five Year Sales &amp; Earnings"/>
      <sheetName val="Qtr Income"/>
      <sheetName val="Qtr Margin"/>
      <sheetName val="Q Preview"/>
      <sheetName val="Qtr Sales"/>
      <sheetName val="Annual Product Sales"/>
      <sheetName val="Annual Prod Sales"/>
      <sheetName val="CF2"/>
      <sheetName val="BS2"/>
      <sheetName val="P&amp;L"/>
      <sheetName val="QTR"/>
      <sheetName val="blank"/>
      <sheetName val="Balance"/>
      <sheetName val="Cash flow"/>
      <sheetName val="IS-COMPS"/>
      <sheetName val="Paul - SEGS-MARGIN"/>
      <sheetName val="CF"/>
      <sheetName val="Qtr Link"/>
      <sheetName val="JV"/>
      <sheetName val="Stat SHeet"/>
      <sheetName val="Qtr detail"/>
      <sheetName val="Rx Data"/>
      <sheetName val="Celexa"/>
      <sheetName val="Disclaimer"/>
      <sheetName val="IndexInformation"/>
      <sheetName val="MainCode"/>
      <sheetName val="NY UPLOAD shadow"/>
      <sheetName val="Module1"/>
      <sheetName val="Module2"/>
      <sheetName val="Module3"/>
      <sheetName val="Key Charts"/>
      <sheetName val="Qrt Sales"/>
      <sheetName val="WLAwork1"/>
      <sheetName val="Enbrel Assumptions"/>
    </sheetNames>
    <sheetDataSet>
      <sheetData sheetId="0" refreshError="1"/>
      <sheetData sheetId="1" refreshError="1"/>
      <sheetData sheetId="2" refreshError="1"/>
      <sheetData sheetId="3" refreshError="1"/>
      <sheetData sheetId="4" refreshError="1"/>
      <sheetData sheetId="5" refreshError="1"/>
      <sheetData sheetId="6" refreshError="1">
        <row r="2">
          <cell r="A2" t="str">
            <v>Table 5</v>
          </cell>
          <cell r="EM2" t="str">
            <v>Table 4 Continued</v>
          </cell>
        </row>
        <row r="3">
          <cell r="EM3" t="str">
            <v>Warner Lambert</v>
          </cell>
        </row>
        <row r="4">
          <cell r="EM4" t="str">
            <v>Quarterly/Annual Sales Analysis 1998-2005E -- Confectionery</v>
          </cell>
        </row>
        <row r="5">
          <cell r="EM5" t="str">
            <v>($ Millions)</v>
          </cell>
        </row>
        <row r="6">
          <cell r="EN6" t="str">
            <v>Bubblicious</v>
          </cell>
          <cell r="ER6" t="str">
            <v>Dentyne</v>
          </cell>
          <cell r="EV6" t="str">
            <v>Bubbaloo</v>
          </cell>
          <cell r="EZ6" t="str">
            <v>Other</v>
          </cell>
          <cell r="FD6" t="str">
            <v>Total</v>
          </cell>
          <cell r="FH6" t="str">
            <v>Total Corporate Sales</v>
          </cell>
        </row>
        <row r="7">
          <cell r="EN7" t="str">
            <v>U.S.</v>
          </cell>
          <cell r="EO7" t="str">
            <v>Intl</v>
          </cell>
          <cell r="EP7" t="str">
            <v>W/W</v>
          </cell>
          <cell r="ER7" t="str">
            <v>U.S.</v>
          </cell>
          <cell r="ES7" t="str">
            <v>Intl</v>
          </cell>
          <cell r="ET7" t="str">
            <v>W/W</v>
          </cell>
          <cell r="EV7" t="str">
            <v>U.S.</v>
          </cell>
          <cell r="EW7" t="str">
            <v>Intl</v>
          </cell>
          <cell r="EX7" t="str">
            <v>W/W</v>
          </cell>
          <cell r="EZ7" t="str">
            <v>U.S.</v>
          </cell>
          <cell r="FA7" t="str">
            <v>Intl</v>
          </cell>
          <cell r="FB7" t="str">
            <v>W/W</v>
          </cell>
          <cell r="FD7" t="str">
            <v>U.S.</v>
          </cell>
          <cell r="FE7" t="str">
            <v>Intl</v>
          </cell>
          <cell r="FF7" t="str">
            <v>W/W</v>
          </cell>
          <cell r="FH7" t="str">
            <v>U.S.</v>
          </cell>
          <cell r="FI7" t="str">
            <v>Intl</v>
          </cell>
          <cell r="FJ7" t="str">
            <v>W/W</v>
          </cell>
        </row>
        <row r="10">
          <cell r="EM10" t="str">
            <v xml:space="preserve">1994 </v>
          </cell>
        </row>
        <row r="11">
          <cell r="EM11" t="str">
            <v xml:space="preserve"> 1Q</v>
          </cell>
          <cell r="EN11">
            <v>15.1</v>
          </cell>
          <cell r="EO11">
            <v>7.8</v>
          </cell>
          <cell r="EP11">
            <v>22.9</v>
          </cell>
          <cell r="ER11">
            <v>12</v>
          </cell>
          <cell r="ES11">
            <v>9</v>
          </cell>
          <cell r="ET11">
            <v>21</v>
          </cell>
          <cell r="EV11">
            <v>0</v>
          </cell>
          <cell r="EW11">
            <v>9</v>
          </cell>
          <cell r="EX11">
            <v>9</v>
          </cell>
          <cell r="EZ11">
            <v>14.799999999999997</v>
          </cell>
          <cell r="FA11">
            <v>53.499999999999986</v>
          </cell>
          <cell r="FB11">
            <v>68.299999999999983</v>
          </cell>
          <cell r="FD11">
            <v>129.6</v>
          </cell>
          <cell r="FE11">
            <v>280.39999999999998</v>
          </cell>
          <cell r="FF11">
            <v>410</v>
          </cell>
          <cell r="FH11">
            <v>658.6</v>
          </cell>
          <cell r="FI11">
            <v>814.4</v>
          </cell>
          <cell r="FJ11">
            <v>1473</v>
          </cell>
        </row>
        <row r="12">
          <cell r="EM12" t="str">
            <v xml:space="preserve"> 2Q</v>
          </cell>
          <cell r="EN12">
            <v>17.2</v>
          </cell>
          <cell r="EO12">
            <v>11.1</v>
          </cell>
          <cell r="EP12">
            <v>28.299999999999997</v>
          </cell>
          <cell r="ER12">
            <v>15</v>
          </cell>
          <cell r="ES12">
            <v>10</v>
          </cell>
          <cell r="ET12">
            <v>25</v>
          </cell>
          <cell r="EV12">
            <v>0</v>
          </cell>
          <cell r="EW12">
            <v>9</v>
          </cell>
          <cell r="EX12">
            <v>9</v>
          </cell>
          <cell r="EZ12">
            <v>17.799999999999983</v>
          </cell>
          <cell r="FA12">
            <v>49.500000000000028</v>
          </cell>
          <cell r="FB12">
            <v>67.300000000000011</v>
          </cell>
          <cell r="FD12">
            <v>151.19999999999999</v>
          </cell>
          <cell r="FE12">
            <v>285.90000000000003</v>
          </cell>
          <cell r="FF12">
            <v>437.1</v>
          </cell>
          <cell r="FH12">
            <v>723.8</v>
          </cell>
          <cell r="FI12">
            <v>828.40000000000009</v>
          </cell>
          <cell r="FJ12">
            <v>1552.2</v>
          </cell>
        </row>
        <row r="13">
          <cell r="EM13" t="str">
            <v xml:space="preserve"> 3Q</v>
          </cell>
          <cell r="EN13">
            <v>9.1</v>
          </cell>
          <cell r="EO13">
            <v>8.1999999999999993</v>
          </cell>
          <cell r="EP13">
            <v>17.299999999999997</v>
          </cell>
          <cell r="ER13">
            <v>13</v>
          </cell>
          <cell r="ES13">
            <v>10</v>
          </cell>
          <cell r="ET13">
            <v>23</v>
          </cell>
          <cell r="EV13">
            <v>0</v>
          </cell>
          <cell r="EW13">
            <v>11</v>
          </cell>
          <cell r="EX13">
            <v>11</v>
          </cell>
          <cell r="EZ13">
            <v>29.699999999999996</v>
          </cell>
          <cell r="FA13">
            <v>51.500000000000014</v>
          </cell>
          <cell r="FB13">
            <v>81.200000000000017</v>
          </cell>
          <cell r="FD13">
            <v>182.1</v>
          </cell>
          <cell r="FE13">
            <v>270.8</v>
          </cell>
          <cell r="FF13">
            <v>452.9</v>
          </cell>
          <cell r="FH13">
            <v>825.00000000000011</v>
          </cell>
          <cell r="FI13">
            <v>845.90000000000009</v>
          </cell>
          <cell r="FJ13">
            <v>1670.9</v>
          </cell>
        </row>
        <row r="14">
          <cell r="EM14" t="str">
            <v xml:space="preserve"> 4Q</v>
          </cell>
          <cell r="EN14">
            <v>9.6</v>
          </cell>
          <cell r="EO14">
            <v>10.6</v>
          </cell>
          <cell r="EP14">
            <v>20.2</v>
          </cell>
          <cell r="ER14">
            <v>12</v>
          </cell>
          <cell r="ES14">
            <v>11</v>
          </cell>
          <cell r="ET14">
            <v>23</v>
          </cell>
          <cell r="EV14">
            <v>0</v>
          </cell>
          <cell r="EW14">
            <v>14</v>
          </cell>
          <cell r="EX14">
            <v>14</v>
          </cell>
          <cell r="EZ14">
            <v>22.599999999999994</v>
          </cell>
          <cell r="FA14">
            <v>61.199999999999974</v>
          </cell>
          <cell r="FB14">
            <v>83.799999999999969</v>
          </cell>
          <cell r="FD14">
            <v>173.7</v>
          </cell>
          <cell r="FE14">
            <v>337.7</v>
          </cell>
          <cell r="FF14">
            <v>511.4</v>
          </cell>
          <cell r="FH14">
            <v>746.8</v>
          </cell>
          <cell r="FI14">
            <v>974</v>
          </cell>
          <cell r="FJ14">
            <v>1720.8</v>
          </cell>
        </row>
        <row r="16">
          <cell r="EM16" t="str">
            <v>1994</v>
          </cell>
          <cell r="EN16">
            <v>51</v>
          </cell>
          <cell r="EO16">
            <v>37.699999999999996</v>
          </cell>
          <cell r="EP16">
            <v>88.7</v>
          </cell>
          <cell r="ER16">
            <v>52</v>
          </cell>
          <cell r="ES16">
            <v>40</v>
          </cell>
          <cell r="ET16">
            <v>92</v>
          </cell>
          <cell r="EV16">
            <v>0</v>
          </cell>
          <cell r="EW16">
            <v>43</v>
          </cell>
          <cell r="EX16">
            <v>43</v>
          </cell>
          <cell r="EZ16">
            <v>84.899999999999977</v>
          </cell>
          <cell r="FA16">
            <v>215.7</v>
          </cell>
          <cell r="FB16">
            <v>300.59999999999997</v>
          </cell>
          <cell r="FD16">
            <v>636.59999999999991</v>
          </cell>
          <cell r="FE16">
            <v>1174.8</v>
          </cell>
          <cell r="FF16">
            <v>1811.4</v>
          </cell>
          <cell r="FH16">
            <v>2954.2</v>
          </cell>
          <cell r="FI16">
            <v>3462.7000000000003</v>
          </cell>
          <cell r="FJ16">
            <v>6416.9000000000005</v>
          </cell>
        </row>
        <row r="18">
          <cell r="EM18" t="str">
            <v>1995/94 % Change</v>
          </cell>
        </row>
        <row r="19">
          <cell r="EM19" t="str">
            <v xml:space="preserve"> 1Q</v>
          </cell>
          <cell r="EN19">
            <v>5.2980132450331174E-2</v>
          </cell>
          <cell r="EO19">
            <v>0.11538461538461542</v>
          </cell>
          <cell r="EP19">
            <v>7.4235807860262071E-2</v>
          </cell>
          <cell r="ER19">
            <v>-0.25</v>
          </cell>
          <cell r="ES19">
            <v>0</v>
          </cell>
          <cell r="ET19">
            <v>-0.1428571428571429</v>
          </cell>
          <cell r="EV19" t="str">
            <v>NM</v>
          </cell>
          <cell r="EW19">
            <v>0.55555555555555558</v>
          </cell>
          <cell r="EX19">
            <v>0.55555555555555558</v>
          </cell>
          <cell r="EZ19">
            <v>4.4408920985006262E-16</v>
          </cell>
          <cell r="FA19">
            <v>0.19252336448598073</v>
          </cell>
          <cell r="FB19">
            <v>0.15080527086383588</v>
          </cell>
          <cell r="FD19">
            <v>-9.6450617283950657E-2</v>
          </cell>
          <cell r="FE19">
            <v>3.3166904422254007E-2</v>
          </cell>
          <cell r="FF19">
            <v>-7.8048780487806058E-3</v>
          </cell>
          <cell r="FH19">
            <v>3.0367446097783191E-2</v>
          </cell>
          <cell r="FI19">
            <v>0.13670186640471527</v>
          </cell>
          <cell r="FJ19">
            <v>8.9158180583842395E-2</v>
          </cell>
        </row>
        <row r="20">
          <cell r="EM20" t="str">
            <v xml:space="preserve"> 2Q</v>
          </cell>
          <cell r="EN20">
            <v>-0.19186046511627897</v>
          </cell>
          <cell r="EO20">
            <v>9.009009009008917E-3</v>
          </cell>
          <cell r="EP20">
            <v>-0.11307420494699638</v>
          </cell>
          <cell r="ER20">
            <v>-0.19999999999999996</v>
          </cell>
          <cell r="ES20">
            <v>0</v>
          </cell>
          <cell r="ET20">
            <v>-0.12</v>
          </cell>
          <cell r="EV20" t="str">
            <v>NM</v>
          </cell>
          <cell r="EW20">
            <v>1</v>
          </cell>
          <cell r="EX20">
            <v>1</v>
          </cell>
          <cell r="EZ20">
            <v>-0.11235955056179547</v>
          </cell>
          <cell r="FA20">
            <v>0.34343434343434232</v>
          </cell>
          <cell r="FB20">
            <v>0.2228826151560177</v>
          </cell>
          <cell r="FD20">
            <v>-0.12830687830687815</v>
          </cell>
          <cell r="FE20">
            <v>0.14585519412381953</v>
          </cell>
          <cell r="FF20">
            <v>5.1018073667353114E-2</v>
          </cell>
          <cell r="FH20">
            <v>5.8856037579442022E-2</v>
          </cell>
          <cell r="FI20">
            <v>0.24725977788507958</v>
          </cell>
          <cell r="FJ20">
            <v>0.15940600438087871</v>
          </cell>
        </row>
        <row r="21">
          <cell r="EM21" t="str">
            <v xml:space="preserve"> 3Q</v>
          </cell>
          <cell r="EN21">
            <v>0.23076923076923084</v>
          </cell>
          <cell r="EO21">
            <v>0.19512195121951237</v>
          </cell>
          <cell r="EP21">
            <v>0.21387283236994237</v>
          </cell>
          <cell r="ER21">
            <v>-0.30000000000000004</v>
          </cell>
          <cell r="ES21">
            <v>0.10000000000000009</v>
          </cell>
          <cell r="ET21">
            <v>-0.12608695652173907</v>
          </cell>
          <cell r="EV21" t="str">
            <v>NM</v>
          </cell>
          <cell r="EW21">
            <v>0.81818181818181812</v>
          </cell>
          <cell r="EX21">
            <v>0.81818181818181812</v>
          </cell>
          <cell r="EZ21">
            <v>-8.0808080808080995E-2</v>
          </cell>
          <cell r="FA21">
            <v>0.13980582524271767</v>
          </cell>
          <cell r="FB21">
            <v>5.9113300492610321E-2</v>
          </cell>
          <cell r="FD21">
            <v>-5.4914881933003867E-2</v>
          </cell>
          <cell r="FE21">
            <v>0.16248153618906946</v>
          </cell>
          <cell r="FF21">
            <v>7.5071759770368729E-2</v>
          </cell>
          <cell r="FH21">
            <v>-2.6666666666666838E-2</v>
          </cell>
          <cell r="FI21">
            <v>0.15013594987587164</v>
          </cell>
          <cell r="FJ21">
            <v>6.2840385421030431E-2</v>
          </cell>
        </row>
        <row r="22">
          <cell r="EM22" t="str">
            <v xml:space="preserve"> 4Q</v>
          </cell>
          <cell r="EN22">
            <v>0.11458333333333326</v>
          </cell>
          <cell r="EO22">
            <v>8.4905660377358583E-2</v>
          </cell>
          <cell r="EP22">
            <v>9.9009900990099098E-2</v>
          </cell>
          <cell r="ER22">
            <v>-0.16666666666666663</v>
          </cell>
          <cell r="ES22">
            <v>9.0909090909090828E-2</v>
          </cell>
          <cell r="ET22">
            <v>-4.3478260869565188E-2</v>
          </cell>
          <cell r="EV22" t="str">
            <v>NM</v>
          </cell>
          <cell r="EW22">
            <v>0.71428571428571419</v>
          </cell>
          <cell r="EX22">
            <v>0.71428571428571419</v>
          </cell>
          <cell r="EZ22">
            <v>-4.4247787610617317E-3</v>
          </cell>
          <cell r="FA22">
            <v>6.6993464052287788E-2</v>
          </cell>
          <cell r="FB22">
            <v>4.7732696897374804E-2</v>
          </cell>
          <cell r="FD22">
            <v>-5.526770293609673E-2</v>
          </cell>
          <cell r="FE22">
            <v>0.12289013917678404</v>
          </cell>
          <cell r="FF22">
            <v>6.2377786468517771E-2</v>
          </cell>
          <cell r="FH22">
            <v>3.6957686127477185E-2</v>
          </cell>
          <cell r="FI22">
            <v>0.11447638603696109</v>
          </cell>
          <cell r="FJ22">
            <v>8.0834495583449684E-2</v>
          </cell>
        </row>
        <row r="24">
          <cell r="EM24" t="str">
            <v>1995/94</v>
          </cell>
          <cell r="EN24">
            <v>1.3725490196078383E-2</v>
          </cell>
          <cell r="EO24">
            <v>9.2838196286472385E-2</v>
          </cell>
          <cell r="EP24">
            <v>4.7350620067643678E-2</v>
          </cell>
          <cell r="ER24">
            <v>-0.22884615384615381</v>
          </cell>
          <cell r="ES24">
            <v>5.0000000000000044E-2</v>
          </cell>
          <cell r="ET24">
            <v>-0.10760869565217401</v>
          </cell>
          <cell r="EV24" t="str">
            <v>NM</v>
          </cell>
          <cell r="EW24">
            <v>0.76744186046511631</v>
          </cell>
          <cell r="EX24">
            <v>0.76744186046511631</v>
          </cell>
          <cell r="EZ24">
            <v>-5.3003533568904082E-2</v>
          </cell>
          <cell r="FA24">
            <v>0.17895224849327751</v>
          </cell>
          <cell r="FB24">
            <v>0.1134397870924817</v>
          </cell>
          <cell r="FD24">
            <v>-8.0898523405592004E-2</v>
          </cell>
          <cell r="FE24">
            <v>0.11618998978549544</v>
          </cell>
          <cell r="FF24">
            <v>4.6925030363254905E-2</v>
          </cell>
          <cell r="FH24">
            <v>2.3085776183061402E-2</v>
          </cell>
          <cell r="FI24">
            <v>0.16018136136540839</v>
          </cell>
          <cell r="FJ24">
            <v>9.7065561252318133E-2</v>
          </cell>
        </row>
        <row r="26">
          <cell r="EM26" t="str">
            <v xml:space="preserve">1995 </v>
          </cell>
        </row>
        <row r="27">
          <cell r="EM27" t="str">
            <v xml:space="preserve"> 1Q</v>
          </cell>
          <cell r="EN27">
            <v>15.9</v>
          </cell>
          <cell r="EO27">
            <v>8.6999999999999993</v>
          </cell>
          <cell r="EP27">
            <v>24.6</v>
          </cell>
          <cell r="ER27">
            <v>9</v>
          </cell>
          <cell r="ES27">
            <v>9</v>
          </cell>
          <cell r="ET27">
            <v>18</v>
          </cell>
          <cell r="EV27">
            <v>0</v>
          </cell>
          <cell r="EW27">
            <v>14</v>
          </cell>
          <cell r="EX27">
            <v>14</v>
          </cell>
          <cell r="EZ27">
            <v>14.800000000000004</v>
          </cell>
          <cell r="FA27">
            <v>63.799999999999955</v>
          </cell>
          <cell r="FB27">
            <v>78.599999999999966</v>
          </cell>
          <cell r="FD27">
            <v>117.1</v>
          </cell>
          <cell r="FE27">
            <v>289.7</v>
          </cell>
          <cell r="FF27">
            <v>406.79999999999995</v>
          </cell>
          <cell r="FH27">
            <v>678.6</v>
          </cell>
          <cell r="FI27">
            <v>925.73</v>
          </cell>
          <cell r="FJ27">
            <v>1604.33</v>
          </cell>
        </row>
        <row r="28">
          <cell r="EM28" t="str">
            <v xml:space="preserve"> 2Q</v>
          </cell>
          <cell r="EN28">
            <v>13.9</v>
          </cell>
          <cell r="EO28">
            <v>11.2</v>
          </cell>
          <cell r="EP28">
            <v>25.1</v>
          </cell>
          <cell r="ER28">
            <v>12</v>
          </cell>
          <cell r="ES28">
            <v>10</v>
          </cell>
          <cell r="ET28">
            <v>22</v>
          </cell>
          <cell r="EV28">
            <v>0</v>
          </cell>
          <cell r="EW28">
            <v>18</v>
          </cell>
          <cell r="EX28">
            <v>18</v>
          </cell>
          <cell r="EZ28">
            <v>15.800000000000026</v>
          </cell>
          <cell r="FA28">
            <v>66.499999999999986</v>
          </cell>
          <cell r="FB28">
            <v>82.300000000000011</v>
          </cell>
          <cell r="FD28">
            <v>131.80000000000001</v>
          </cell>
          <cell r="FE28">
            <v>327.60000000000002</v>
          </cell>
          <cell r="FF28">
            <v>459.40000000000003</v>
          </cell>
          <cell r="FH28">
            <v>766.40000000000009</v>
          </cell>
          <cell r="FI28">
            <v>1033.23</v>
          </cell>
          <cell r="FJ28">
            <v>1799.63</v>
          </cell>
        </row>
        <row r="29">
          <cell r="EM29" t="str">
            <v xml:space="preserve"> 3Q</v>
          </cell>
          <cell r="EN29">
            <v>11.2</v>
          </cell>
          <cell r="EO29">
            <v>9.8000000000000007</v>
          </cell>
          <cell r="EP29">
            <v>21</v>
          </cell>
          <cell r="ER29">
            <v>9.1</v>
          </cell>
          <cell r="ES29">
            <v>11</v>
          </cell>
          <cell r="ET29">
            <v>20.100000000000001</v>
          </cell>
          <cell r="EV29">
            <v>0</v>
          </cell>
          <cell r="EW29">
            <v>20</v>
          </cell>
          <cell r="EX29">
            <v>20</v>
          </cell>
          <cell r="EZ29">
            <v>27.29999999999999</v>
          </cell>
          <cell r="FA29">
            <v>58.699999999999974</v>
          </cell>
          <cell r="FB29">
            <v>85.999999999999972</v>
          </cell>
          <cell r="FD29">
            <v>172.1</v>
          </cell>
          <cell r="FE29">
            <v>314.8</v>
          </cell>
          <cell r="FF29">
            <v>486.9</v>
          </cell>
          <cell r="FH29">
            <v>803</v>
          </cell>
          <cell r="FI29">
            <v>972.89999999999986</v>
          </cell>
          <cell r="FJ29">
            <v>1775.8999999999999</v>
          </cell>
        </row>
        <row r="30">
          <cell r="EM30" t="str">
            <v xml:space="preserve"> 4Q</v>
          </cell>
          <cell r="EN30">
            <v>10.7</v>
          </cell>
          <cell r="EO30">
            <v>11.5</v>
          </cell>
          <cell r="EP30">
            <v>22.2</v>
          </cell>
          <cell r="ER30">
            <v>10</v>
          </cell>
          <cell r="ES30">
            <v>12</v>
          </cell>
          <cell r="ET30">
            <v>22</v>
          </cell>
          <cell r="EV30">
            <v>0</v>
          </cell>
          <cell r="EW30">
            <v>24</v>
          </cell>
          <cell r="EX30">
            <v>24</v>
          </cell>
          <cell r="EZ30">
            <v>22.5</v>
          </cell>
          <cell r="FA30">
            <v>65.299999999999983</v>
          </cell>
          <cell r="FB30">
            <v>87.799999999999983</v>
          </cell>
          <cell r="FD30">
            <v>164.1</v>
          </cell>
          <cell r="FE30">
            <v>379.2</v>
          </cell>
          <cell r="FF30">
            <v>543.29999999999995</v>
          </cell>
          <cell r="FH30">
            <v>774.4</v>
          </cell>
          <cell r="FI30">
            <v>1085.5</v>
          </cell>
          <cell r="FJ30">
            <v>1859.9</v>
          </cell>
        </row>
        <row r="32">
          <cell r="EM32" t="str">
            <v xml:space="preserve">1995 </v>
          </cell>
          <cell r="EN32">
            <v>51.7</v>
          </cell>
          <cell r="EO32">
            <v>41.2</v>
          </cell>
          <cell r="EP32">
            <v>92.9</v>
          </cell>
          <cell r="ER32">
            <v>40.1</v>
          </cell>
          <cell r="ES32">
            <v>42</v>
          </cell>
          <cell r="ET32">
            <v>82.1</v>
          </cell>
          <cell r="EV32">
            <v>0</v>
          </cell>
          <cell r="EW32">
            <v>76</v>
          </cell>
          <cell r="EX32">
            <v>76</v>
          </cell>
          <cell r="EZ32">
            <v>80.40000000000002</v>
          </cell>
          <cell r="FA32">
            <v>254.29999999999993</v>
          </cell>
          <cell r="FB32">
            <v>334.69999999999993</v>
          </cell>
          <cell r="FD32">
            <v>585.1</v>
          </cell>
          <cell r="FE32">
            <v>1311.3</v>
          </cell>
          <cell r="FF32">
            <v>1896.3999999999999</v>
          </cell>
          <cell r="FH32">
            <v>3022.4</v>
          </cell>
          <cell r="FI32">
            <v>4017.3599999999997</v>
          </cell>
          <cell r="FJ32">
            <v>7039.76</v>
          </cell>
        </row>
        <row r="34">
          <cell r="EM34" t="str">
            <v xml:space="preserve">1996/95 </v>
          </cell>
        </row>
        <row r="35">
          <cell r="EM35" t="str">
            <v xml:space="preserve"> 1Q</v>
          </cell>
          <cell r="EN35">
            <v>-2.515723270440251E-2</v>
          </cell>
          <cell r="EO35">
            <v>-9.1954022988505635E-2</v>
          </cell>
          <cell r="EP35">
            <v>-4.8780487804878203E-2</v>
          </cell>
          <cell r="ER35">
            <v>-2.2222222222222143E-2</v>
          </cell>
          <cell r="ES35">
            <v>0.29999999999999982</v>
          </cell>
          <cell r="ET35">
            <v>0.13888888888888884</v>
          </cell>
          <cell r="EV35" t="str">
            <v>NM</v>
          </cell>
          <cell r="EW35">
            <v>0.56428571428571428</v>
          </cell>
          <cell r="EX35">
            <v>0.56428571428571428</v>
          </cell>
          <cell r="EZ35">
            <v>0.12837837837837851</v>
          </cell>
          <cell r="FA35">
            <v>-0.14122257053291454</v>
          </cell>
          <cell r="FB35">
            <v>-9.0458015267174896E-2</v>
          </cell>
          <cell r="FD35">
            <v>0.10589239965841157</v>
          </cell>
          <cell r="FE35">
            <v>0.17224715222644127</v>
          </cell>
          <cell r="FF35">
            <v>0.15314650934119989</v>
          </cell>
          <cell r="FH35">
            <v>0.15384615384615374</v>
          </cell>
          <cell r="FI35">
            <v>0.1301351365949035</v>
          </cell>
          <cell r="FJ35">
            <v>0.14016443001128209</v>
          </cell>
        </row>
        <row r="36">
          <cell r="EM36" t="str">
            <v xml:space="preserve"> 2Q</v>
          </cell>
          <cell r="EN36">
            <v>0.19424460431654689</v>
          </cell>
          <cell r="EO36">
            <v>-0.2767857142857143</v>
          </cell>
          <cell r="EP36">
            <v>-1.5936254980079667E-2</v>
          </cell>
          <cell r="ER36">
            <v>-0.125</v>
          </cell>
          <cell r="ES36">
            <v>0.29000000000000004</v>
          </cell>
          <cell r="ET36">
            <v>6.3636363636363491E-2</v>
          </cell>
          <cell r="EV36" t="str">
            <v>NM</v>
          </cell>
          <cell r="EW36">
            <v>-5.555555555555558E-2</v>
          </cell>
          <cell r="EX36">
            <v>-5.555555555555558E-2</v>
          </cell>
          <cell r="EZ36">
            <v>3.7974683544301557E-2</v>
          </cell>
          <cell r="FA36">
            <v>-0.184962406015037</v>
          </cell>
          <cell r="FB36">
            <v>-0.14216281895504235</v>
          </cell>
          <cell r="FD36">
            <v>4.7799696509863265E-2</v>
          </cell>
          <cell r="FE36">
            <v>-9.157509157509125E-4</v>
          </cell>
          <cell r="FF36">
            <v>1.3060513713539335E-2</v>
          </cell>
          <cell r="FH36">
            <v>1.1090814196242027E-2</v>
          </cell>
          <cell r="FI36">
            <v>-1.6385509518693886E-2</v>
          </cell>
          <cell r="FJ36">
            <v>-4.6842962164446167E-3</v>
          </cell>
        </row>
        <row r="37">
          <cell r="EM37" t="str">
            <v xml:space="preserve"> 3Q</v>
          </cell>
          <cell r="EN37">
            <v>1.7857142857143016E-2</v>
          </cell>
          <cell r="EO37">
            <v>-0.18367346938775519</v>
          </cell>
          <cell r="EP37">
            <v>-7.6190476190476253E-2</v>
          </cell>
          <cell r="ER37">
            <v>1.098901098901095E-2</v>
          </cell>
          <cell r="ES37">
            <v>0.15454545454545454</v>
          </cell>
          <cell r="ET37">
            <v>8.9552238805969964E-2</v>
          </cell>
          <cell r="EV37" t="str">
            <v>NM</v>
          </cell>
          <cell r="EW37">
            <v>-5.0000000000000044E-2</v>
          </cell>
          <cell r="EX37">
            <v>-5.0000000000000044E-2</v>
          </cell>
          <cell r="EZ37">
            <v>-0.24542124542124499</v>
          </cell>
          <cell r="FA37">
            <v>-0.21124361158432681</v>
          </cell>
          <cell r="FB37">
            <v>-0.22209302325581359</v>
          </cell>
          <cell r="FD37">
            <v>-9.0644973852411326E-2</v>
          </cell>
          <cell r="FE37">
            <v>5.0825921219821435E-3</v>
          </cell>
          <cell r="FF37">
            <v>-2.8753337440952986E-2</v>
          </cell>
          <cell r="FH37">
            <v>6.6002490660024282E-3</v>
          </cell>
          <cell r="FI37">
            <v>-1.3464898756295529E-2</v>
          </cell>
          <cell r="FJ37">
            <v>-4.3921391970268564E-3</v>
          </cell>
        </row>
        <row r="38">
          <cell r="EM38" t="str">
            <v xml:space="preserve"> 4Q</v>
          </cell>
          <cell r="EN38">
            <v>0.11214953271028039</v>
          </cell>
          <cell r="EO38">
            <v>-0.13043478260869568</v>
          </cell>
          <cell r="EP38">
            <v>-1.3513513513513598E-2</v>
          </cell>
          <cell r="ER38">
            <v>-0.13000000000000012</v>
          </cell>
          <cell r="ES38">
            <v>0.16666666666666674</v>
          </cell>
          <cell r="ET38">
            <v>3.1818181818181746E-2</v>
          </cell>
          <cell r="EV38" t="str">
            <v>NM</v>
          </cell>
          <cell r="EW38">
            <v>-0.24583333333333324</v>
          </cell>
          <cell r="EX38">
            <v>-0.24583333333333324</v>
          </cell>
          <cell r="EZ38">
            <v>-0.21333333333333271</v>
          </cell>
          <cell r="FA38">
            <v>-0.2404287901990807</v>
          </cell>
          <cell r="FB38">
            <v>-0.23348519362186748</v>
          </cell>
          <cell r="FD38">
            <v>7.3126142595978383E-3</v>
          </cell>
          <cell r="FE38">
            <v>-5.959915611814337E-2</v>
          </cell>
          <cell r="FF38">
            <v>-3.9388919565617297E-2</v>
          </cell>
          <cell r="FH38">
            <v>4.2613636363636243E-2</v>
          </cell>
          <cell r="FI38">
            <v>-4.6061722708429342E-2</v>
          </cell>
          <cell r="FJ38">
            <v>-9.1402763589440994E-3</v>
          </cell>
        </row>
        <row r="40">
          <cell r="EM40" t="str">
            <v>1996/95</v>
          </cell>
          <cell r="EN40">
            <v>7.1566731141199158E-2</v>
          </cell>
          <cell r="EO40">
            <v>-0.17475728155339809</v>
          </cell>
          <cell r="EP40">
            <v>-3.7674919268030127E-2</v>
          </cell>
          <cell r="ER40">
            <v>-7.2319201995012405E-2</v>
          </cell>
          <cell r="ES40">
            <v>0.22142857142857131</v>
          </cell>
          <cell r="ET40">
            <v>7.795371498172976E-2</v>
          </cell>
          <cell r="EV40" t="str">
            <v>NM</v>
          </cell>
          <cell r="EW40">
            <v>0</v>
          </cell>
          <cell r="EX40">
            <v>0</v>
          </cell>
          <cell r="EZ40">
            <v>-0.11194029850746268</v>
          </cell>
          <cell r="FA40">
            <v>-0.19429807314195791</v>
          </cell>
          <cell r="FB40">
            <v>-0.17451449058858637</v>
          </cell>
          <cell r="FD40">
            <v>7.3491710818665013E-3</v>
          </cell>
          <cell r="FE40">
            <v>2.1810417143293126E-2</v>
          </cell>
          <cell r="FF40">
            <v>1.7348660620122525E-2</v>
          </cell>
          <cell r="FH40">
            <v>5.0026469031233312E-2</v>
          </cell>
          <cell r="FI40">
            <v>1.0066312205030403E-2</v>
          </cell>
          <cell r="FJ40">
            <v>2.7222518949509666E-2</v>
          </cell>
        </row>
        <row r="42">
          <cell r="EM42" t="str">
            <v>1996</v>
          </cell>
        </row>
        <row r="43">
          <cell r="EM43" t="str">
            <v xml:space="preserve"> 1Q</v>
          </cell>
          <cell r="EN43">
            <v>15.5</v>
          </cell>
          <cell r="EO43">
            <v>7.9</v>
          </cell>
          <cell r="EP43">
            <v>23.4</v>
          </cell>
          <cell r="ER43">
            <v>8.8000000000000007</v>
          </cell>
          <cell r="ES43">
            <v>11.7</v>
          </cell>
          <cell r="ET43">
            <v>20.5</v>
          </cell>
          <cell r="EV43">
            <v>0</v>
          </cell>
          <cell r="EW43">
            <v>21.9</v>
          </cell>
          <cell r="EX43">
            <v>21.9</v>
          </cell>
          <cell r="EZ43">
            <v>16.700000000000006</v>
          </cell>
          <cell r="FA43">
            <v>54.790000000000013</v>
          </cell>
          <cell r="FB43">
            <v>71.490000000000023</v>
          </cell>
          <cell r="FD43">
            <v>129.5</v>
          </cell>
          <cell r="FE43">
            <v>339.6</v>
          </cell>
          <cell r="FF43">
            <v>469.1</v>
          </cell>
          <cell r="FH43">
            <v>783</v>
          </cell>
          <cell r="FI43">
            <v>1046.2</v>
          </cell>
          <cell r="FJ43">
            <v>1829.2</v>
          </cell>
        </row>
        <row r="44">
          <cell r="EM44" t="str">
            <v xml:space="preserve"> 2Q</v>
          </cell>
          <cell r="EN44">
            <v>16.600000000000001</v>
          </cell>
          <cell r="EO44">
            <v>8.1</v>
          </cell>
          <cell r="EP44">
            <v>24.700000000000003</v>
          </cell>
          <cell r="ER44">
            <v>10.5</v>
          </cell>
          <cell r="ES44">
            <v>12.9</v>
          </cell>
          <cell r="ET44">
            <v>23.4</v>
          </cell>
          <cell r="EV44">
            <v>0</v>
          </cell>
          <cell r="EW44">
            <v>17</v>
          </cell>
          <cell r="EX44">
            <v>17</v>
          </cell>
          <cell r="EZ44">
            <v>16.399999999999991</v>
          </cell>
          <cell r="FA44">
            <v>54.200000000000031</v>
          </cell>
          <cell r="FB44">
            <v>70.600000000000023</v>
          </cell>
          <cell r="FD44">
            <v>138.1</v>
          </cell>
          <cell r="FE44">
            <v>327.3</v>
          </cell>
          <cell r="FF44">
            <v>465.4</v>
          </cell>
          <cell r="FH44">
            <v>774.9</v>
          </cell>
          <cell r="FI44">
            <v>1016.3</v>
          </cell>
          <cell r="FJ44">
            <v>1791.1999999999998</v>
          </cell>
        </row>
        <row r="45">
          <cell r="EM45" t="str">
            <v xml:space="preserve"> 3Q</v>
          </cell>
          <cell r="EN45">
            <v>11.4</v>
          </cell>
          <cell r="EO45">
            <v>8</v>
          </cell>
          <cell r="EP45">
            <v>19.399999999999999</v>
          </cell>
          <cell r="ER45">
            <v>9.1999999999999993</v>
          </cell>
          <cell r="ES45">
            <v>12.7</v>
          </cell>
          <cell r="ET45">
            <v>21.9</v>
          </cell>
          <cell r="EV45">
            <v>0</v>
          </cell>
          <cell r="EW45">
            <v>19</v>
          </cell>
          <cell r="EX45">
            <v>19</v>
          </cell>
          <cell r="EZ45">
            <v>20.600000000000005</v>
          </cell>
          <cell r="FA45">
            <v>46.3</v>
          </cell>
          <cell r="FB45">
            <v>66.900000000000006</v>
          </cell>
          <cell r="FD45">
            <v>156.5</v>
          </cell>
          <cell r="FE45">
            <v>316.39999999999998</v>
          </cell>
          <cell r="FF45">
            <v>472.9</v>
          </cell>
          <cell r="FH45">
            <v>808.3</v>
          </cell>
          <cell r="FI45">
            <v>959.8</v>
          </cell>
          <cell r="FJ45">
            <v>1768.1</v>
          </cell>
        </row>
        <row r="46">
          <cell r="EM46" t="str">
            <v xml:space="preserve"> 4Q</v>
          </cell>
          <cell r="EN46">
            <v>11.9</v>
          </cell>
          <cell r="EO46">
            <v>10</v>
          </cell>
          <cell r="EP46">
            <v>21.9</v>
          </cell>
          <cell r="ER46">
            <v>8.6999999999999993</v>
          </cell>
          <cell r="ES46">
            <v>14</v>
          </cell>
          <cell r="ET46">
            <v>22.7</v>
          </cell>
          <cell r="EV46">
            <v>0</v>
          </cell>
          <cell r="EW46">
            <v>18.100000000000001</v>
          </cell>
          <cell r="EX46">
            <v>18.100000000000001</v>
          </cell>
          <cell r="EZ46">
            <v>17.700000000000014</v>
          </cell>
          <cell r="FA46">
            <v>49.600000000000016</v>
          </cell>
          <cell r="FB46">
            <v>67.300000000000026</v>
          </cell>
          <cell r="FD46">
            <v>165.3</v>
          </cell>
          <cell r="FE46">
            <v>356.6</v>
          </cell>
          <cell r="FF46">
            <v>521.90000000000009</v>
          </cell>
          <cell r="FH46">
            <v>807.39999999999986</v>
          </cell>
          <cell r="FI46">
            <v>1035.5</v>
          </cell>
          <cell r="FJ46">
            <v>1842.8999999999999</v>
          </cell>
        </row>
        <row r="48">
          <cell r="EM48" t="str">
            <v>1996</v>
          </cell>
          <cell r="EN48">
            <v>55.4</v>
          </cell>
          <cell r="EO48">
            <v>34</v>
          </cell>
          <cell r="EP48">
            <v>89.4</v>
          </cell>
          <cell r="ER48">
            <v>37.200000000000003</v>
          </cell>
          <cell r="ES48">
            <v>51.3</v>
          </cell>
          <cell r="ET48">
            <v>88.5</v>
          </cell>
          <cell r="EV48">
            <v>0</v>
          </cell>
          <cell r="EW48">
            <v>76</v>
          </cell>
          <cell r="EX48">
            <v>76</v>
          </cell>
          <cell r="EZ48">
            <v>71.40000000000002</v>
          </cell>
          <cell r="FA48">
            <v>204.89000000000004</v>
          </cell>
          <cell r="FB48">
            <v>276.29000000000008</v>
          </cell>
          <cell r="FD48">
            <v>589.40000000000009</v>
          </cell>
          <cell r="FE48">
            <v>1339.9</v>
          </cell>
          <cell r="FF48">
            <v>1929.3000000000002</v>
          </cell>
          <cell r="FH48">
            <v>3173.5999999999995</v>
          </cell>
          <cell r="FI48">
            <v>4057.8</v>
          </cell>
          <cell r="FJ48">
            <v>7231.4</v>
          </cell>
        </row>
        <row r="50">
          <cell r="EM50" t="str">
            <v xml:space="preserve">1997/96 </v>
          </cell>
        </row>
        <row r="51">
          <cell r="EM51" t="str">
            <v xml:space="preserve"> 1Q</v>
          </cell>
          <cell r="EN51">
            <v>-0.18709677419354842</v>
          </cell>
          <cell r="EO51">
            <v>-3.7974683544303889E-2</v>
          </cell>
          <cell r="EP51">
            <v>-0.13675213675213671</v>
          </cell>
          <cell r="ER51">
            <v>0.72727272727272707</v>
          </cell>
          <cell r="ES51">
            <v>0.11965811965811968</v>
          </cell>
          <cell r="ET51">
            <v>0.38048780487804867</v>
          </cell>
          <cell r="EV51" t="str">
            <v>NM</v>
          </cell>
          <cell r="EW51">
            <v>-5.9360730593607136E-2</v>
          </cell>
          <cell r="EX51">
            <v>-5.9360730593607136E-2</v>
          </cell>
          <cell r="EZ51">
            <v>0.17365269461077748</v>
          </cell>
          <cell r="FA51">
            <v>-0.36302244935207129</v>
          </cell>
          <cell r="FB51">
            <v>-0.23765561617009379</v>
          </cell>
          <cell r="FD51">
            <v>-7.7220077220077066E-3</v>
          </cell>
          <cell r="FE51">
            <v>-0.11484098939929333</v>
          </cell>
          <cell r="FF51">
            <v>-8.5269665316563659E-2</v>
          </cell>
          <cell r="FH51">
            <v>5.6960408684546548E-2</v>
          </cell>
          <cell r="FI51">
            <v>-9.2142993691454733E-2</v>
          </cell>
          <cell r="FJ51">
            <v>-2.8318390553247252E-2</v>
          </cell>
        </row>
        <row r="52">
          <cell r="EM52" t="str">
            <v xml:space="preserve"> 2Q</v>
          </cell>
          <cell r="EN52">
            <v>6.0240963855420215E-3</v>
          </cell>
          <cell r="EO52">
            <v>-8.6419753086419693E-2</v>
          </cell>
          <cell r="EP52">
            <v>-2.4291497975708509E-2</v>
          </cell>
          <cell r="ER52">
            <v>0.31428571428571428</v>
          </cell>
          <cell r="ES52">
            <v>0.17829457364341073</v>
          </cell>
          <cell r="ET52">
            <v>0.23931623931623935</v>
          </cell>
          <cell r="EV52" t="str">
            <v>NM</v>
          </cell>
          <cell r="EW52">
            <v>0.43529411764705883</v>
          </cell>
          <cell r="EX52">
            <v>0.43529411764705883</v>
          </cell>
          <cell r="EZ52">
            <v>-0.12804878048780499</v>
          </cell>
          <cell r="FA52">
            <v>-0.14575645756457711</v>
          </cell>
          <cell r="FB52">
            <v>-0.14164305949008615</v>
          </cell>
          <cell r="FD52">
            <v>4.9963794351918889E-2</v>
          </cell>
          <cell r="FE52">
            <v>-1.5582034830430858E-2</v>
          </cell>
          <cell r="FF52">
            <v>3.8676407391491363E-3</v>
          </cell>
          <cell r="FH52">
            <v>0.2238998580461995</v>
          </cell>
          <cell r="FI52">
            <v>2.0663190002954135E-3</v>
          </cell>
          <cell r="FJ52">
            <v>9.8034836980795292E-2</v>
          </cell>
        </row>
        <row r="53">
          <cell r="EM53" t="str">
            <v xml:space="preserve"> 3Q</v>
          </cell>
          <cell r="EN53">
            <v>0.13157894736842102</v>
          </cell>
          <cell r="EO53">
            <v>-5.0000000000000044E-2</v>
          </cell>
          <cell r="EP53">
            <v>5.6701030927835072E-2</v>
          </cell>
          <cell r="ER53">
            <v>0.92391304347826098</v>
          </cell>
          <cell r="ES53">
            <v>-5.5118110236220375E-2</v>
          </cell>
          <cell r="ET53">
            <v>0.35616438356164393</v>
          </cell>
          <cell r="EV53" t="str">
            <v>NM</v>
          </cell>
          <cell r="EW53">
            <v>0.28947368421052633</v>
          </cell>
          <cell r="EX53">
            <v>0.28947368421052633</v>
          </cell>
          <cell r="EZ53">
            <v>0.2135922330097082</v>
          </cell>
          <cell r="FA53">
            <v>-0.10799136069114446</v>
          </cell>
          <cell r="FB53">
            <v>-8.9686098654707669E-3</v>
          </cell>
          <cell r="FD53">
            <v>0.15974440894568698</v>
          </cell>
          <cell r="FE53">
            <v>-2.970922882427296E-2</v>
          </cell>
          <cell r="FF53">
            <v>3.2987946711778404E-2</v>
          </cell>
          <cell r="FH53">
            <v>0.39762464431522959</v>
          </cell>
          <cell r="FI53">
            <v>1.9483225672014992E-2</v>
          </cell>
          <cell r="FJ53">
            <v>0.19235337367795946</v>
          </cell>
        </row>
        <row r="54">
          <cell r="EM54" t="str">
            <v xml:space="preserve"> 4Q</v>
          </cell>
          <cell r="EN54">
            <v>-0.30252100840336127</v>
          </cell>
          <cell r="EO54">
            <v>-0.38</v>
          </cell>
          <cell r="EP54">
            <v>-0.33789954337899542</v>
          </cell>
          <cell r="ER54">
            <v>0.931034482758621</v>
          </cell>
          <cell r="ES54">
            <v>-2.1428571428571463E-2</v>
          </cell>
          <cell r="ET54">
            <v>0.34361233480176212</v>
          </cell>
          <cell r="EV54" t="str">
            <v>NM</v>
          </cell>
          <cell r="EW54">
            <v>9.3922651933701529E-2</v>
          </cell>
          <cell r="EX54">
            <v>0.11049723756906071</v>
          </cell>
          <cell r="EZ54">
            <v>0.1977401129943499</v>
          </cell>
          <cell r="FA54">
            <v>-0.2883064516129038</v>
          </cell>
          <cell r="FB54">
            <v>-0.16047548291233327</v>
          </cell>
          <cell r="FD54">
            <v>9.1954022988505635E-2</v>
          </cell>
          <cell r="FE54">
            <v>-0.14974761637689293</v>
          </cell>
          <cell r="FF54">
            <v>-7.3194098486300208E-2</v>
          </cell>
          <cell r="FH54">
            <v>0.60589546693088936</v>
          </cell>
          <cell r="FI54">
            <v>-4.6354418155479804E-3</v>
          </cell>
          <cell r="FJ54">
            <v>0.26284660046665609</v>
          </cell>
        </row>
        <row r="56">
          <cell r="EM56" t="str">
            <v>Year</v>
          </cell>
          <cell r="EN56">
            <v>-8.8447653429602813E-2</v>
          </cell>
          <cell r="EO56">
            <v>-0.15294117647058825</v>
          </cell>
          <cell r="EP56">
            <v>-0.11297539149888147</v>
          </cell>
          <cell r="ER56">
            <v>0.70698924731182777</v>
          </cell>
          <cell r="ES56">
            <v>5.2631578947368585E-2</v>
          </cell>
          <cell r="ET56">
            <v>0.32768361581920913</v>
          </cell>
          <cell r="EV56" t="str">
            <v>NM</v>
          </cell>
          <cell r="EW56">
            <v>0.17500000000000004</v>
          </cell>
          <cell r="EX56">
            <v>0.17894736842105252</v>
          </cell>
          <cell r="EZ56">
            <v>0.12184873949579789</v>
          </cell>
          <cell r="FA56">
            <v>-0.22983064083166616</v>
          </cell>
          <cell r="FB56">
            <v>-0.13894820659452056</v>
          </cell>
          <cell r="FD56">
            <v>7.8215134034611333E-2</v>
          </cell>
          <cell r="FE56">
            <v>-7.9782073289051514E-2</v>
          </cell>
          <cell r="FF56">
            <v>-3.1514020629243911E-2</v>
          </cell>
          <cell r="FH56">
            <v>0.32414292916561638</v>
          </cell>
          <cell r="FI56">
            <v>-1.9813692148454742E-2</v>
          </cell>
          <cell r="FJ56">
            <v>0.13113643277926812</v>
          </cell>
        </row>
        <row r="58">
          <cell r="EM58" t="str">
            <v>1997</v>
          </cell>
        </row>
        <row r="59">
          <cell r="EM59" t="str">
            <v xml:space="preserve"> 1Q</v>
          </cell>
          <cell r="EN59">
            <v>12.6</v>
          </cell>
          <cell r="EO59">
            <v>7.6</v>
          </cell>
          <cell r="EP59">
            <v>20.2</v>
          </cell>
          <cell r="ER59">
            <v>15.2</v>
          </cell>
          <cell r="ES59">
            <v>13.1</v>
          </cell>
          <cell r="ET59">
            <v>28.299999999999997</v>
          </cell>
          <cell r="EV59">
            <v>0</v>
          </cell>
          <cell r="EW59">
            <v>20.6</v>
          </cell>
          <cell r="EX59">
            <v>20.6</v>
          </cell>
          <cell r="EZ59">
            <v>19.599999999999991</v>
          </cell>
          <cell r="FA59">
            <v>34.90000000000002</v>
          </cell>
          <cell r="FB59">
            <v>54.500000000000014</v>
          </cell>
          <cell r="FD59">
            <v>128.5</v>
          </cell>
          <cell r="FE59">
            <v>300.60000000000002</v>
          </cell>
          <cell r="FF59">
            <v>429.1</v>
          </cell>
          <cell r="FH59">
            <v>827.6</v>
          </cell>
          <cell r="FI59">
            <v>949.80000000000007</v>
          </cell>
          <cell r="FJ59">
            <v>1777.4</v>
          </cell>
        </row>
        <row r="60">
          <cell r="EM60" t="str">
            <v xml:space="preserve"> 2Q</v>
          </cell>
          <cell r="EN60">
            <v>16.7</v>
          </cell>
          <cell r="EO60">
            <v>7.4</v>
          </cell>
          <cell r="EP60">
            <v>24.1</v>
          </cell>
          <cell r="ER60">
            <v>13.8</v>
          </cell>
          <cell r="ES60">
            <v>15.2</v>
          </cell>
          <cell r="ET60">
            <v>29</v>
          </cell>
          <cell r="EV60">
            <v>0</v>
          </cell>
          <cell r="EW60">
            <v>24.4</v>
          </cell>
          <cell r="EX60">
            <v>24.4</v>
          </cell>
          <cell r="EZ60">
            <v>14.29999999999999</v>
          </cell>
          <cell r="FA60">
            <v>46.299999999999947</v>
          </cell>
          <cell r="FB60">
            <v>60.599999999999937</v>
          </cell>
          <cell r="FD60">
            <v>145</v>
          </cell>
          <cell r="FE60">
            <v>322.2</v>
          </cell>
          <cell r="FF60">
            <v>467.2</v>
          </cell>
          <cell r="FH60">
            <v>948.4</v>
          </cell>
          <cell r="FI60">
            <v>1018.4000000000001</v>
          </cell>
          <cell r="FJ60">
            <v>1966.8000000000002</v>
          </cell>
        </row>
        <row r="61">
          <cell r="EM61" t="str">
            <v xml:space="preserve"> 3Q</v>
          </cell>
          <cell r="EN61">
            <v>12.9</v>
          </cell>
          <cell r="EO61">
            <v>7.6</v>
          </cell>
          <cell r="EP61">
            <v>20.5</v>
          </cell>
          <cell r="ER61">
            <v>17.7</v>
          </cell>
          <cell r="ES61">
            <v>12</v>
          </cell>
          <cell r="ET61">
            <v>29.7</v>
          </cell>
          <cell r="EV61">
            <v>0</v>
          </cell>
          <cell r="EW61">
            <v>24.5</v>
          </cell>
          <cell r="EX61">
            <v>24.5</v>
          </cell>
          <cell r="EZ61">
            <v>24.999999999999996</v>
          </cell>
          <cell r="FA61">
            <v>41.300000000000011</v>
          </cell>
          <cell r="FB61">
            <v>66.300000000000011</v>
          </cell>
          <cell r="FD61">
            <v>181.5</v>
          </cell>
          <cell r="FE61">
            <v>307</v>
          </cell>
          <cell r="FF61">
            <v>488.5</v>
          </cell>
          <cell r="FH61">
            <v>1129.7</v>
          </cell>
          <cell r="FI61">
            <v>978.5</v>
          </cell>
          <cell r="FJ61">
            <v>2108.1999999999998</v>
          </cell>
        </row>
        <row r="62">
          <cell r="EM62" t="str">
            <v xml:space="preserve"> 4Q</v>
          </cell>
          <cell r="EN62">
            <v>8.3000000000000007</v>
          </cell>
          <cell r="EO62">
            <v>6.2</v>
          </cell>
          <cell r="EP62">
            <v>14.5</v>
          </cell>
          <cell r="ER62">
            <v>16.8</v>
          </cell>
          <cell r="ES62">
            <v>13.7</v>
          </cell>
          <cell r="ET62">
            <v>30.5</v>
          </cell>
          <cell r="EV62">
            <v>0.3</v>
          </cell>
          <cell r="EW62">
            <v>19.8</v>
          </cell>
          <cell r="EX62">
            <v>20.100000000000001</v>
          </cell>
          <cell r="EZ62">
            <v>21.20000000000001</v>
          </cell>
          <cell r="FA62">
            <v>35.299999999999983</v>
          </cell>
          <cell r="FB62">
            <v>56.499999999999993</v>
          </cell>
          <cell r="FD62">
            <v>180.5</v>
          </cell>
          <cell r="FE62">
            <v>303.2</v>
          </cell>
          <cell r="FF62">
            <v>483.7</v>
          </cell>
          <cell r="FH62">
            <v>1296.5999999999999</v>
          </cell>
          <cell r="FI62">
            <v>1030.7</v>
          </cell>
          <cell r="FJ62">
            <v>2327.3000000000002</v>
          </cell>
        </row>
        <row r="64">
          <cell r="EM64" t="str">
            <v>Year</v>
          </cell>
          <cell r="EN64">
            <v>50.5</v>
          </cell>
          <cell r="EO64">
            <v>28.8</v>
          </cell>
          <cell r="EP64">
            <v>79.3</v>
          </cell>
          <cell r="ER64">
            <v>63.5</v>
          </cell>
          <cell r="ES64">
            <v>54</v>
          </cell>
          <cell r="ET64">
            <v>117.5</v>
          </cell>
          <cell r="EV64">
            <v>0.3</v>
          </cell>
          <cell r="EW64">
            <v>89.3</v>
          </cell>
          <cell r="EX64">
            <v>89.6</v>
          </cell>
          <cell r="EZ64">
            <v>80.099999999999994</v>
          </cell>
          <cell r="FA64">
            <v>157.79999999999995</v>
          </cell>
          <cell r="FB64">
            <v>237.89999999999998</v>
          </cell>
          <cell r="FD64">
            <v>635.5</v>
          </cell>
          <cell r="FE64">
            <v>1233</v>
          </cell>
          <cell r="FF64">
            <v>1868.5</v>
          </cell>
          <cell r="FH64">
            <v>4202.2999999999993</v>
          </cell>
          <cell r="FI64">
            <v>3977.4000000000005</v>
          </cell>
          <cell r="FJ64">
            <v>8179.7</v>
          </cell>
        </row>
        <row r="66">
          <cell r="EM66" t="str">
            <v>1998/97 % Change</v>
          </cell>
        </row>
        <row r="67">
          <cell r="EM67" t="str">
            <v xml:space="preserve"> 1Q</v>
          </cell>
          <cell r="EN67">
            <v>0.26984126984126977</v>
          </cell>
          <cell r="EO67">
            <v>0.25</v>
          </cell>
          <cell r="EP67">
            <v>0.26237623762376239</v>
          </cell>
          <cell r="ER67">
            <v>0.31578947368421062</v>
          </cell>
          <cell r="ES67">
            <v>-3.0534351145038219E-2</v>
          </cell>
          <cell r="ET67">
            <v>0.15547703180212036</v>
          </cell>
          <cell r="EV67" t="str">
            <v>NM</v>
          </cell>
          <cell r="EW67">
            <v>0.23300970873786397</v>
          </cell>
          <cell r="EX67">
            <v>0.26213592233009697</v>
          </cell>
          <cell r="EZ67">
            <v>-0.28061224489795866</v>
          </cell>
          <cell r="FA67">
            <v>0.17765042979942591</v>
          </cell>
          <cell r="FB67">
            <v>1.2844036697247319E-2</v>
          </cell>
          <cell r="FD67">
            <v>0.17120622568093391</v>
          </cell>
          <cell r="FE67">
            <v>-2.2288755821690098E-2</v>
          </cell>
          <cell r="FF67">
            <v>3.5656024236774497E-2</v>
          </cell>
          <cell r="FH67">
            <v>0.58107781536974379</v>
          </cell>
          <cell r="FI67">
            <v>7.5910718045904213E-2</v>
          </cell>
          <cell r="FJ67">
            <v>0.31112861483065157</v>
          </cell>
        </row>
        <row r="68">
          <cell r="EM68" t="str">
            <v xml:space="preserve"> 2Q</v>
          </cell>
          <cell r="EN68">
            <v>-5.9880239520956335E-3</v>
          </cell>
          <cell r="EO68">
            <v>0.49999999999999978</v>
          </cell>
          <cell r="EP68">
            <v>0.14937759336099599</v>
          </cell>
          <cell r="ER68">
            <v>0.53623188405797095</v>
          </cell>
          <cell r="ES68">
            <v>-6.5789473684210176E-3</v>
          </cell>
          <cell r="ET68">
            <v>0.25172413793103443</v>
          </cell>
          <cell r="EV68" t="str">
            <v>NM</v>
          </cell>
          <cell r="EW68">
            <v>0.20901639344262302</v>
          </cell>
          <cell r="EX68">
            <v>0.22540983606557385</v>
          </cell>
          <cell r="EZ68">
            <v>2.0979020979023488E-2</v>
          </cell>
          <cell r="FA68">
            <v>-0.11879049676025732</v>
          </cell>
          <cell r="FB68">
            <v>-8.5808580858083849E-2</v>
          </cell>
          <cell r="FD68">
            <v>7.1034482758620676E-2</v>
          </cell>
          <cell r="FE68">
            <v>-2.8243327126008633E-2</v>
          </cell>
          <cell r="FF68">
            <v>2.5684931506850806E-3</v>
          </cell>
          <cell r="FH68">
            <v>0.67302825811893729</v>
          </cell>
          <cell r="FI68">
            <v>7.6296150824822995E-2</v>
          </cell>
          <cell r="FJ68">
            <v>0.36404311572096804</v>
          </cell>
        </row>
        <row r="69">
          <cell r="EM69" t="str">
            <v xml:space="preserve"> 3Q</v>
          </cell>
          <cell r="EN69">
            <v>-0.17829457364341095</v>
          </cell>
          <cell r="EO69">
            <v>0.23684210526315796</v>
          </cell>
          <cell r="EP69">
            <v>-2.4390243902439046E-2</v>
          </cell>
          <cell r="ER69">
            <v>0.12429378531073443</v>
          </cell>
          <cell r="ES69">
            <v>-8.3333333333333037E-3</v>
          </cell>
          <cell r="ET69">
            <v>7.0707070707070718E-2</v>
          </cell>
          <cell r="EV69" t="str">
            <v>NM</v>
          </cell>
          <cell r="EW69">
            <v>0.25306122448979584</v>
          </cell>
          <cell r="EX69">
            <v>0.27755102040816326</v>
          </cell>
          <cell r="EZ69">
            <v>-0.21599999999999953</v>
          </cell>
          <cell r="FA69">
            <v>6.2953995157385201E-2</v>
          </cell>
          <cell r="FB69">
            <v>-4.2232277526394912E-2</v>
          </cell>
          <cell r="FD69">
            <v>-0.10523415977961426</v>
          </cell>
          <cell r="FE69">
            <v>2.6058631921823672E-3</v>
          </cell>
          <cell r="FF69">
            <v>-3.7461617195496344E-2</v>
          </cell>
          <cell r="FH69">
            <v>0.41037443569089138</v>
          </cell>
          <cell r="FI69">
            <v>0.12488502810424129</v>
          </cell>
          <cell r="FJ69">
            <v>0.27786737501185854</v>
          </cell>
        </row>
        <row r="70">
          <cell r="EM70" t="str">
            <v xml:space="preserve"> 4Q</v>
          </cell>
          <cell r="EN70">
            <v>0.54216867469879504</v>
          </cell>
          <cell r="EO70">
            <v>0.56451612903225801</v>
          </cell>
          <cell r="EP70">
            <v>0.55172413793103448</v>
          </cell>
          <cell r="ER70">
            <v>0.27976190476190466</v>
          </cell>
          <cell r="ES70">
            <v>0</v>
          </cell>
          <cell r="ET70">
            <v>0.15409836065573779</v>
          </cell>
          <cell r="EV70" t="str">
            <v>NM</v>
          </cell>
          <cell r="EW70">
            <v>0.34343434343434343</v>
          </cell>
          <cell r="EX70">
            <v>0.3383084577114428</v>
          </cell>
          <cell r="EZ70">
            <v>-0.25943396226415061</v>
          </cell>
          <cell r="FA70">
            <v>0.23796033994334365</v>
          </cell>
          <cell r="FB70">
            <v>5.1327433628319152E-2</v>
          </cell>
          <cell r="FD70">
            <v>6.094182825484773E-2</v>
          </cell>
          <cell r="FE70">
            <v>3.2321899736147852E-2</v>
          </cell>
          <cell r="FF70">
            <v>4.3001860657432278E-2</v>
          </cell>
          <cell r="FH70">
            <v>0.4022828937220424</v>
          </cell>
          <cell r="FI70">
            <v>0.18162413893470464</v>
          </cell>
          <cell r="FJ70">
            <v>0.30455893095002806</v>
          </cell>
        </row>
        <row r="72">
          <cell r="EM72" t="str">
            <v>Year</v>
          </cell>
          <cell r="EN72">
            <v>0.10891089108910901</v>
          </cell>
          <cell r="EO72">
            <v>0.37847222222222232</v>
          </cell>
          <cell r="EP72">
            <v>0.20680958385876425</v>
          </cell>
          <cell r="ER72">
            <v>0.3007874015748031</v>
          </cell>
          <cell r="ES72">
            <v>-1.1111111111111294E-2</v>
          </cell>
          <cell r="ET72">
            <v>0.15744680851063819</v>
          </cell>
          <cell r="EV72" t="str">
            <v>NM</v>
          </cell>
          <cell r="EW72">
            <v>0.25643896976483749</v>
          </cell>
          <cell r="EX72">
            <v>0.27343750000000022</v>
          </cell>
          <cell r="EZ72">
            <v>-0.20099875156054858</v>
          </cell>
          <cell r="FA72">
            <v>7.4144486692015787E-2</v>
          </cell>
          <cell r="FB72">
            <v>-1.8495166036149091E-2</v>
          </cell>
          <cell r="FD72">
            <v>3.8080251770259643E-2</v>
          </cell>
          <cell r="FE72">
            <v>-4.2173560421735479E-3</v>
          </cell>
          <cell r="FF72">
            <v>1.0168584426010208E-2</v>
          </cell>
          <cell r="FH72">
            <v>0.50077338600290333</v>
          </cell>
          <cell r="FI72">
            <v>0.1154523055262231</v>
          </cell>
          <cell r="FJ72">
            <v>0.31341002726261369</v>
          </cell>
        </row>
        <row r="74">
          <cell r="EM74" t="str">
            <v>1998</v>
          </cell>
        </row>
        <row r="75">
          <cell r="EM75" t="str">
            <v xml:space="preserve"> 1Q</v>
          </cell>
          <cell r="EN75">
            <v>16</v>
          </cell>
          <cell r="EO75">
            <v>9.5</v>
          </cell>
          <cell r="EP75">
            <v>25.5</v>
          </cell>
          <cell r="ER75">
            <v>20</v>
          </cell>
          <cell r="ES75">
            <v>12.7</v>
          </cell>
          <cell r="ET75">
            <v>32.700000000000003</v>
          </cell>
          <cell r="EV75">
            <v>0.6</v>
          </cell>
          <cell r="EW75">
            <v>25.4</v>
          </cell>
          <cell r="EX75">
            <v>26</v>
          </cell>
          <cell r="EZ75">
            <v>14.100000000000003</v>
          </cell>
          <cell r="FA75">
            <v>41.099999999999987</v>
          </cell>
          <cell r="FB75">
            <v>55.199999999999989</v>
          </cell>
          <cell r="FD75">
            <v>150.5</v>
          </cell>
          <cell r="FE75">
            <v>293.89999999999998</v>
          </cell>
          <cell r="FF75">
            <v>444.4</v>
          </cell>
          <cell r="FH75">
            <v>1308.5</v>
          </cell>
          <cell r="FI75">
            <v>1021.9</v>
          </cell>
          <cell r="FJ75">
            <v>2330.4</v>
          </cell>
        </row>
        <row r="76">
          <cell r="EM76" t="str">
            <v xml:space="preserve"> 2Q</v>
          </cell>
          <cell r="EN76">
            <v>16.600000000000001</v>
          </cell>
          <cell r="EO76">
            <v>11.1</v>
          </cell>
          <cell r="EP76">
            <v>27.700000000000003</v>
          </cell>
          <cell r="ER76">
            <v>21.2</v>
          </cell>
          <cell r="ES76">
            <v>15.1</v>
          </cell>
          <cell r="ET76">
            <v>36.299999999999997</v>
          </cell>
          <cell r="EV76">
            <v>0.4</v>
          </cell>
          <cell r="EW76">
            <v>29.5</v>
          </cell>
          <cell r="EX76">
            <v>29.9</v>
          </cell>
          <cell r="EZ76">
            <v>14.600000000000025</v>
          </cell>
          <cell r="FA76">
            <v>40.80000000000004</v>
          </cell>
          <cell r="FB76">
            <v>55.400000000000063</v>
          </cell>
          <cell r="FD76">
            <v>155.30000000000001</v>
          </cell>
          <cell r="FE76">
            <v>313.10000000000002</v>
          </cell>
          <cell r="FF76">
            <v>468.40000000000003</v>
          </cell>
          <cell r="FH76">
            <v>1586.7</v>
          </cell>
          <cell r="FI76">
            <v>1096.0999999999999</v>
          </cell>
          <cell r="FJ76">
            <v>2682.8</v>
          </cell>
        </row>
        <row r="77">
          <cell r="EM77" t="str">
            <v xml:space="preserve"> 3Q</v>
          </cell>
          <cell r="EN77">
            <v>10.6</v>
          </cell>
          <cell r="EO77">
            <v>9.4</v>
          </cell>
          <cell r="EP77">
            <v>20</v>
          </cell>
          <cell r="ER77">
            <v>19.899999999999999</v>
          </cell>
          <cell r="ES77">
            <v>11.9</v>
          </cell>
          <cell r="ET77">
            <v>31.799999999999997</v>
          </cell>
          <cell r="EV77">
            <v>0.6</v>
          </cell>
          <cell r="EW77">
            <v>30.7</v>
          </cell>
          <cell r="EX77">
            <v>31.3</v>
          </cell>
          <cell r="EZ77">
            <v>19.600000000000009</v>
          </cell>
          <cell r="FA77">
            <v>43.90000000000002</v>
          </cell>
          <cell r="FB77">
            <v>63.500000000000028</v>
          </cell>
          <cell r="FD77">
            <v>162.4</v>
          </cell>
          <cell r="FE77">
            <v>307.8</v>
          </cell>
          <cell r="FF77">
            <v>470.20000000000005</v>
          </cell>
          <cell r="FH77">
            <v>1593.3000000000002</v>
          </cell>
          <cell r="FI77">
            <v>1100.7</v>
          </cell>
          <cell r="FJ77">
            <v>2694</v>
          </cell>
        </row>
        <row r="78">
          <cell r="EM78" t="str">
            <v xml:space="preserve"> 4Q</v>
          </cell>
          <cell r="EN78">
            <v>12.8</v>
          </cell>
          <cell r="EO78">
            <v>9.6999999999999993</v>
          </cell>
          <cell r="EP78">
            <v>22.5</v>
          </cell>
          <cell r="ER78">
            <v>21.5</v>
          </cell>
          <cell r="ES78">
            <v>13.7</v>
          </cell>
          <cell r="ET78">
            <v>35.200000000000003</v>
          </cell>
          <cell r="EV78">
            <v>0.3</v>
          </cell>
          <cell r="EW78">
            <v>26.6</v>
          </cell>
          <cell r="EX78">
            <v>26.900000000000002</v>
          </cell>
          <cell r="EZ78">
            <v>15.700000000000014</v>
          </cell>
          <cell r="FA78">
            <v>43.70000000000001</v>
          </cell>
          <cell r="FB78">
            <v>59.40000000000002</v>
          </cell>
          <cell r="FD78">
            <v>191.5</v>
          </cell>
          <cell r="FE78">
            <v>313</v>
          </cell>
          <cell r="FF78">
            <v>504.5</v>
          </cell>
          <cell r="FH78">
            <v>1818.2</v>
          </cell>
          <cell r="FI78">
            <v>1217.9000000000001</v>
          </cell>
          <cell r="FJ78">
            <v>3036.1000000000004</v>
          </cell>
        </row>
        <row r="80">
          <cell r="EM80" t="str">
            <v>Year</v>
          </cell>
          <cell r="EN80">
            <v>56</v>
          </cell>
          <cell r="EO80">
            <v>39.700000000000003</v>
          </cell>
          <cell r="EP80">
            <v>95.7</v>
          </cell>
          <cell r="ER80">
            <v>82.6</v>
          </cell>
          <cell r="ES80">
            <v>53.399999999999991</v>
          </cell>
          <cell r="ET80">
            <v>136</v>
          </cell>
          <cell r="EV80">
            <v>1.9000000000000001</v>
          </cell>
          <cell r="EW80">
            <v>112.19999999999999</v>
          </cell>
          <cell r="EX80">
            <v>114.10000000000001</v>
          </cell>
          <cell r="EZ80">
            <v>64.000000000000057</v>
          </cell>
          <cell r="FA80">
            <v>169.50000000000006</v>
          </cell>
          <cell r="FB80">
            <v>233.50000000000011</v>
          </cell>
          <cell r="FD80">
            <v>659.7</v>
          </cell>
          <cell r="FE80">
            <v>1227.8</v>
          </cell>
          <cell r="FF80">
            <v>1887.5</v>
          </cell>
          <cell r="FH80">
            <v>6306.7</v>
          </cell>
          <cell r="FI80">
            <v>4436.6000000000004</v>
          </cell>
          <cell r="FJ80">
            <v>10743.300000000001</v>
          </cell>
        </row>
        <row r="82">
          <cell r="EM82" t="str">
            <v xml:space="preserve">1999/98 </v>
          </cell>
        </row>
        <row r="83">
          <cell r="EM83" t="str">
            <v xml:space="preserve"> 1Q</v>
          </cell>
          <cell r="EN83">
            <v>-0.16249999999999998</v>
          </cell>
          <cell r="EO83">
            <v>-5.2631578947368474E-2</v>
          </cell>
          <cell r="EP83">
            <v>-0.1215686274509804</v>
          </cell>
          <cell r="ER83">
            <v>0.125</v>
          </cell>
          <cell r="ES83">
            <v>-6.2992125984251857E-2</v>
          </cell>
          <cell r="ET83">
            <v>5.1987767584097622E-2</v>
          </cell>
          <cell r="EV83">
            <v>0</v>
          </cell>
          <cell r="EW83">
            <v>0.15748031496062986</v>
          </cell>
          <cell r="EX83">
            <v>0.15384615384615374</v>
          </cell>
          <cell r="EZ83">
            <v>-7.092198581560516E-3</v>
          </cell>
          <cell r="FA83">
            <v>2.1897810218978409E-2</v>
          </cell>
          <cell r="FB83">
            <v>1.4492753623188692E-2</v>
          </cell>
          <cell r="FD83">
            <v>2.6578073089700949E-2</v>
          </cell>
          <cell r="FE83">
            <v>4.0830214358625661E-2</v>
          </cell>
          <cell r="FF83">
            <v>3.6003600360036137E-2</v>
          </cell>
          <cell r="FH83">
            <v>0.35552158960641966</v>
          </cell>
          <cell r="FI83">
            <v>0.2062824151091105</v>
          </cell>
          <cell r="FJ83">
            <v>0.29007895640233428</v>
          </cell>
        </row>
        <row r="84">
          <cell r="EM84" t="str">
            <v xml:space="preserve"> 2Q</v>
          </cell>
          <cell r="EN84">
            <v>-2.4096385542168752E-2</v>
          </cell>
          <cell r="EO84">
            <v>-9.9099099099099086E-2</v>
          </cell>
          <cell r="EP84">
            <v>-5.4151624548736566E-2</v>
          </cell>
          <cell r="ER84">
            <v>0.27830188679245293</v>
          </cell>
          <cell r="ES84">
            <v>-8.6092715231787964E-2</v>
          </cell>
          <cell r="ET84">
            <v>0.12672176308539962</v>
          </cell>
          <cell r="EV84">
            <v>0.49999999999999978</v>
          </cell>
          <cell r="EW84">
            <v>3.7288135593220417E-2</v>
          </cell>
          <cell r="EX84">
            <v>4.347826086956541E-2</v>
          </cell>
          <cell r="EZ84">
            <v>-6.8493150684940662E-3</v>
          </cell>
          <cell r="FA84">
            <v>0.28186274509803688</v>
          </cell>
          <cell r="FB84">
            <v>0.2057761732851966</v>
          </cell>
          <cell r="FD84">
            <v>5.9884095299420403E-2</v>
          </cell>
          <cell r="FE84">
            <v>1.5649952091983277E-2</v>
          </cell>
          <cell r="FF84">
            <v>3.0315969257045161E-2</v>
          </cell>
          <cell r="FH84">
            <v>0.19108842251213209</v>
          </cell>
          <cell r="FI84">
            <v>0.15026001277255752</v>
          </cell>
          <cell r="FJ84">
            <v>0.17440733561950195</v>
          </cell>
        </row>
        <row r="85">
          <cell r="EM85" t="str">
            <v xml:space="preserve"> 3Q</v>
          </cell>
          <cell r="EN85">
            <v>5.6603773584905648E-2</v>
          </cell>
          <cell r="EO85">
            <v>-1.0638297872340385E-2</v>
          </cell>
          <cell r="EP85">
            <v>2.4999999999999911E-2</v>
          </cell>
          <cell r="ER85">
            <v>0.31658291457286447</v>
          </cell>
          <cell r="ES85">
            <v>3.3613445378151363E-2</v>
          </cell>
          <cell r="ET85">
            <v>0.21069182389937113</v>
          </cell>
          <cell r="EV85">
            <v>0.16666666666666674</v>
          </cell>
          <cell r="EW85">
            <v>-9.4462540716612309E-2</v>
          </cell>
          <cell r="EX85">
            <v>-8.9456869009584716E-2</v>
          </cell>
          <cell r="EZ85">
            <v>2.0408163265307033E-2</v>
          </cell>
          <cell r="FA85">
            <v>0.2733485193621854</v>
          </cell>
          <cell r="FB85">
            <v>0.19527559055118049</v>
          </cell>
          <cell r="FD85">
            <v>4.0640394088669929E-2</v>
          </cell>
          <cell r="FE85">
            <v>1.5269655620532729E-2</v>
          </cell>
          <cell r="FF85">
            <v>2.4032326669502169E-2</v>
          </cell>
          <cell r="FH85">
            <v>0.25387560409213572</v>
          </cell>
          <cell r="FI85">
            <v>0.12637412555646388</v>
          </cell>
          <cell r="FJ85">
            <v>0.20178173719376402</v>
          </cell>
        </row>
        <row r="86">
          <cell r="EM86" t="str">
            <v xml:space="preserve"> 4Q</v>
          </cell>
          <cell r="EN86">
            <v>-8.5937500000000111E-2</v>
          </cell>
          <cell r="EO86">
            <v>5.1546391752577359E-2</v>
          </cell>
          <cell r="EP86">
            <v>-2.6666666666666727E-2</v>
          </cell>
          <cell r="ER86">
            <v>0.36279069767441863</v>
          </cell>
          <cell r="ES86">
            <v>8.7591240875912524E-2</v>
          </cell>
          <cell r="ET86">
            <v>0.25568181818181812</v>
          </cell>
          <cell r="EV86">
            <v>0.33333333333333348</v>
          </cell>
          <cell r="EW86">
            <v>-2.6315789473684292E-2</v>
          </cell>
          <cell r="EX86">
            <v>-2.230483271375483E-2</v>
          </cell>
          <cell r="EZ86">
            <v>-0.70063694267516108</v>
          </cell>
          <cell r="FA86">
            <v>0.22883295194508091</v>
          </cell>
          <cell r="FB86">
            <v>-1.6835016835016869E-2</v>
          </cell>
          <cell r="FD86">
            <v>7.571801566579639E-2</v>
          </cell>
          <cell r="FE86">
            <v>2.4600638977635647E-2</v>
          </cell>
          <cell r="FF86">
            <v>4.4003964321110089E-2</v>
          </cell>
          <cell r="FH86">
            <v>0.21075789242107579</v>
          </cell>
          <cell r="FI86">
            <v>9.4753263814763011E-2</v>
          </cell>
          <cell r="FJ86">
            <v>0.16422383979447308</v>
          </cell>
        </row>
        <row r="88">
          <cell r="EM88" t="str">
            <v>Year</v>
          </cell>
          <cell r="EN88">
            <v>-6.25E-2</v>
          </cell>
          <cell r="EO88">
            <v>-3.0226700251889227E-2</v>
          </cell>
          <cell r="EP88">
            <v>-4.9111807732497459E-2</v>
          </cell>
          <cell r="ER88">
            <v>0.2723970944309928</v>
          </cell>
          <cell r="ES88">
            <v>-9.3632958801497246E-3</v>
          </cell>
          <cell r="ET88">
            <v>0.16176470588235303</v>
          </cell>
          <cell r="EV88">
            <v>0.21052631578947345</v>
          </cell>
          <cell r="EW88">
            <v>1.3368983957219305E-2</v>
          </cell>
          <cell r="EX88">
            <v>1.6652059596844904E-2</v>
          </cell>
          <cell r="EZ88">
            <v>-0.16875000000000051</v>
          </cell>
          <cell r="FA88">
            <v>0.20294985250737407</v>
          </cell>
          <cell r="FB88">
            <v>0.10107066381156238</v>
          </cell>
          <cell r="FD88">
            <v>5.2144914355009897E-2</v>
          </cell>
          <cell r="FE88">
            <v>2.3863821469294777E-2</v>
          </cell>
          <cell r="FF88">
            <v>3.374834437086105E-2</v>
          </cell>
          <cell r="FH88">
            <v>0.24673759652433147</v>
          </cell>
          <cell r="FI88">
            <v>0.14200063111391614</v>
          </cell>
          <cell r="FJ88">
            <v>0.20348496272095162</v>
          </cell>
        </row>
        <row r="90">
          <cell r="EM90" t="str">
            <v>1999</v>
          </cell>
          <cell r="EQ90">
            <v>0</v>
          </cell>
          <cell r="EU90">
            <v>0</v>
          </cell>
          <cell r="EY90">
            <v>0</v>
          </cell>
          <cell r="FC90">
            <v>0</v>
          </cell>
        </row>
        <row r="91">
          <cell r="EM91" t="str">
            <v xml:space="preserve"> 1Q</v>
          </cell>
          <cell r="EN91">
            <v>13.4</v>
          </cell>
          <cell r="EO91">
            <v>9</v>
          </cell>
          <cell r="EP91">
            <v>22.4</v>
          </cell>
          <cell r="ER91">
            <v>22.5</v>
          </cell>
          <cell r="ES91">
            <v>11.9</v>
          </cell>
          <cell r="ET91">
            <v>34.4</v>
          </cell>
          <cell r="EV91">
            <v>0.6</v>
          </cell>
          <cell r="EW91">
            <v>29.4</v>
          </cell>
          <cell r="EX91">
            <v>30</v>
          </cell>
          <cell r="EZ91">
            <v>14</v>
          </cell>
          <cell r="FA91">
            <v>42</v>
          </cell>
          <cell r="FB91">
            <v>56</v>
          </cell>
          <cell r="FD91">
            <v>154.5</v>
          </cell>
          <cell r="FE91">
            <v>305.90000000000003</v>
          </cell>
          <cell r="FF91">
            <v>460.40000000000003</v>
          </cell>
          <cell r="FH91">
            <v>1773.7</v>
          </cell>
          <cell r="FI91">
            <v>1232.7</v>
          </cell>
          <cell r="FJ91">
            <v>3006.4</v>
          </cell>
        </row>
        <row r="92">
          <cell r="EM92" t="str">
            <v xml:space="preserve"> 2Q</v>
          </cell>
          <cell r="EN92">
            <v>16.2</v>
          </cell>
          <cell r="EO92">
            <v>10</v>
          </cell>
          <cell r="EP92">
            <v>26.2</v>
          </cell>
          <cell r="ER92">
            <v>27.1</v>
          </cell>
          <cell r="ES92">
            <v>13.8</v>
          </cell>
          <cell r="ET92">
            <v>40.900000000000006</v>
          </cell>
          <cell r="EV92">
            <v>0.6</v>
          </cell>
          <cell r="EW92">
            <v>30.6</v>
          </cell>
          <cell r="EX92">
            <v>31.200000000000003</v>
          </cell>
          <cell r="EZ92">
            <v>14.500000000000011</v>
          </cell>
          <cell r="FA92">
            <v>52.299999999999955</v>
          </cell>
          <cell r="FB92">
            <v>66.799999999999969</v>
          </cell>
          <cell r="FD92">
            <v>164.6</v>
          </cell>
          <cell r="FE92">
            <v>318</v>
          </cell>
          <cell r="FF92">
            <v>482.6</v>
          </cell>
          <cell r="FH92">
            <v>1889.9</v>
          </cell>
          <cell r="FI92">
            <v>1260.8000000000002</v>
          </cell>
          <cell r="FJ92">
            <v>3150.7000000000003</v>
          </cell>
        </row>
        <row r="93">
          <cell r="EM93" t="str">
            <v xml:space="preserve"> 3Q</v>
          </cell>
          <cell r="EN93">
            <v>11.2</v>
          </cell>
          <cell r="EO93">
            <v>9.3000000000000007</v>
          </cell>
          <cell r="EP93">
            <v>20.5</v>
          </cell>
          <cell r="ER93">
            <v>26.2</v>
          </cell>
          <cell r="ES93">
            <v>12.3</v>
          </cell>
          <cell r="ET93">
            <v>38.5</v>
          </cell>
          <cell r="EV93">
            <v>0.7</v>
          </cell>
          <cell r="EW93">
            <v>27.8</v>
          </cell>
          <cell r="EX93">
            <v>28.5</v>
          </cell>
          <cell r="EZ93">
            <v>20.000000000000028</v>
          </cell>
          <cell r="FA93">
            <v>55.899999999999963</v>
          </cell>
          <cell r="FB93">
            <v>75.899999999999991</v>
          </cell>
          <cell r="FD93">
            <v>169</v>
          </cell>
          <cell r="FE93">
            <v>312.5</v>
          </cell>
          <cell r="FF93">
            <v>481.5</v>
          </cell>
          <cell r="FH93">
            <v>1997.8000000000002</v>
          </cell>
          <cell r="FI93">
            <v>1239.8</v>
          </cell>
          <cell r="FJ93">
            <v>3237.6000000000004</v>
          </cell>
        </row>
        <row r="94">
          <cell r="EM94" t="str">
            <v xml:space="preserve"> 4Q</v>
          </cell>
          <cell r="EN94">
            <v>11.7</v>
          </cell>
          <cell r="EO94">
            <v>10.199999999999999</v>
          </cell>
          <cell r="EP94">
            <v>21.9</v>
          </cell>
          <cell r="ER94">
            <v>29.3</v>
          </cell>
          <cell r="ES94">
            <v>14.9</v>
          </cell>
          <cell r="ET94">
            <v>44.2</v>
          </cell>
          <cell r="EV94">
            <v>0.4</v>
          </cell>
          <cell r="EW94">
            <v>25.9</v>
          </cell>
          <cell r="EX94">
            <v>26.299999999999997</v>
          </cell>
          <cell r="EZ94">
            <v>4.6999999999999744</v>
          </cell>
          <cell r="FA94">
            <v>53.700000000000045</v>
          </cell>
          <cell r="FB94">
            <v>58.40000000000002</v>
          </cell>
          <cell r="FD94">
            <v>206</v>
          </cell>
          <cell r="FE94">
            <v>320.7</v>
          </cell>
          <cell r="FF94">
            <v>526.70000000000005</v>
          </cell>
          <cell r="FH94">
            <v>2201.4</v>
          </cell>
          <cell r="FI94">
            <v>1333.3</v>
          </cell>
          <cell r="FJ94">
            <v>3534.7</v>
          </cell>
        </row>
        <row r="96">
          <cell r="EM96" t="str">
            <v>Year</v>
          </cell>
          <cell r="EN96">
            <v>52.5</v>
          </cell>
          <cell r="EO96">
            <v>38.5</v>
          </cell>
          <cell r="EP96">
            <v>91</v>
          </cell>
          <cell r="ER96">
            <v>105.1</v>
          </cell>
          <cell r="ES96">
            <v>52.9</v>
          </cell>
          <cell r="ET96">
            <v>158</v>
          </cell>
          <cell r="EV96">
            <v>2.2999999999999998</v>
          </cell>
          <cell r="EW96">
            <v>113.69999999999999</v>
          </cell>
          <cell r="EX96">
            <v>116</v>
          </cell>
          <cell r="EZ96">
            <v>53.200000000000017</v>
          </cell>
          <cell r="FA96">
            <v>203.89999999999998</v>
          </cell>
          <cell r="FB96">
            <v>257.09999999999997</v>
          </cell>
          <cell r="FD96">
            <v>694.1</v>
          </cell>
          <cell r="FE96">
            <v>1257.1000000000001</v>
          </cell>
          <cell r="FF96">
            <v>1951.2</v>
          </cell>
          <cell r="FH96">
            <v>7862.8000000000011</v>
          </cell>
          <cell r="FI96">
            <v>5066.6000000000004</v>
          </cell>
          <cell r="FJ96">
            <v>12929.400000000001</v>
          </cell>
        </row>
        <row r="98">
          <cell r="EM98" t="str">
            <v>2000E/99</v>
          </cell>
        </row>
        <row r="99">
          <cell r="EM99" t="str">
            <v xml:space="preserve"> 1QA</v>
          </cell>
          <cell r="EN99">
            <v>-4.4776119402985093E-2</v>
          </cell>
          <cell r="EO99">
            <v>-1.1111111111111072E-2</v>
          </cell>
          <cell r="EP99">
            <v>-3.1249999999999778E-2</v>
          </cell>
          <cell r="ER99">
            <v>0.27555555555555555</v>
          </cell>
          <cell r="ES99">
            <v>0.2100840336134453</v>
          </cell>
          <cell r="ET99">
            <v>0.25290697674418605</v>
          </cell>
          <cell r="EV99">
            <v>0.33333333333333348</v>
          </cell>
          <cell r="EW99">
            <v>9.5238095238095344E-2</v>
          </cell>
          <cell r="EX99">
            <v>0.10000000000000009</v>
          </cell>
          <cell r="EZ99">
            <v>0.17142857142857193</v>
          </cell>
          <cell r="FA99">
            <v>0.37380952380952492</v>
          </cell>
          <cell r="FB99">
            <v>0.32321428571428656</v>
          </cell>
          <cell r="FD99">
            <v>4.5307443365695699E-2</v>
          </cell>
          <cell r="FE99">
            <v>0.10722458319712302</v>
          </cell>
          <cell r="FF99">
            <v>8.6446568201563823E-2</v>
          </cell>
          <cell r="FH99">
            <v>0.17894796188757955</v>
          </cell>
          <cell r="FI99">
            <v>6.7494118601443942E-2</v>
          </cell>
          <cell r="FJ99">
            <v>0.13324906865353903</v>
          </cell>
        </row>
        <row r="100">
          <cell r="EM100" t="str">
            <v xml:space="preserve"> 2QE</v>
          </cell>
          <cell r="EN100">
            <v>0.03</v>
          </cell>
          <cell r="EO100">
            <v>0.03</v>
          </cell>
          <cell r="EP100">
            <v>3.0000000000000027E-2</v>
          </cell>
          <cell r="ER100">
            <v>0.2</v>
          </cell>
          <cell r="ES100">
            <v>-0.02</v>
          </cell>
          <cell r="ET100">
            <v>0.12577017114914413</v>
          </cell>
          <cell r="EV100">
            <v>0.26</v>
          </cell>
          <cell r="EW100">
            <v>0.08</v>
          </cell>
          <cell r="EX100">
            <v>8.3461538461538476E-2</v>
          </cell>
          <cell r="EZ100">
            <v>0</v>
          </cell>
          <cell r="FA100">
            <v>0.2</v>
          </cell>
          <cell r="FB100">
            <v>0.15658682634730514</v>
          </cell>
          <cell r="FD100">
            <v>4.5595382746051127E-2</v>
          </cell>
          <cell r="FE100">
            <v>7.5830188679245181E-2</v>
          </cell>
          <cell r="FF100">
            <v>6.551802735184431E-2</v>
          </cell>
          <cell r="FH100">
            <v>0.10382665749510567</v>
          </cell>
          <cell r="FI100">
            <v>0.15752934644670025</v>
          </cell>
          <cell r="FJ100">
            <v>0.12531659631193071</v>
          </cell>
        </row>
        <row r="101">
          <cell r="EM101" t="str">
            <v xml:space="preserve"> 3QE</v>
          </cell>
          <cell r="EN101">
            <v>0.03</v>
          </cell>
          <cell r="EO101">
            <v>0.03</v>
          </cell>
          <cell r="EP101">
            <v>3.0000000000000027E-2</v>
          </cell>
          <cell r="ER101">
            <v>0.2</v>
          </cell>
          <cell r="ES101">
            <v>-0.02</v>
          </cell>
          <cell r="ET101">
            <v>0.12971428571428567</v>
          </cell>
          <cell r="EV101">
            <v>0.26</v>
          </cell>
          <cell r="EW101">
            <v>0.08</v>
          </cell>
          <cell r="EX101">
            <v>8.4421052631579174E-2</v>
          </cell>
          <cell r="EZ101">
            <v>0</v>
          </cell>
          <cell r="FA101">
            <v>0.2</v>
          </cell>
          <cell r="FB101">
            <v>0.14729907773386031</v>
          </cell>
          <cell r="FD101">
            <v>8.1295857988165965E-2</v>
          </cell>
          <cell r="FE101">
            <v>7.8534400000000115E-2</v>
          </cell>
          <cell r="FF101">
            <v>7.9503634475597273E-2</v>
          </cell>
          <cell r="FH101">
            <v>0.11604615076584235</v>
          </cell>
          <cell r="FI101">
            <v>0.18815212130988912</v>
          </cell>
          <cell r="FJ101">
            <v>0.14365826538176441</v>
          </cell>
        </row>
        <row r="102">
          <cell r="EM102" t="str">
            <v xml:space="preserve"> 4QE</v>
          </cell>
          <cell r="EN102">
            <v>9.9118140426551538E-2</v>
          </cell>
          <cell r="EO102">
            <v>5.6949250288351072E-2</v>
          </cell>
          <cell r="EP102">
            <v>7.9477835430677546E-2</v>
          </cell>
          <cell r="ER102">
            <v>0.14197952218429966</v>
          </cell>
          <cell r="ES102">
            <v>-0.20375838926174505</v>
          </cell>
          <cell r="ET102">
            <v>2.5429864253392997E-2</v>
          </cell>
          <cell r="EV102">
            <v>0.15499999999999936</v>
          </cell>
          <cell r="EW102">
            <v>5.5903470977028746E-2</v>
          </cell>
          <cell r="EX102">
            <v>5.7410642521104283E-2</v>
          </cell>
          <cell r="EZ102">
            <v>-0.51063829787234361</v>
          </cell>
          <cell r="FA102">
            <v>6.4059590316573489E-2</v>
          </cell>
          <cell r="FB102">
            <v>1.7808219178081952E-2</v>
          </cell>
          <cell r="FD102">
            <v>4.7751565193718815E-3</v>
          </cell>
          <cell r="FE102">
            <v>4.1736950876155587E-2</v>
          </cell>
          <cell r="FF102">
            <v>2.7280657658958818E-2</v>
          </cell>
          <cell r="FH102">
            <v>0.11790550660624621</v>
          </cell>
          <cell r="FI102">
            <v>0.25027371195228665</v>
          </cell>
          <cell r="FJ102">
            <v>0.16783521158485137</v>
          </cell>
        </row>
        <row r="104">
          <cell r="EM104" t="str">
            <v>Year</v>
          </cell>
          <cell r="EN104">
            <v>2.6317757009345799E-2</v>
          </cell>
          <cell r="EO104">
            <v>2.7529411764706024E-2</v>
          </cell>
          <cell r="EP104">
            <v>2.6830380175075108E-2</v>
          </cell>
          <cell r="ER104">
            <v>0.2</v>
          </cell>
          <cell r="ES104">
            <v>-0.02</v>
          </cell>
          <cell r="ET104">
            <v>0.12634177215189868</v>
          </cell>
          <cell r="EV104">
            <v>0.26086956521739135</v>
          </cell>
          <cell r="EW104">
            <v>7.8451186440677834E-2</v>
          </cell>
          <cell r="EX104">
            <v>8.2068102571595247E-2</v>
          </cell>
          <cell r="EZ104">
            <v>0</v>
          </cell>
          <cell r="FA104">
            <v>0.2</v>
          </cell>
          <cell r="FB104">
            <v>0.15861532477635176</v>
          </cell>
          <cell r="FD104">
            <v>4.2108748369097615E-2</v>
          </cell>
          <cell r="FE104">
            <v>7.5444308444819752E-2</v>
          </cell>
          <cell r="FF104">
            <v>6.3585856082909675E-2</v>
          </cell>
          <cell r="FH104">
            <v>0.12781912070038537</v>
          </cell>
          <cell r="FI104">
            <v>0.16752337665218953</v>
          </cell>
          <cell r="FJ104">
            <v>0.1433778924303506</v>
          </cell>
        </row>
        <row r="106">
          <cell r="EM106" t="str">
            <v>2000E</v>
          </cell>
        </row>
        <row r="107">
          <cell r="EM107" t="str">
            <v xml:space="preserve"> 1QA</v>
          </cell>
          <cell r="EN107">
            <v>12.8</v>
          </cell>
          <cell r="EO107">
            <v>8.9</v>
          </cell>
          <cell r="EP107">
            <v>21.700000000000003</v>
          </cell>
          <cell r="ER107">
            <v>28.7</v>
          </cell>
          <cell r="ES107">
            <v>14.4</v>
          </cell>
          <cell r="ET107">
            <v>43.1</v>
          </cell>
          <cell r="EV107">
            <v>0.8</v>
          </cell>
          <cell r="EW107">
            <v>32.200000000000003</v>
          </cell>
          <cell r="EX107">
            <v>33</v>
          </cell>
          <cell r="EZ107">
            <v>16.400000000000006</v>
          </cell>
          <cell r="FA107">
            <v>57.700000000000045</v>
          </cell>
          <cell r="FB107">
            <v>74.100000000000051</v>
          </cell>
          <cell r="FD107">
            <v>161.5</v>
          </cell>
          <cell r="FE107">
            <v>338.7</v>
          </cell>
          <cell r="FF107">
            <v>500.2</v>
          </cell>
          <cell r="FH107">
            <v>2091.1</v>
          </cell>
          <cell r="FI107">
            <v>1315.9</v>
          </cell>
          <cell r="FJ107">
            <v>3407</v>
          </cell>
        </row>
        <row r="108">
          <cell r="EM108" t="str">
            <v xml:space="preserve"> 2QE</v>
          </cell>
          <cell r="EN108">
            <v>16.686</v>
          </cell>
          <cell r="EO108">
            <v>10.3</v>
          </cell>
          <cell r="EP108">
            <v>26.986000000000001</v>
          </cell>
          <cell r="ER108">
            <v>32.520000000000003</v>
          </cell>
          <cell r="ES108">
            <v>13.524000000000001</v>
          </cell>
          <cell r="ET108">
            <v>46.044000000000004</v>
          </cell>
          <cell r="EV108">
            <v>0.75600000000000001</v>
          </cell>
          <cell r="EW108">
            <v>33.048000000000002</v>
          </cell>
          <cell r="EX108">
            <v>33.804000000000002</v>
          </cell>
          <cell r="EZ108">
            <v>14.500000000000011</v>
          </cell>
          <cell r="FA108">
            <v>62.759999999999941</v>
          </cell>
          <cell r="FB108">
            <v>77.259999999999948</v>
          </cell>
          <cell r="FD108">
            <v>172.10500000000002</v>
          </cell>
          <cell r="FE108">
            <v>342.11399999999998</v>
          </cell>
          <cell r="FF108">
            <v>514.21900000000005</v>
          </cell>
          <cell r="FH108">
            <v>2086.1220000000003</v>
          </cell>
          <cell r="FI108">
            <v>1459.413</v>
          </cell>
          <cell r="FJ108">
            <v>3545.5350000000003</v>
          </cell>
        </row>
        <row r="109">
          <cell r="EM109" t="str">
            <v xml:space="preserve"> 3QE</v>
          </cell>
          <cell r="EN109">
            <v>11.536</v>
          </cell>
          <cell r="EO109">
            <v>9.5790000000000006</v>
          </cell>
          <cell r="EP109">
            <v>21.115000000000002</v>
          </cell>
          <cell r="ER109">
            <v>31.439999999999998</v>
          </cell>
          <cell r="ES109">
            <v>12.054</v>
          </cell>
          <cell r="ET109">
            <v>43.494</v>
          </cell>
          <cell r="EV109">
            <v>0.8819999999999999</v>
          </cell>
          <cell r="EW109">
            <v>30.024000000000004</v>
          </cell>
          <cell r="EX109">
            <v>30.906000000000006</v>
          </cell>
          <cell r="EZ109">
            <v>20.000000000000028</v>
          </cell>
          <cell r="FA109">
            <v>67.079999999999956</v>
          </cell>
          <cell r="FB109">
            <v>87.079999999999984</v>
          </cell>
          <cell r="FD109">
            <v>182.73900000000003</v>
          </cell>
          <cell r="FE109">
            <v>337.04200000000003</v>
          </cell>
          <cell r="FF109">
            <v>519.78100000000006</v>
          </cell>
          <cell r="FH109">
            <v>2229.6370000000002</v>
          </cell>
          <cell r="FI109">
            <v>1473.0710000000004</v>
          </cell>
          <cell r="FJ109">
            <v>3702.7080000000005</v>
          </cell>
        </row>
        <row r="110">
          <cell r="EM110" t="str">
            <v xml:space="preserve"> 4QE</v>
          </cell>
          <cell r="EN110">
            <v>12.859682242990653</v>
          </cell>
          <cell r="EO110">
            <v>10.78088235294118</v>
          </cell>
          <cell r="EP110">
            <v>23.640564595931835</v>
          </cell>
          <cell r="ER110">
            <v>33.45999999999998</v>
          </cell>
          <cell r="ES110">
            <v>11.863999999999999</v>
          </cell>
          <cell r="ET110">
            <v>45.323999999999977</v>
          </cell>
          <cell r="EV110">
            <v>0.46199999999999974</v>
          </cell>
          <cell r="EW110">
            <v>27.347899898305041</v>
          </cell>
          <cell r="EX110">
            <v>27.809899898305041</v>
          </cell>
          <cell r="EZ110">
            <v>2.2999999999999723</v>
          </cell>
          <cell r="FA110">
            <v>57.140000000000043</v>
          </cell>
          <cell r="FB110">
            <v>59.440000000000012</v>
          </cell>
          <cell r="FD110">
            <v>206.98368224299062</v>
          </cell>
          <cell r="FE110">
            <v>334.0850401459831</v>
          </cell>
          <cell r="FF110">
            <v>541.0687223889737</v>
          </cell>
          <cell r="FH110">
            <v>2460.9571822429907</v>
          </cell>
          <cell r="FI110">
            <v>1666.9899401459836</v>
          </cell>
          <cell r="FJ110">
            <v>4127.9471223889741</v>
          </cell>
        </row>
        <row r="112">
          <cell r="EM112" t="str">
            <v>Year</v>
          </cell>
          <cell r="EN112">
            <v>53.881682242990657</v>
          </cell>
          <cell r="EO112">
            <v>39.55988235294118</v>
          </cell>
          <cell r="EP112">
            <v>93.441564595931837</v>
          </cell>
          <cell r="ER112">
            <v>126.11999999999999</v>
          </cell>
          <cell r="ES112">
            <v>51.841999999999999</v>
          </cell>
          <cell r="ET112">
            <v>177.96199999999999</v>
          </cell>
          <cell r="EV112">
            <v>2.9</v>
          </cell>
          <cell r="EW112">
            <v>122.61989989830505</v>
          </cell>
          <cell r="EX112">
            <v>125.51989989830506</v>
          </cell>
          <cell r="EZ112">
            <v>53.200000000000017</v>
          </cell>
          <cell r="FA112">
            <v>244.67999999999998</v>
          </cell>
          <cell r="FB112">
            <v>297.88</v>
          </cell>
          <cell r="FD112">
            <v>723.3276822429907</v>
          </cell>
          <cell r="FE112">
            <v>1351.9410401459829</v>
          </cell>
          <cell r="FF112">
            <v>2075.2687223889734</v>
          </cell>
          <cell r="FH112">
            <v>8867.816182242992</v>
          </cell>
          <cell r="FI112">
            <v>5915.3739401459834</v>
          </cell>
          <cell r="FJ112">
            <v>14783.190122388976</v>
          </cell>
        </row>
        <row r="114">
          <cell r="EM114" t="str">
            <v>% Change</v>
          </cell>
        </row>
        <row r="115">
          <cell r="EM115" t="str">
            <v xml:space="preserve">2001E/00E </v>
          </cell>
          <cell r="EN115">
            <v>0</v>
          </cell>
          <cell r="EO115">
            <v>0</v>
          </cell>
          <cell r="EP115">
            <v>0</v>
          </cell>
          <cell r="ER115">
            <v>0.03</v>
          </cell>
          <cell r="ES115">
            <v>0.05</v>
          </cell>
          <cell r="ET115">
            <v>3.5826187613085869E-2</v>
          </cell>
          <cell r="EV115" t="str">
            <v>NM</v>
          </cell>
          <cell r="EW115">
            <v>0.04</v>
          </cell>
          <cell r="EX115">
            <v>4.3059275862322277E-2</v>
          </cell>
          <cell r="EZ115">
            <v>0</v>
          </cell>
          <cell r="FA115">
            <v>0</v>
          </cell>
          <cell r="FB115">
            <v>0</v>
          </cell>
          <cell r="FD115">
            <v>2.272042174445521E-2</v>
          </cell>
          <cell r="FE115">
            <v>2.4501276438986253E-2</v>
          </cell>
          <cell r="FF115">
            <v>2.3880565740314053E-2</v>
          </cell>
          <cell r="FH115">
            <v>0.12732994480208082</v>
          </cell>
          <cell r="FI115">
            <v>0.12971485951716022</v>
          </cell>
          <cell r="FJ115">
            <v>0.12828424913276026</v>
          </cell>
        </row>
        <row r="116">
          <cell r="EM116" t="str">
            <v xml:space="preserve">2002E/01E </v>
          </cell>
          <cell r="EN116">
            <v>0</v>
          </cell>
          <cell r="EO116">
            <v>0</v>
          </cell>
          <cell r="EP116">
            <v>0</v>
          </cell>
          <cell r="ER116">
            <v>0.03</v>
          </cell>
          <cell r="ES116">
            <v>0.05</v>
          </cell>
          <cell r="ET116">
            <v>3.5905910727973556E-2</v>
          </cell>
          <cell r="EV116" t="str">
            <v>NM</v>
          </cell>
          <cell r="EW116">
            <v>0.04</v>
          </cell>
          <cell r="EX116">
            <v>4.2780224139638667E-2</v>
          </cell>
          <cell r="EZ116">
            <v>0</v>
          </cell>
          <cell r="FA116">
            <v>0</v>
          </cell>
          <cell r="FB116">
            <v>0</v>
          </cell>
          <cell r="FD116">
            <v>2.2300195026214942E-2</v>
          </cell>
          <cell r="FE116">
            <v>2.2006113955851836E-2</v>
          </cell>
          <cell r="FF116">
            <v>2.2108498745950333E-2</v>
          </cell>
          <cell r="FH116">
            <v>0.11030698289999319</v>
          </cell>
          <cell r="FI116">
            <v>0.12549334831380476</v>
          </cell>
          <cell r="FJ116">
            <v>0.11639138913769598</v>
          </cell>
        </row>
        <row r="117">
          <cell r="EM117" t="str">
            <v xml:space="preserve">2003E/02E </v>
          </cell>
          <cell r="EN117">
            <v>0</v>
          </cell>
          <cell r="EO117">
            <v>0</v>
          </cell>
          <cell r="EP117">
            <v>0</v>
          </cell>
          <cell r="ER117">
            <v>0.03</v>
          </cell>
          <cell r="ES117">
            <v>0.05</v>
          </cell>
          <cell r="ET117">
            <v>3.5986264003469826E-2</v>
          </cell>
          <cell r="EV117" t="str">
            <v>NM</v>
          </cell>
          <cell r="EW117">
            <v>0.04</v>
          </cell>
          <cell r="EX117">
            <v>4.2519672420614052E-2</v>
          </cell>
          <cell r="EZ117">
            <v>0</v>
          </cell>
          <cell r="FA117">
            <v>0</v>
          </cell>
          <cell r="FB117">
            <v>0</v>
          </cell>
          <cell r="FD117">
            <v>2.2401366120483601E-2</v>
          </cell>
          <cell r="FE117">
            <v>2.2321665336997087E-2</v>
          </cell>
          <cell r="FF117">
            <v>2.2349418495037243E-2</v>
          </cell>
          <cell r="FH117">
            <v>7.308325301845553E-3</v>
          </cell>
          <cell r="FI117">
            <v>9.2159086665294376E-2</v>
          </cell>
          <cell r="FJ117">
            <v>4.1580886092527747E-2</v>
          </cell>
        </row>
        <row r="118">
          <cell r="EM118" t="str">
            <v xml:space="preserve">2004E/03E </v>
          </cell>
          <cell r="EN118">
            <v>0</v>
          </cell>
          <cell r="EO118">
            <v>0</v>
          </cell>
          <cell r="EP118">
            <v>0</v>
          </cell>
          <cell r="ER118">
            <v>0.03</v>
          </cell>
          <cell r="ES118">
            <v>0.05</v>
          </cell>
          <cell r="ET118">
            <v>3.6067239906592219E-2</v>
          </cell>
          <cell r="EV118" t="str">
            <v>NM</v>
          </cell>
          <cell r="EW118">
            <v>3.9999999999999813E-2</v>
          </cell>
          <cell r="EX118">
            <v>4.2276388542874965E-2</v>
          </cell>
          <cell r="EZ118">
            <v>0</v>
          </cell>
          <cell r="FA118">
            <v>0</v>
          </cell>
          <cell r="FB118">
            <v>0</v>
          </cell>
          <cell r="FD118">
            <v>2.2501610682441386E-2</v>
          </cell>
          <cell r="FE118">
            <v>2.2637076921179888E-2</v>
          </cell>
          <cell r="FF118">
            <v>2.2589902893498159E-2</v>
          </cell>
          <cell r="FH118">
            <v>3.7415214464936897E-2</v>
          </cell>
          <cell r="FI118">
            <v>7.1399019090570448E-2</v>
          </cell>
          <cell r="FJ118">
            <v>5.1808359840511242E-2</v>
          </cell>
        </row>
        <row r="119">
          <cell r="EM119" t="str">
            <v xml:space="preserve">2005E/04E </v>
          </cell>
          <cell r="EN119">
            <v>0</v>
          </cell>
          <cell r="EO119">
            <v>0</v>
          </cell>
          <cell r="EP119">
            <v>0</v>
          </cell>
          <cell r="ER119">
            <v>0.03</v>
          </cell>
          <cell r="ES119">
            <v>0.05</v>
          </cell>
          <cell r="ET119">
            <v>3.6148830555144285E-2</v>
          </cell>
          <cell r="EV119" t="str">
            <v>NM</v>
          </cell>
          <cell r="EW119">
            <v>0.04</v>
          </cell>
          <cell r="EX119">
            <v>4.2049236416621394E-2</v>
          </cell>
          <cell r="EZ119">
            <v>0</v>
          </cell>
          <cell r="FA119">
            <v>0</v>
          </cell>
          <cell r="FB119">
            <v>0</v>
          </cell>
          <cell r="FD119">
            <v>2.26009193891612E-2</v>
          </cell>
          <cell r="FE119">
            <v>2.2952221361577818E-2</v>
          </cell>
          <cell r="FF119">
            <v>2.2829896432196017E-2</v>
          </cell>
          <cell r="FH119">
            <v>4.6076622029444181E-2</v>
          </cell>
          <cell r="FI119">
            <v>6.6667584743925756E-2</v>
          </cell>
          <cell r="FJ119">
            <v>5.4959935589752984E-2</v>
          </cell>
        </row>
        <row r="121">
          <cell r="EM121" t="str">
            <v>2001E</v>
          </cell>
          <cell r="EN121">
            <v>53.881682242990657</v>
          </cell>
          <cell r="EO121">
            <v>39.55988235294118</v>
          </cell>
          <cell r="EP121">
            <v>93.441564595931837</v>
          </cell>
          <cell r="ER121">
            <v>129.90359999999998</v>
          </cell>
          <cell r="ES121">
            <v>54.434100000000001</v>
          </cell>
          <cell r="ET121">
            <v>184.33769999999998</v>
          </cell>
          <cell r="EV121">
            <v>3.4</v>
          </cell>
          <cell r="EW121">
            <v>127.52469589423725</v>
          </cell>
          <cell r="EX121">
            <v>130.92469589423726</v>
          </cell>
          <cell r="EZ121">
            <v>53.200000000000017</v>
          </cell>
          <cell r="FA121">
            <v>244.67999999999998</v>
          </cell>
          <cell r="FB121">
            <v>297.88</v>
          </cell>
          <cell r="FD121">
            <v>739.76199224299069</v>
          </cell>
          <cell r="FE121">
            <v>1385.0653212998102</v>
          </cell>
          <cell r="FF121">
            <v>2124.8273135428008</v>
          </cell>
          <cell r="FH121">
            <v>9996.9547272429918</v>
          </cell>
          <cell r="FI121">
            <v>6682.6858397834903</v>
          </cell>
          <cell r="FJ121">
            <v>16679.640567026483</v>
          </cell>
        </row>
        <row r="122">
          <cell r="EM122" t="str">
            <v>2002E</v>
          </cell>
          <cell r="EN122">
            <v>53.881682242990657</v>
          </cell>
          <cell r="EO122">
            <v>39.55988235294118</v>
          </cell>
          <cell r="EP122">
            <v>93.441564595931837</v>
          </cell>
          <cell r="ER122">
            <v>133.80070799999999</v>
          </cell>
          <cell r="ES122">
            <v>57.155805000000001</v>
          </cell>
          <cell r="ET122">
            <v>190.95651299999997</v>
          </cell>
          <cell r="EV122">
            <v>3.9</v>
          </cell>
          <cell r="EW122">
            <v>132.62568373000676</v>
          </cell>
          <cell r="EX122">
            <v>136.52568373000676</v>
          </cell>
          <cell r="EZ122">
            <v>53.200000000000017</v>
          </cell>
          <cell r="FA122">
            <v>244.67999999999998</v>
          </cell>
          <cell r="FB122">
            <v>297.88</v>
          </cell>
          <cell r="FD122">
            <v>756.2588289429907</v>
          </cell>
          <cell r="FE122">
            <v>1415.5452265966323</v>
          </cell>
          <cell r="FF122">
            <v>2171.8040555396228</v>
          </cell>
          <cell r="FH122">
            <v>11099.688641392991</v>
          </cell>
          <cell r="FI122">
            <v>7521.318461547171</v>
          </cell>
          <cell r="FJ122">
            <v>18621.007102940162</v>
          </cell>
        </row>
        <row r="123">
          <cell r="EM123" t="str">
            <v>2003E</v>
          </cell>
          <cell r="EN123">
            <v>53.881682242990657</v>
          </cell>
          <cell r="EO123">
            <v>39.55988235294118</v>
          </cell>
          <cell r="EP123">
            <v>93.441564595931837</v>
          </cell>
          <cell r="ER123">
            <v>137.81472923999999</v>
          </cell>
          <cell r="ES123">
            <v>60.013595250000002</v>
          </cell>
          <cell r="ET123">
            <v>197.82832449</v>
          </cell>
          <cell r="EV123">
            <v>4.4000000000000004</v>
          </cell>
          <cell r="EW123">
            <v>137.93071107920701</v>
          </cell>
          <cell r="EX123">
            <v>142.33071107920702</v>
          </cell>
          <cell r="EZ123">
            <v>53.200000000000017</v>
          </cell>
          <cell r="FA123">
            <v>244.67999999999998</v>
          </cell>
          <cell r="FB123">
            <v>297.88</v>
          </cell>
          <cell r="FD123">
            <v>773.20005985199077</v>
          </cell>
          <cell r="FE123">
            <v>1447.142553414106</v>
          </cell>
          <cell r="FF123">
            <v>2220.342613266097</v>
          </cell>
          <cell r="FH123">
            <v>11180.808776733491</v>
          </cell>
          <cell r="FI123">
            <v>8214.4763014821747</v>
          </cell>
          <cell r="FJ123">
            <v>19395.285078215667</v>
          </cell>
        </row>
        <row r="124">
          <cell r="EM124" t="str">
            <v>2004E</v>
          </cell>
          <cell r="EN124">
            <v>53.881682242990657</v>
          </cell>
          <cell r="EO124">
            <v>39.55988235294118</v>
          </cell>
          <cell r="EP124">
            <v>93.441564595931837</v>
          </cell>
          <cell r="ER124">
            <v>141.9491711172</v>
          </cell>
          <cell r="ES124">
            <v>63.014275012500001</v>
          </cell>
          <cell r="ET124">
            <v>204.9634461297</v>
          </cell>
          <cell r="EV124">
            <v>4.9000000000000004</v>
          </cell>
          <cell r="EW124">
            <v>143.44793952237526</v>
          </cell>
          <cell r="EX124">
            <v>148.34793952237527</v>
          </cell>
          <cell r="EZ124">
            <v>53.200000000000017</v>
          </cell>
          <cell r="FA124">
            <v>244.67999999999998</v>
          </cell>
          <cell r="FB124">
            <v>297.88</v>
          </cell>
          <cell r="FD124">
            <v>790.59830657842065</v>
          </cell>
          <cell r="FE124">
            <v>1479.9016307116538</v>
          </cell>
          <cell r="FF124">
            <v>2270.4999372900743</v>
          </cell>
          <cell r="FH124">
            <v>11599.141135006425</v>
          </cell>
          <cell r="FI124">
            <v>8800.9818517507392</v>
          </cell>
          <cell r="FJ124">
            <v>20400.122986757164</v>
          </cell>
        </row>
        <row r="125">
          <cell r="EM125" t="str">
            <v>2005E</v>
          </cell>
          <cell r="EN125">
            <v>53.881682242990657</v>
          </cell>
          <cell r="EO125">
            <v>39.55988235294118</v>
          </cell>
          <cell r="EP125">
            <v>93.441564595931837</v>
          </cell>
          <cell r="ER125">
            <v>146.20764625071598</v>
          </cell>
          <cell r="ES125">
            <v>66.164988763124995</v>
          </cell>
          <cell r="ET125">
            <v>212.37263501384098</v>
          </cell>
          <cell r="EV125">
            <v>5.4</v>
          </cell>
          <cell r="EW125">
            <v>149.18585710327028</v>
          </cell>
          <cell r="EX125">
            <v>154.58585710327029</v>
          </cell>
          <cell r="EZ125">
            <v>53.200000000000017</v>
          </cell>
          <cell r="FA125">
            <v>244.67999999999998</v>
          </cell>
          <cell r="FB125">
            <v>297.88</v>
          </cell>
          <cell r="FD125">
            <v>808.46655517460692</v>
          </cell>
          <cell r="FE125">
            <v>1513.8686605331075</v>
          </cell>
          <cell r="FF125">
            <v>2322.3352157077143</v>
          </cell>
          <cell r="FH125">
            <v>12133.590376950295</v>
          </cell>
          <cell r="FI125">
            <v>9387.7220551820847</v>
          </cell>
          <cell r="FJ125">
            <v>21521.312432132378</v>
          </cell>
        </row>
        <row r="127">
          <cell r="EM127" t="str">
            <v>E = Morgan Stanley Dean Witter Research Estimates             NM = Not Meaningful             A = Actual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theme/theme1.xml><?xml version="1.0" encoding="utf-8"?>
<a:theme xmlns:a="http://schemas.openxmlformats.org/drawingml/2006/main" name="XP Theme Colors">
  <a:themeElements>
    <a:clrScheme name="XP Theme Colors">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8E466A"/>
      </a:hlink>
      <a:folHlink>
        <a:srgbClr val="F3A7A9"/>
      </a:folHlink>
    </a:clrScheme>
    <a:fontScheme name="Office Classic 2">
      <a:maj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quity">
      <a:fillStyleLst>
        <a:solidFill>
          <a:schemeClr val="phClr"/>
        </a:solidFill>
        <a:blipFill>
          <a:blip xmlns:r="http://schemas.openxmlformats.org/officeDocument/2006/relationships">
            <a:duotone>
              <a:schemeClr val="phClr">
                <a:tint val="30000"/>
                <a:satMod val="300000"/>
              </a:schemeClr>
              <a:schemeClr val="phClr">
                <a:tint val="40000"/>
                <a:satMod val="200000"/>
              </a:schemeClr>
            </a:duotone>
          </a:blip>
          <a:tile tx="0" ty="0" sx="70000" sy="70000" flip="none" algn="ctr"/>
        </a:blipFill>
        <a:blipFill>
          <a:blip xmlns:r="http://schemas.openxmlformats.org/officeDocument/2006/relationships">
            <a:duotone>
              <a:schemeClr val="phClr">
                <a:shade val="22000"/>
                <a:satMod val="160000"/>
              </a:schemeClr>
              <a:schemeClr val="phClr">
                <a:shade val="45000"/>
                <a:satMod val="100000"/>
              </a:schemeClr>
            </a:duotone>
          </a:blip>
          <a:tile tx="0" ty="0" sx="65000" sy="65000" flip="none" algn="ctr"/>
        </a:blipFill>
      </a:fillStyleLst>
      <a:lnStyleLst>
        <a:ln w="9525" cap="flat" cmpd="sng" algn="ctr">
          <a:solidFill>
            <a:schemeClr val="phClr">
              <a:shade val="60000"/>
              <a:satMod val="110000"/>
            </a:schemeClr>
          </a:solidFill>
          <a:prstDash val="solid"/>
        </a:ln>
        <a:ln w="12700" cap="flat" cmpd="sng" algn="ctr">
          <a:solidFill>
            <a:schemeClr val="phClr"/>
          </a:solidFill>
          <a:prstDash val="solid"/>
        </a:ln>
        <a:ln w="38100" cap="flat" cmpd="sng" algn="ctr">
          <a:solidFill>
            <a:schemeClr val="phClr"/>
          </a:solidFill>
          <a:prstDash val="solid"/>
        </a:ln>
      </a:lnStyleLst>
      <a:effectStyleLst>
        <a:effectStyle>
          <a:effectLst>
            <a:outerShdw blurRad="38100" dist="25400" dir="5400000" algn="t" rotWithShape="0">
              <a:srgbClr val="000000">
                <a:alpha val="50000"/>
              </a:srgbClr>
            </a:outerShdw>
          </a:effectLst>
        </a:effectStyle>
        <a:effectStyle>
          <a:effectLst>
            <a:outerShdw blurRad="38100" dist="25400" dir="5400000" algn="t" rotWithShape="0">
              <a:srgbClr val="000000">
                <a:alpha val="50000"/>
              </a:srgbClr>
            </a:outerShdw>
          </a:effectLst>
        </a:effectStyle>
        <a:effectStyle>
          <a:effectLst>
            <a:outerShdw blurRad="50800" dist="50800" dir="5400000" algn="t" rotWithShape="0">
              <a:srgbClr val="000000">
                <a:alpha val="60000"/>
              </a:srgbClr>
            </a:outerShdw>
          </a:effectLst>
          <a:scene3d>
            <a:camera prst="isometricBottomUp" fov="0">
              <a:rot lat="0" lon="0" rev="0"/>
            </a:camera>
            <a:lightRig rig="soft" dir="b">
              <a:rot lat="0" lon="0" rev="9000000"/>
            </a:lightRig>
          </a:scene3d>
          <a:sp3d contourW="35000" prstMaterial="matte">
            <a:bevelT w="45000" h="38100" prst="convex"/>
            <a:contourClr>
              <a:schemeClr val="phClr">
                <a:tint val="10000"/>
                <a:satMod val="130000"/>
              </a:schemeClr>
            </a:contourClr>
          </a:sp3d>
        </a:effectStyle>
      </a:effectStyleLst>
      <a:bgFillStyleLst>
        <a:solidFill>
          <a:schemeClr val="phClr"/>
        </a:solidFill>
        <a:gradFill rotWithShape="1">
          <a:gsLst>
            <a:gs pos="0">
              <a:schemeClr val="phClr">
                <a:shade val="40000"/>
                <a:satMod val="165000"/>
              </a:schemeClr>
            </a:gs>
            <a:gs pos="50000">
              <a:schemeClr val="phClr">
                <a:shade val="80000"/>
                <a:satMod val="155000"/>
              </a:schemeClr>
            </a:gs>
            <a:gs pos="100000">
              <a:schemeClr val="phClr">
                <a:tint val="95000"/>
                <a:satMod val="200000"/>
              </a:schemeClr>
            </a:gs>
          </a:gsLst>
          <a:lin ang="16200000" scaled="1"/>
        </a:gradFill>
        <a:blipFill>
          <a:blip xmlns:r="http://schemas.openxmlformats.org/officeDocument/2006/relationships">
            <a:duotone>
              <a:schemeClr val="phClr">
                <a:tint val="95000"/>
                <a:satMod val="200000"/>
              </a:schemeClr>
              <a:schemeClr val="phClr">
                <a:shade val="80000"/>
                <a:satMod val="100000"/>
              </a:schemeClr>
            </a:duotone>
          </a:blip>
          <a:tile tx="0" ty="0" sx="55000" sy="55000" flip="none" algn="tl"/>
        </a:blip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printerSettings/printerSettings20.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21.xml.rels><?xml version="1.0" encoding="UTF-8" standalone="yes"?>
<Relationships xmlns="http://schemas.openxmlformats.org/package/2006/relationships">
<Relationship Id="rId1" Target="../printerSettings/printerSettings21.bin" Type="http://schemas.openxmlformats.org/officeDocument/2006/relationships/printerSettings"/>
<Relationship Id="rId2" Target="../drawings/drawing2.xml" Type="http://schemas.openxmlformats.org/officeDocument/2006/relationships/drawing"/>
<Relationship Id="rId3" Target="../drawings/vmlDrawing11.vml" Type="http://schemas.openxmlformats.org/officeDocument/2006/relationships/vmlDrawing"/>
<Relationship Id="rId4" Target="../comments11.xml" Type="http://schemas.openxmlformats.org/officeDocument/2006/relationships/comments"/>
</Relationships>

</file>

<file path=xl/worksheets/_rels/sheet22.xml.rels><?xml version="1.0" encoding="UTF-8" standalone="yes"?>
<Relationships xmlns="http://schemas.openxmlformats.org/package/2006/relationships">
<Relationship Id="rId1" Target="../printerSettings/printerSettings22.bin" Type="http://schemas.openxmlformats.org/officeDocument/2006/relationships/printerSettings"/>
<Relationship Id="rId2" Target="../drawings/drawing3.xml" Type="http://schemas.openxmlformats.org/officeDocument/2006/relationships/drawing"/>
<Relationship Id="rId3" Target="../drawings/vmlDrawing12.vml" Type="http://schemas.openxmlformats.org/officeDocument/2006/relationships/vmlDrawing"/>
<Relationship Id="rId4" Target="../comments12.xml" Type="http://schemas.openxmlformats.org/officeDocument/2006/relationships/comments"/>
</Relationships>

</file>

<file path=xl/worksheets/_rels/sheet23.xml.rels><?xml version="1.0" encoding="UTF-8" standalone="yes"?>
<Relationships xmlns="http://schemas.openxmlformats.org/package/2006/relationships">
<Relationship Id="rId1" Target="../printerSettings/printerSettings23.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printerSettings/printerSettings24.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389"/>
  <sheetViews>
    <sheetView showGridLines="0" tabSelected="1" workbookViewId="0">
      <selection activeCell="Z1" sqref="Z1"/>
    </sheetView>
  </sheetViews>
  <sheetFormatPr defaultRowHeight="12.75"/>
  <cols>
    <col min="1" max="1" width="25.625" style="1117" customWidth="1"/>
    <col min="2" max="5" width="9" style="1117"/>
    <col min="6" max="6" width="18.625" style="1117" customWidth="1"/>
    <col min="7" max="256" width="9" style="1117"/>
    <col min="257" max="257" width="88.125" style="1117" customWidth="1"/>
    <col min="258" max="512" width="9" style="1117"/>
    <col min="513" max="513" width="88.125" style="1117" customWidth="1"/>
    <col min="514" max="768" width="9" style="1117"/>
    <col min="769" max="769" width="88.125" style="1117" customWidth="1"/>
    <col min="770" max="1024" width="9" style="1117"/>
    <col min="1025" max="1025" width="88.125" style="1117" customWidth="1"/>
    <col min="1026" max="1280" width="9" style="1117"/>
    <col min="1281" max="1281" width="88.125" style="1117" customWidth="1"/>
    <col min="1282" max="1536" width="9" style="1117"/>
    <col min="1537" max="1537" width="88.125" style="1117" customWidth="1"/>
    <col min="1538" max="1792" width="9" style="1117"/>
    <col min="1793" max="1793" width="88.125" style="1117" customWidth="1"/>
    <col min="1794" max="2048" width="9" style="1117"/>
    <col min="2049" max="2049" width="88.125" style="1117" customWidth="1"/>
    <col min="2050" max="2304" width="9" style="1117"/>
    <col min="2305" max="2305" width="88.125" style="1117" customWidth="1"/>
    <col min="2306" max="2560" width="9" style="1117"/>
    <col min="2561" max="2561" width="88.125" style="1117" customWidth="1"/>
    <col min="2562" max="2816" width="9" style="1117"/>
    <col min="2817" max="2817" width="88.125" style="1117" customWidth="1"/>
    <col min="2818" max="3072" width="9" style="1117"/>
    <col min="3073" max="3073" width="88.125" style="1117" customWidth="1"/>
    <col min="3074" max="3328" width="9" style="1117"/>
    <col min="3329" max="3329" width="88.125" style="1117" customWidth="1"/>
    <col min="3330" max="3584" width="9" style="1117"/>
    <col min="3585" max="3585" width="88.125" style="1117" customWidth="1"/>
    <col min="3586" max="3840" width="9" style="1117"/>
    <col min="3841" max="3841" width="88.125" style="1117" customWidth="1"/>
    <col min="3842" max="4096" width="9" style="1117"/>
    <col min="4097" max="4097" width="88.125" style="1117" customWidth="1"/>
    <col min="4098" max="4352" width="9" style="1117"/>
    <col min="4353" max="4353" width="88.125" style="1117" customWidth="1"/>
    <col min="4354" max="4608" width="9" style="1117"/>
    <col min="4609" max="4609" width="88.125" style="1117" customWidth="1"/>
    <col min="4610" max="4864" width="9" style="1117"/>
    <col min="4865" max="4865" width="88.125" style="1117" customWidth="1"/>
    <col min="4866" max="5120" width="9" style="1117"/>
    <col min="5121" max="5121" width="88.125" style="1117" customWidth="1"/>
    <col min="5122" max="5376" width="9" style="1117"/>
    <col min="5377" max="5377" width="88.125" style="1117" customWidth="1"/>
    <col min="5378" max="5632" width="9" style="1117"/>
    <col min="5633" max="5633" width="88.125" style="1117" customWidth="1"/>
    <col min="5634" max="5888" width="9" style="1117"/>
    <col min="5889" max="5889" width="88.125" style="1117" customWidth="1"/>
    <col min="5890" max="6144" width="9" style="1117"/>
    <col min="6145" max="6145" width="88.125" style="1117" customWidth="1"/>
    <col min="6146" max="6400" width="9" style="1117"/>
    <col min="6401" max="6401" width="88.125" style="1117" customWidth="1"/>
    <col min="6402" max="6656" width="9" style="1117"/>
    <col min="6657" max="6657" width="88.125" style="1117" customWidth="1"/>
    <col min="6658" max="6912" width="9" style="1117"/>
    <col min="6913" max="6913" width="88.125" style="1117" customWidth="1"/>
    <col min="6914" max="7168" width="9" style="1117"/>
    <col min="7169" max="7169" width="88.125" style="1117" customWidth="1"/>
    <col min="7170" max="7424" width="9" style="1117"/>
    <col min="7425" max="7425" width="88.125" style="1117" customWidth="1"/>
    <col min="7426" max="7680" width="9" style="1117"/>
    <col min="7681" max="7681" width="88.125" style="1117" customWidth="1"/>
    <col min="7682" max="7936" width="9" style="1117"/>
    <col min="7937" max="7937" width="88.125" style="1117" customWidth="1"/>
    <col min="7938" max="8192" width="9" style="1117"/>
    <col min="8193" max="8193" width="88.125" style="1117" customWidth="1"/>
    <col min="8194" max="8448" width="9" style="1117"/>
    <col min="8449" max="8449" width="88.125" style="1117" customWidth="1"/>
    <col min="8450" max="8704" width="9" style="1117"/>
    <col min="8705" max="8705" width="88.125" style="1117" customWidth="1"/>
    <col min="8706" max="8960" width="9" style="1117"/>
    <col min="8961" max="8961" width="88.125" style="1117" customWidth="1"/>
    <col min="8962" max="9216" width="9" style="1117"/>
    <col min="9217" max="9217" width="88.125" style="1117" customWidth="1"/>
    <col min="9218" max="9472" width="9" style="1117"/>
    <col min="9473" max="9473" width="88.125" style="1117" customWidth="1"/>
    <col min="9474" max="9728" width="9" style="1117"/>
    <col min="9729" max="9729" width="88.125" style="1117" customWidth="1"/>
    <col min="9730" max="9984" width="9" style="1117"/>
    <col min="9985" max="9985" width="88.125" style="1117" customWidth="1"/>
    <col min="9986" max="10240" width="9" style="1117"/>
    <col min="10241" max="10241" width="88.125" style="1117" customWidth="1"/>
    <col min="10242" max="10496" width="9" style="1117"/>
    <col min="10497" max="10497" width="88.125" style="1117" customWidth="1"/>
    <col min="10498" max="10752" width="9" style="1117"/>
    <col min="10753" max="10753" width="88.125" style="1117" customWidth="1"/>
    <col min="10754" max="11008" width="9" style="1117"/>
    <col min="11009" max="11009" width="88.125" style="1117" customWidth="1"/>
    <col min="11010" max="11264" width="9" style="1117"/>
    <col min="11265" max="11265" width="88.125" style="1117" customWidth="1"/>
    <col min="11266" max="11520" width="9" style="1117"/>
    <col min="11521" max="11521" width="88.125" style="1117" customWidth="1"/>
    <col min="11522" max="11776" width="9" style="1117"/>
    <col min="11777" max="11777" width="88.125" style="1117" customWidth="1"/>
    <col min="11778" max="12032" width="9" style="1117"/>
    <col min="12033" max="12033" width="88.125" style="1117" customWidth="1"/>
    <col min="12034" max="12288" width="9" style="1117"/>
    <col min="12289" max="12289" width="88.125" style="1117" customWidth="1"/>
    <col min="12290" max="12544" width="9" style="1117"/>
    <col min="12545" max="12545" width="88.125" style="1117" customWidth="1"/>
    <col min="12546" max="12800" width="9" style="1117"/>
    <col min="12801" max="12801" width="88.125" style="1117" customWidth="1"/>
    <col min="12802" max="13056" width="9" style="1117"/>
    <col min="13057" max="13057" width="88.125" style="1117" customWidth="1"/>
    <col min="13058" max="13312" width="9" style="1117"/>
    <col min="13313" max="13313" width="88.125" style="1117" customWidth="1"/>
    <col min="13314" max="13568" width="9" style="1117"/>
    <col min="13569" max="13569" width="88.125" style="1117" customWidth="1"/>
    <col min="13570" max="13824" width="9" style="1117"/>
    <col min="13825" max="13825" width="88.125" style="1117" customWidth="1"/>
    <col min="13826" max="14080" width="9" style="1117"/>
    <col min="14081" max="14081" width="88.125" style="1117" customWidth="1"/>
    <col min="14082" max="14336" width="9" style="1117"/>
    <col min="14337" max="14337" width="88.125" style="1117" customWidth="1"/>
    <col min="14338" max="14592" width="9" style="1117"/>
    <col min="14593" max="14593" width="88.125" style="1117" customWidth="1"/>
    <col min="14594" max="14848" width="9" style="1117"/>
    <col min="14849" max="14849" width="88.125" style="1117" customWidth="1"/>
    <col min="14850" max="15104" width="9" style="1117"/>
    <col min="15105" max="15105" width="88.125" style="1117" customWidth="1"/>
    <col min="15106" max="15360" width="9" style="1117"/>
    <col min="15361" max="15361" width="88.125" style="1117" customWidth="1"/>
    <col min="15362" max="15616" width="9" style="1117"/>
    <col min="15617" max="15617" width="88.125" style="1117" customWidth="1"/>
    <col min="15618" max="15872" width="9" style="1117"/>
    <col min="15873" max="15873" width="88.125" style="1117" customWidth="1"/>
    <col min="15874" max="16128" width="9" style="1117"/>
    <col min="16129" max="16129" width="88.125" style="1117" customWidth="1"/>
    <col min="16130" max="16384" width="9" style="1117"/>
  </cols>
  <sheetData>
    <row r="1" spans="1:8" ht="30" customHeight="1">
      <c r="A1" s="1115"/>
      <c r="B1" s="1116"/>
      <c r="C1" s="1116"/>
      <c r="D1" s="1116"/>
      <c r="E1" s="1116"/>
      <c r="F1" s="1116"/>
      <c r="G1" s="1116"/>
      <c r="H1" s="1116"/>
    </row>
    <row r="2" spans="1:8" ht="14.25">
      <c r="A2" s="1118" t="s">
        <v>909</v>
      </c>
      <c r="B2" s="1116"/>
      <c r="C2" s="1116"/>
      <c r="D2" s="1116"/>
      <c r="E2" s="1116"/>
      <c r="F2" s="1116"/>
      <c r="G2" s="1116"/>
      <c r="H2" s="1116"/>
    </row>
    <row r="3" spans="1:8" ht="14.25">
      <c r="A3" s="1118" t="s">
        <v>910</v>
      </c>
      <c r="B3" s="1116"/>
      <c r="C3" s="1116"/>
      <c r="D3" s="1116"/>
      <c r="E3" s="1116"/>
      <c r="F3" s="1116"/>
      <c r="G3" s="1116"/>
      <c r="H3" s="1116"/>
    </row>
    <row r="4" spans="1:8" ht="14.25">
      <c r="A4" s="1118" t="s">
        <v>485</v>
      </c>
      <c r="B4" s="1116"/>
      <c r="C4" s="1116"/>
      <c r="D4" s="1116"/>
      <c r="E4" s="1116"/>
      <c r="F4" s="1116"/>
      <c r="G4" s="1116"/>
      <c r="H4" s="1116"/>
    </row>
    <row r="5" spans="1:8" ht="14.25">
      <c r="A5" s="1118" t="s">
        <v>911</v>
      </c>
      <c r="B5" s="1116"/>
      <c r="C5" s="1116"/>
      <c r="D5" s="1116"/>
      <c r="E5" s="1116"/>
      <c r="F5" s="1116"/>
      <c r="G5" s="1116"/>
      <c r="H5" s="1116"/>
    </row>
    <row r="6" spans="1:8" ht="14.25">
      <c r="A6" s="1118"/>
      <c r="B6" s="1116"/>
      <c r="C6" s="1116"/>
      <c r="D6" s="1116"/>
      <c r="E6" s="1116"/>
      <c r="F6" s="1116"/>
      <c r="G6" s="1116"/>
      <c r="H6" s="1116"/>
    </row>
    <row r="7" spans="1:8">
      <c r="A7" s="1115" t="s">
        <v>912</v>
      </c>
      <c r="B7" s="1116"/>
      <c r="C7" s="1116"/>
      <c r="D7" s="1116"/>
      <c r="E7" s="1116"/>
      <c r="F7" s="1116"/>
      <c r="G7" s="1116"/>
      <c r="H7" s="1116"/>
    </row>
    <row r="8" spans="1:8">
      <c r="A8" s="1115" t="s">
        <v>913</v>
      </c>
      <c r="B8" s="1116"/>
      <c r="C8" s="1116"/>
      <c r="D8" s="1116"/>
      <c r="E8" s="1116"/>
      <c r="F8" s="1116"/>
      <c r="G8" s="1116"/>
      <c r="H8" s="1116"/>
    </row>
    <row r="9" spans="1:8">
      <c r="A9" s="1115"/>
      <c r="B9" s="1116"/>
      <c r="C9" s="1116"/>
      <c r="D9" s="1116"/>
      <c r="E9" s="1116"/>
      <c r="F9" s="1116"/>
      <c r="G9" s="1116"/>
      <c r="H9" s="1116"/>
    </row>
    <row r="10" spans="1:8">
      <c r="A10" s="1119" t="s">
        <v>914</v>
      </c>
      <c r="B10" s="1116"/>
      <c r="C10" s="1116"/>
      <c r="D10" s="1116"/>
      <c r="E10" s="1116"/>
      <c r="F10" s="1116"/>
      <c r="G10" s="1116"/>
      <c r="H10" s="1116"/>
    </row>
    <row r="11" spans="1:8">
      <c r="A11" s="1119" t="s">
        <v>915</v>
      </c>
      <c r="B11" s="1116"/>
      <c r="C11" s="1116"/>
      <c r="D11" s="1116"/>
      <c r="E11" s="1116"/>
      <c r="F11" s="1116"/>
      <c r="G11" s="1116"/>
      <c r="H11" s="1116"/>
    </row>
    <row r="12" spans="1:8">
      <c r="A12" s="1119" t="s">
        <v>916</v>
      </c>
      <c r="B12" s="1116"/>
      <c r="C12" s="1116"/>
      <c r="D12" s="1116"/>
      <c r="E12" s="1116"/>
      <c r="F12" s="1116"/>
      <c r="G12" s="1116"/>
      <c r="H12" s="1116"/>
    </row>
    <row r="13" spans="1:8">
      <c r="A13" s="1119" t="s">
        <v>917</v>
      </c>
      <c r="B13" s="1116"/>
      <c r="C13" s="1116"/>
      <c r="D13" s="1116"/>
      <c r="E13" s="1116"/>
      <c r="F13" s="1116"/>
      <c r="G13" s="1116"/>
      <c r="H13" s="1116"/>
    </row>
    <row r="14" spans="1:8">
      <c r="A14" s="1119" t="s">
        <v>918</v>
      </c>
      <c r="B14" s="1116"/>
      <c r="C14" s="1116"/>
      <c r="D14" s="1116"/>
      <c r="E14" s="1116"/>
      <c r="F14" s="1116"/>
      <c r="G14" s="1116"/>
      <c r="H14" s="1116"/>
    </row>
    <row r="15" spans="1:8">
      <c r="A15" s="1119" t="s">
        <v>919</v>
      </c>
      <c r="B15" s="1116"/>
      <c r="C15" s="1116"/>
      <c r="D15" s="1116"/>
      <c r="E15" s="1116"/>
      <c r="F15" s="1116"/>
      <c r="G15" s="1116"/>
      <c r="H15" s="1116"/>
    </row>
    <row r="16" spans="1:8">
      <c r="A16" s="1119"/>
      <c r="B16" s="1116"/>
      <c r="C16" s="1116"/>
      <c r="D16" s="1116"/>
      <c r="E16" s="1116"/>
      <c r="F16" s="1116"/>
      <c r="G16" s="1116"/>
      <c r="H16" s="1116"/>
    </row>
    <row r="17" spans="1:8">
      <c r="A17" s="1119" t="s">
        <v>906</v>
      </c>
      <c r="B17" s="1116"/>
      <c r="C17" s="1116"/>
      <c r="D17" s="1116"/>
      <c r="E17" s="1116"/>
      <c r="F17" s="1116"/>
      <c r="G17" s="1116"/>
      <c r="H17" s="1116"/>
    </row>
    <row r="18" spans="1:8">
      <c r="A18" s="1119"/>
      <c r="B18" s="1116"/>
      <c r="C18" s="1116"/>
      <c r="D18" s="1116"/>
      <c r="E18" s="1116"/>
      <c r="F18" s="1116"/>
      <c r="G18" s="1116"/>
      <c r="H18" s="1116"/>
    </row>
    <row r="19" spans="1:8">
      <c r="A19" s="1119" t="s">
        <v>907</v>
      </c>
      <c r="B19" s="1116"/>
      <c r="C19" s="1116"/>
      <c r="D19" s="1116"/>
      <c r="E19" s="1116"/>
      <c r="F19" s="1116"/>
      <c r="G19" s="1116"/>
      <c r="H19" s="1116"/>
    </row>
    <row r="20" spans="1:8">
      <c r="A20" s="1115"/>
      <c r="B20" s="1116"/>
      <c r="C20" s="1116"/>
      <c r="D20" s="1116"/>
      <c r="E20" s="1116"/>
      <c r="F20" s="1116"/>
      <c r="G20" s="1116"/>
      <c r="H20" s="1116"/>
    </row>
    <row r="21" spans="1:8">
      <c r="A21" s="1120" t="s">
        <v>908</v>
      </c>
      <c r="B21" s="1116"/>
      <c r="C21" s="1116"/>
      <c r="D21" s="1116"/>
      <c r="E21" s="1116"/>
      <c r="F21" s="1116"/>
      <c r="G21" s="1116"/>
      <c r="H21" s="1116"/>
    </row>
    <row r="22" spans="1:8" ht="13.5">
      <c r="A22" s="1121"/>
      <c r="B22" s="1121"/>
      <c r="C22" s="1121"/>
      <c r="D22" s="1121"/>
      <c r="E22" s="1121"/>
      <c r="F22" s="1121"/>
      <c r="G22" s="1121"/>
      <c r="H22" s="1121"/>
    </row>
    <row r="23" spans="1:8" ht="13.5">
      <c r="A23" s="1122" t="s">
        <v>1197</v>
      </c>
      <c r="B23" s="1121"/>
      <c r="C23" s="1121"/>
      <c r="D23" s="1121"/>
      <c r="E23" s="1121"/>
      <c r="F23" s="1121"/>
      <c r="G23" s="1121"/>
      <c r="H23" s="1121"/>
    </row>
    <row r="24" spans="1:8" ht="13.5">
      <c r="A24" s="1122" t="s">
        <v>1198</v>
      </c>
      <c r="B24" s="1121"/>
      <c r="C24" s="1121"/>
      <c r="D24" s="1121"/>
      <c r="E24" s="1121"/>
      <c r="F24" s="1121"/>
      <c r="G24" s="1121"/>
      <c r="H24" s="1121"/>
    </row>
    <row r="25" spans="1:8" ht="13.5">
      <c r="A25" s="1122" t="s">
        <v>1199</v>
      </c>
      <c r="B25" s="1121"/>
      <c r="C25" s="1121"/>
      <c r="D25" s="1121"/>
      <c r="E25" s="1121"/>
      <c r="F25" s="1121"/>
      <c r="G25" s="1121"/>
      <c r="H25" s="1121"/>
    </row>
    <row r="26" spans="1:8" ht="13.5">
      <c r="A26" s="1122" t="s">
        <v>1200</v>
      </c>
      <c r="B26" s="1121"/>
      <c r="C26" s="1121"/>
      <c r="D26" s="1121"/>
      <c r="E26" s="1121"/>
      <c r="F26" s="1121"/>
      <c r="G26" s="1121"/>
      <c r="H26" s="1121"/>
    </row>
    <row r="27" spans="1:8" ht="13.5">
      <c r="A27" s="1121"/>
      <c r="B27" s="1121"/>
      <c r="C27" s="1121"/>
      <c r="D27" s="1121"/>
      <c r="E27" s="1121"/>
      <c r="F27" s="1121"/>
      <c r="G27" s="1121"/>
      <c r="H27" s="1121"/>
    </row>
    <row r="28" spans="1:8" ht="13.5">
      <c r="A28" s="1121"/>
      <c r="B28" s="1121"/>
      <c r="C28" s="1121"/>
      <c r="D28" s="1121"/>
      <c r="E28" s="1121"/>
      <c r="F28" s="1121"/>
      <c r="G28" s="1121"/>
      <c r="H28" s="1121"/>
    </row>
    <row r="29" spans="1:8" ht="13.5">
      <c r="A29" s="1122" t="s">
        <v>1192</v>
      </c>
      <c r="B29" s="1121"/>
      <c r="C29" s="1121"/>
      <c r="D29" s="1121"/>
      <c r="E29" s="1121"/>
      <c r="F29" s="1121"/>
      <c r="G29" s="1121"/>
      <c r="H29" s="1121"/>
    </row>
    <row r="30" spans="1:8" ht="13.5">
      <c r="A30" s="1122" t="s">
        <v>1193</v>
      </c>
      <c r="B30" s="1121"/>
      <c r="C30" s="1121"/>
      <c r="D30" s="1121"/>
      <c r="E30" s="1121"/>
      <c r="F30" s="1121"/>
      <c r="G30" s="1121"/>
      <c r="H30" s="1121"/>
    </row>
    <row r="31" spans="1:8" ht="13.5">
      <c r="A31" s="1122" t="s">
        <v>1194</v>
      </c>
      <c r="B31" s="1121"/>
      <c r="C31" s="1121"/>
      <c r="D31" s="1121"/>
      <c r="E31" s="1121"/>
      <c r="F31" s="1121"/>
      <c r="G31" s="1121"/>
      <c r="H31" s="1121"/>
    </row>
    <row r="32" spans="1:8" ht="13.5">
      <c r="A32" s="1122" t="s">
        <v>1195</v>
      </c>
      <c r="B32" s="1121"/>
      <c r="C32" s="1121"/>
      <c r="D32" s="1121"/>
      <c r="E32" s="1121"/>
      <c r="F32" s="1121"/>
      <c r="G32" s="1121"/>
      <c r="H32" s="1121"/>
    </row>
    <row r="33" spans="1:8" ht="13.5">
      <c r="A33" s="1122" t="s">
        <v>1196</v>
      </c>
      <c r="B33" s="1121"/>
      <c r="C33" s="1121"/>
      <c r="D33" s="1121"/>
      <c r="E33" s="1121"/>
      <c r="F33" s="1121"/>
      <c r="G33" s="1121"/>
      <c r="H33" s="1121"/>
    </row>
    <row r="34" spans="1:8" ht="13.5">
      <c r="A34" s="1121"/>
      <c r="B34" s="1121"/>
      <c r="C34" s="1121"/>
      <c r="D34" s="1121"/>
      <c r="E34" s="1121"/>
      <c r="F34" s="1121"/>
      <c r="G34" s="1121"/>
      <c r="H34" s="1121"/>
    </row>
    <row r="35" spans="1:8" ht="13.5">
      <c r="A35" s="1122" t="s">
        <v>1188</v>
      </c>
      <c r="B35" s="1121"/>
      <c r="C35" s="1121"/>
      <c r="D35" s="1121"/>
      <c r="E35" s="1121"/>
      <c r="F35" s="1121"/>
      <c r="G35" s="1121"/>
      <c r="H35" s="1121"/>
    </row>
    <row r="36" spans="1:8" ht="13.5">
      <c r="A36" s="1122" t="s">
        <v>1189</v>
      </c>
      <c r="B36" s="1121"/>
      <c r="C36" s="1121"/>
      <c r="D36" s="1121"/>
      <c r="E36" s="1121"/>
      <c r="F36" s="1121"/>
      <c r="G36" s="1121"/>
      <c r="H36" s="1121"/>
    </row>
    <row r="37" spans="1:8" ht="13.5">
      <c r="A37" s="1122" t="s">
        <v>1190</v>
      </c>
      <c r="B37" s="1121"/>
      <c r="C37" s="1121"/>
      <c r="D37" s="1121"/>
      <c r="E37" s="1121"/>
      <c r="F37" s="1121"/>
      <c r="G37" s="1121"/>
      <c r="H37" s="1121"/>
    </row>
    <row r="38" spans="1:8" ht="13.5">
      <c r="A38" s="1122" t="s">
        <v>1191</v>
      </c>
      <c r="B38" s="1121"/>
      <c r="C38" s="1121"/>
      <c r="D38" s="1121"/>
      <c r="E38" s="1121"/>
      <c r="F38" s="1121"/>
      <c r="G38" s="1121"/>
      <c r="H38" s="1121"/>
    </row>
    <row r="39" spans="1:8" ht="13.5">
      <c r="A39" s="1121"/>
      <c r="B39" s="1121"/>
      <c r="C39" s="1121"/>
      <c r="D39" s="1121"/>
      <c r="E39" s="1121"/>
      <c r="F39" s="1121"/>
      <c r="G39" s="1121"/>
      <c r="H39" s="1121"/>
    </row>
    <row r="40" spans="1:8" ht="13.5">
      <c r="A40" s="1122" t="s">
        <v>1182</v>
      </c>
      <c r="B40" s="1121"/>
      <c r="C40" s="1121"/>
      <c r="D40" s="1121"/>
      <c r="E40" s="1121"/>
      <c r="F40" s="1121"/>
      <c r="G40" s="1121"/>
      <c r="H40" s="1121"/>
    </row>
    <row r="41" spans="1:8" ht="13.5">
      <c r="A41" s="1122" t="s">
        <v>1183</v>
      </c>
      <c r="B41" s="1121"/>
      <c r="C41" s="1121"/>
      <c r="D41" s="1121"/>
      <c r="E41" s="1121"/>
      <c r="F41" s="1121"/>
      <c r="G41" s="1121"/>
      <c r="H41" s="1121"/>
    </row>
    <row r="42" spans="1:8" ht="13.5">
      <c r="A42" s="1122" t="s">
        <v>1184</v>
      </c>
      <c r="B42" s="1121"/>
      <c r="C42" s="1121"/>
      <c r="D42" s="1121"/>
      <c r="E42" s="1121"/>
      <c r="F42" s="1121"/>
      <c r="G42" s="1121"/>
      <c r="H42" s="1121"/>
    </row>
    <row r="43" spans="1:8" ht="13.5">
      <c r="A43" s="1122" t="s">
        <v>1185</v>
      </c>
      <c r="B43" s="1121"/>
      <c r="C43" s="1121"/>
      <c r="D43" s="1121"/>
      <c r="E43" s="1121"/>
      <c r="F43" s="1121"/>
      <c r="G43" s="1121"/>
      <c r="H43" s="1121"/>
    </row>
    <row r="44" spans="1:8" ht="13.5">
      <c r="A44" s="1122" t="s">
        <v>1186</v>
      </c>
      <c r="B44" s="1121"/>
      <c r="C44" s="1121"/>
      <c r="D44" s="1121"/>
      <c r="E44" s="1121"/>
      <c r="F44" s="1121"/>
      <c r="G44" s="1121"/>
      <c r="H44" s="1121"/>
    </row>
    <row r="45" spans="1:8" ht="13.5">
      <c r="A45" s="1122" t="s">
        <v>1187</v>
      </c>
      <c r="B45" s="1121"/>
      <c r="C45" s="1121"/>
      <c r="D45" s="1121"/>
      <c r="E45" s="1121"/>
      <c r="F45" s="1121"/>
      <c r="G45" s="1121"/>
      <c r="H45" s="1121"/>
    </row>
    <row r="46" spans="1:8" ht="13.5">
      <c r="A46" s="1121"/>
      <c r="B46" s="1121"/>
      <c r="C46" s="1121"/>
      <c r="D46" s="1121"/>
      <c r="E46" s="1121"/>
      <c r="F46" s="1121"/>
      <c r="G46" s="1121"/>
      <c r="H46" s="1121"/>
    </row>
    <row r="47" spans="1:8" ht="15.75">
      <c r="A47" s="1123" t="s">
        <v>920</v>
      </c>
      <c r="B47" s="1121"/>
      <c r="C47" s="1121"/>
      <c r="D47" s="1121"/>
      <c r="E47" s="1121"/>
      <c r="F47" s="1121"/>
      <c r="G47" s="1121"/>
      <c r="H47" s="1121"/>
    </row>
    <row r="48" spans="1:8" ht="13.5">
      <c r="A48" s="1121"/>
      <c r="B48" s="1121"/>
      <c r="C48" s="1121"/>
      <c r="D48" s="1121"/>
      <c r="E48" s="1121"/>
      <c r="F48" s="1121"/>
      <c r="G48" s="1121"/>
      <c r="H48" s="1121"/>
    </row>
    <row r="49" spans="1:8" ht="13.5">
      <c r="A49" s="1122" t="s">
        <v>1178</v>
      </c>
      <c r="B49" s="1121"/>
      <c r="C49" s="1121"/>
      <c r="D49" s="1121"/>
      <c r="E49" s="1121"/>
      <c r="F49" s="1121"/>
      <c r="G49" s="1121"/>
      <c r="H49" s="1121"/>
    </row>
    <row r="50" spans="1:8" ht="13.5">
      <c r="A50" s="1122" t="s">
        <v>1179</v>
      </c>
      <c r="B50" s="1121"/>
      <c r="C50" s="1121"/>
      <c r="D50" s="1121"/>
      <c r="E50" s="1121"/>
      <c r="F50" s="1121"/>
      <c r="G50" s="1121"/>
      <c r="H50" s="1121"/>
    </row>
    <row r="51" spans="1:8" ht="13.5">
      <c r="A51" s="1122" t="s">
        <v>1180</v>
      </c>
      <c r="B51" s="1121"/>
      <c r="C51" s="1121"/>
      <c r="D51" s="1121"/>
      <c r="E51" s="1121"/>
      <c r="F51" s="1121"/>
      <c r="G51" s="1121"/>
      <c r="H51" s="1121"/>
    </row>
    <row r="52" spans="1:8" ht="13.5">
      <c r="A52" s="1122" t="s">
        <v>1181</v>
      </c>
      <c r="B52" s="1121"/>
      <c r="C52" s="1121"/>
      <c r="D52" s="1121"/>
      <c r="E52" s="1121"/>
      <c r="F52" s="1121"/>
      <c r="G52" s="1121"/>
      <c r="H52" s="1121"/>
    </row>
    <row r="53" spans="1:8" ht="13.5">
      <c r="A53" s="1121"/>
      <c r="B53" s="1121"/>
      <c r="C53" s="1121"/>
      <c r="D53" s="1121"/>
      <c r="E53" s="1121"/>
      <c r="F53" s="1121"/>
      <c r="G53" s="1121"/>
      <c r="H53" s="1121"/>
    </row>
    <row r="54" spans="1:8" ht="13.5">
      <c r="A54" s="1122" t="s">
        <v>921</v>
      </c>
      <c r="B54" s="1121"/>
      <c r="C54" s="1121"/>
      <c r="D54" s="1121"/>
      <c r="E54" s="1121"/>
      <c r="F54" s="1121"/>
      <c r="G54" s="1121"/>
      <c r="H54" s="1121"/>
    </row>
    <row r="55" spans="1:8" ht="13.5">
      <c r="A55" s="1121"/>
      <c r="B55" s="1121"/>
      <c r="C55" s="1121"/>
      <c r="D55" s="1121"/>
      <c r="E55" s="1121"/>
      <c r="F55" s="1121"/>
      <c r="G55" s="1121"/>
      <c r="H55" s="1121"/>
    </row>
    <row r="56" spans="1:8" ht="15.75">
      <c r="A56" s="1123" t="s">
        <v>922</v>
      </c>
      <c r="B56" s="1121"/>
      <c r="C56" s="1121"/>
      <c r="D56" s="1121"/>
      <c r="E56" s="1121"/>
      <c r="F56" s="1121"/>
      <c r="G56" s="1121"/>
      <c r="H56" s="1121"/>
    </row>
    <row r="57" spans="1:8" ht="13.5">
      <c r="A57" s="1121"/>
      <c r="B57" s="1121"/>
      <c r="C57" s="1121"/>
      <c r="D57" s="1121"/>
      <c r="E57" s="1121"/>
      <c r="F57" s="1121"/>
      <c r="G57" s="1121"/>
      <c r="H57" s="1121"/>
    </row>
    <row r="58" spans="1:8" ht="13.5">
      <c r="A58" s="1122" t="s">
        <v>1176</v>
      </c>
      <c r="B58" s="1121"/>
      <c r="C58" s="1121"/>
      <c r="D58" s="1121"/>
      <c r="E58" s="1121"/>
      <c r="F58" s="1121"/>
      <c r="G58" s="1121"/>
      <c r="H58" s="1121"/>
    </row>
    <row r="59" spans="1:8" ht="13.5">
      <c r="A59" s="1122" t="s">
        <v>1177</v>
      </c>
      <c r="B59" s="1121"/>
      <c r="C59" s="1121"/>
      <c r="D59" s="1121"/>
      <c r="E59" s="1121"/>
      <c r="F59" s="1121"/>
      <c r="G59" s="1121"/>
      <c r="H59" s="1121"/>
    </row>
    <row r="60" spans="1:8" ht="13.5">
      <c r="A60" s="1121"/>
      <c r="B60" s="1121"/>
      <c r="C60" s="1121"/>
      <c r="D60" s="1121"/>
      <c r="E60" s="1121"/>
      <c r="F60" s="1121"/>
      <c r="G60" s="1121"/>
      <c r="H60" s="1121"/>
    </row>
    <row r="61" spans="1:8" ht="15.75">
      <c r="A61" s="1123" t="s">
        <v>923</v>
      </c>
      <c r="B61" s="1121"/>
      <c r="C61" s="1121"/>
      <c r="D61" s="1121"/>
      <c r="E61" s="1121"/>
      <c r="F61" s="1121"/>
      <c r="G61" s="1121"/>
      <c r="H61" s="1121"/>
    </row>
    <row r="62" spans="1:8" ht="13.5">
      <c r="A62" s="1121"/>
      <c r="B62" s="1121"/>
      <c r="C62" s="1121"/>
      <c r="D62" s="1121"/>
      <c r="E62" s="1121"/>
      <c r="F62" s="1121"/>
      <c r="G62" s="1121"/>
      <c r="H62" s="1121"/>
    </row>
    <row r="63" spans="1:8" ht="13.5">
      <c r="A63" s="1122" t="s">
        <v>1174</v>
      </c>
      <c r="B63" s="1121"/>
      <c r="C63" s="1121"/>
      <c r="D63" s="1121"/>
      <c r="E63" s="1121"/>
      <c r="F63" s="1121"/>
      <c r="G63" s="1121"/>
      <c r="H63" s="1121"/>
    </row>
    <row r="64" spans="1:8" ht="13.5">
      <c r="A64" s="1122" t="s">
        <v>1175</v>
      </c>
      <c r="B64" s="1121"/>
      <c r="C64" s="1121"/>
      <c r="D64" s="1121"/>
      <c r="E64" s="1121"/>
      <c r="F64" s="1121"/>
      <c r="G64" s="1121"/>
      <c r="H64" s="1121"/>
    </row>
    <row r="65" spans="1:8" ht="13.5">
      <c r="A65" s="1121"/>
      <c r="B65" s="1121"/>
      <c r="C65" s="1121"/>
      <c r="D65" s="1121"/>
      <c r="E65" s="1121"/>
      <c r="F65" s="1121"/>
      <c r="G65" s="1121"/>
      <c r="H65" s="1121"/>
    </row>
    <row r="66" spans="1:8" ht="13.5">
      <c r="A66" s="1122" t="s">
        <v>1171</v>
      </c>
      <c r="B66" s="1121"/>
      <c r="C66" s="1121"/>
      <c r="D66" s="1121"/>
      <c r="E66" s="1121"/>
      <c r="F66" s="1121"/>
      <c r="G66" s="1121"/>
      <c r="H66" s="1121"/>
    </row>
    <row r="67" spans="1:8" ht="13.5">
      <c r="A67" s="1122" t="s">
        <v>1172</v>
      </c>
      <c r="B67" s="1121"/>
      <c r="C67" s="1121"/>
      <c r="D67" s="1121"/>
      <c r="E67" s="1121"/>
      <c r="F67" s="1121"/>
      <c r="G67" s="1121"/>
      <c r="H67" s="1121"/>
    </row>
    <row r="68" spans="1:8" ht="13.5">
      <c r="A68" s="1122" t="s">
        <v>1173</v>
      </c>
      <c r="B68" s="1121"/>
      <c r="C68" s="1121"/>
      <c r="D68" s="1121"/>
      <c r="E68" s="1121"/>
      <c r="F68" s="1121"/>
      <c r="G68" s="1121"/>
      <c r="H68" s="1121"/>
    </row>
    <row r="69" spans="1:8" ht="13.5">
      <c r="A69" s="1121"/>
      <c r="B69" s="1121"/>
      <c r="C69" s="1121"/>
      <c r="D69" s="1121"/>
      <c r="E69" s="1121"/>
      <c r="F69" s="1121"/>
      <c r="G69" s="1121"/>
      <c r="H69" s="1121"/>
    </row>
    <row r="70" spans="1:8" ht="13.5">
      <c r="A70" s="1122" t="s">
        <v>1168</v>
      </c>
      <c r="B70" s="1121"/>
      <c r="C70" s="1121"/>
      <c r="D70" s="1121"/>
      <c r="E70" s="1121"/>
      <c r="F70" s="1121"/>
      <c r="G70" s="1121"/>
      <c r="H70" s="1121"/>
    </row>
    <row r="71" spans="1:8" ht="13.5">
      <c r="A71" s="1122" t="s">
        <v>1169</v>
      </c>
      <c r="B71" s="1121"/>
      <c r="C71" s="1121"/>
      <c r="D71" s="1121"/>
      <c r="E71" s="1121"/>
      <c r="F71" s="1121"/>
      <c r="G71" s="1121"/>
      <c r="H71" s="1121"/>
    </row>
    <row r="72" spans="1:8" ht="13.5">
      <c r="A72" s="1122" t="s">
        <v>1170</v>
      </c>
      <c r="B72" s="1121"/>
      <c r="C72" s="1121"/>
      <c r="D72" s="1121"/>
      <c r="E72" s="1121"/>
      <c r="F72" s="1121"/>
      <c r="G72" s="1121"/>
      <c r="H72" s="1121"/>
    </row>
    <row r="73" spans="1:8" ht="13.5">
      <c r="A73" s="1121"/>
      <c r="B73" s="1121"/>
      <c r="C73" s="1121"/>
      <c r="D73" s="1121"/>
      <c r="E73" s="1121"/>
      <c r="F73" s="1121"/>
      <c r="G73" s="1121"/>
      <c r="H73" s="1121"/>
    </row>
    <row r="74" spans="1:8" ht="13.5">
      <c r="A74" s="1122" t="s">
        <v>924</v>
      </c>
      <c r="B74" s="1121"/>
      <c r="C74" s="1121"/>
      <c r="D74" s="1121"/>
      <c r="E74" s="1121"/>
      <c r="F74" s="1121"/>
      <c r="G74" s="1121"/>
      <c r="H74" s="1121"/>
    </row>
    <row r="75" spans="1:8" ht="13.5">
      <c r="A75" s="1121"/>
      <c r="B75" s="1121"/>
      <c r="C75" s="1121"/>
      <c r="D75" s="1121"/>
      <c r="E75" s="1121"/>
      <c r="F75" s="1121"/>
      <c r="G75" s="1121"/>
      <c r="H75" s="1121"/>
    </row>
    <row r="76" spans="1:8" ht="13.5">
      <c r="A76" s="1122" t="s">
        <v>1163</v>
      </c>
      <c r="B76" s="1121"/>
      <c r="C76" s="1121"/>
      <c r="D76" s="1121"/>
      <c r="E76" s="1121"/>
      <c r="F76" s="1121"/>
      <c r="G76" s="1121"/>
      <c r="H76" s="1121"/>
    </row>
    <row r="77" spans="1:8" ht="13.5">
      <c r="A77" s="1122" t="s">
        <v>1164</v>
      </c>
      <c r="B77" s="1121"/>
      <c r="C77" s="1121"/>
      <c r="D77" s="1121"/>
      <c r="E77" s="1121"/>
      <c r="F77" s="1121"/>
      <c r="G77" s="1121"/>
      <c r="H77" s="1121"/>
    </row>
    <row r="78" spans="1:8" ht="13.5">
      <c r="A78" s="1122" t="s">
        <v>1165</v>
      </c>
      <c r="B78" s="1121"/>
      <c r="C78" s="1121"/>
      <c r="D78" s="1121"/>
      <c r="E78" s="1121"/>
      <c r="F78" s="1121"/>
      <c r="G78" s="1121"/>
      <c r="H78" s="1121"/>
    </row>
    <row r="79" spans="1:8" ht="13.5">
      <c r="A79" s="1122" t="s">
        <v>1166</v>
      </c>
      <c r="B79" s="1121"/>
      <c r="C79" s="1121"/>
      <c r="D79" s="1121"/>
      <c r="E79" s="1121"/>
      <c r="F79" s="1121"/>
      <c r="G79" s="1121"/>
      <c r="H79" s="1121"/>
    </row>
    <row r="80" spans="1:8" ht="13.5">
      <c r="A80" s="1122" t="s">
        <v>1167</v>
      </c>
      <c r="B80" s="1121"/>
      <c r="C80" s="1121"/>
      <c r="D80" s="1121"/>
      <c r="E80" s="1121"/>
      <c r="F80" s="1121"/>
      <c r="G80" s="1121"/>
      <c r="H80" s="1121"/>
    </row>
    <row r="81" spans="1:8" ht="13.5">
      <c r="A81" s="1122" t="s">
        <v>1050</v>
      </c>
      <c r="B81" s="1121"/>
      <c r="C81" s="1121"/>
      <c r="D81" s="1121"/>
      <c r="E81" s="1121"/>
      <c r="F81" s="1121"/>
      <c r="G81" s="1121"/>
      <c r="H81" s="1121"/>
    </row>
    <row r="82" spans="1:8" ht="13.5">
      <c r="A82" s="1121"/>
      <c r="B82" s="1121"/>
      <c r="C82" s="1121"/>
      <c r="D82" s="1121"/>
      <c r="E82" s="1121"/>
      <c r="F82" s="1121"/>
      <c r="G82" s="1121"/>
      <c r="H82" s="1121"/>
    </row>
    <row r="83" spans="1:8" ht="13.5">
      <c r="A83" s="1122" t="s">
        <v>1156</v>
      </c>
      <c r="B83" s="1121"/>
      <c r="C83" s="1121"/>
      <c r="D83" s="1121"/>
      <c r="E83" s="1121"/>
      <c r="F83" s="1121"/>
      <c r="G83" s="1121"/>
      <c r="H83" s="1121"/>
    </row>
    <row r="84" spans="1:8" ht="13.5">
      <c r="A84" s="1122" t="s">
        <v>1157</v>
      </c>
      <c r="B84" s="1121"/>
      <c r="C84" s="1121"/>
      <c r="D84" s="1121"/>
      <c r="E84" s="1121"/>
      <c r="F84" s="1121"/>
      <c r="G84" s="1121"/>
      <c r="H84" s="1121"/>
    </row>
    <row r="85" spans="1:8" ht="13.5">
      <c r="A85" s="1122" t="s">
        <v>1158</v>
      </c>
      <c r="B85" s="1121"/>
      <c r="C85" s="1121"/>
      <c r="D85" s="1121"/>
      <c r="E85" s="1121"/>
      <c r="F85" s="1121"/>
      <c r="G85" s="1121"/>
      <c r="H85" s="1121"/>
    </row>
    <row r="86" spans="1:8" ht="13.5">
      <c r="A86" s="1122" t="s">
        <v>1159</v>
      </c>
      <c r="B86" s="1121"/>
      <c r="C86" s="1121"/>
      <c r="D86" s="1121"/>
      <c r="E86" s="1121"/>
      <c r="F86" s="1121"/>
      <c r="G86" s="1121"/>
      <c r="H86" s="1121"/>
    </row>
    <row r="87" spans="1:8" ht="13.5">
      <c r="A87" s="1122" t="s">
        <v>1160</v>
      </c>
      <c r="B87" s="1121"/>
      <c r="C87" s="1121"/>
      <c r="D87" s="1121"/>
      <c r="E87" s="1121"/>
      <c r="F87" s="1121"/>
      <c r="G87" s="1121"/>
      <c r="H87" s="1121"/>
    </row>
    <row r="88" spans="1:8" ht="13.5">
      <c r="A88" s="1122" t="s">
        <v>1161</v>
      </c>
      <c r="B88" s="1121"/>
      <c r="C88" s="1121"/>
      <c r="D88" s="1121"/>
      <c r="E88" s="1121"/>
      <c r="F88" s="1121"/>
      <c r="G88" s="1121"/>
      <c r="H88" s="1121"/>
    </row>
    <row r="89" spans="1:8" ht="13.5">
      <c r="A89" s="1122" t="s">
        <v>1162</v>
      </c>
      <c r="B89" s="1121"/>
      <c r="C89" s="1121"/>
      <c r="D89" s="1121"/>
      <c r="E89" s="1121"/>
      <c r="F89" s="1121"/>
      <c r="G89" s="1121"/>
      <c r="H89" s="1121"/>
    </row>
    <row r="90" spans="1:8" ht="13.5">
      <c r="A90" s="1121"/>
      <c r="B90" s="1121"/>
      <c r="C90" s="1121"/>
      <c r="D90" s="1121"/>
      <c r="E90" s="1121"/>
      <c r="F90" s="1121"/>
      <c r="G90" s="1121"/>
      <c r="H90" s="1121"/>
    </row>
    <row r="91" spans="1:8" ht="13.5">
      <c r="A91" s="1122" t="s">
        <v>1154</v>
      </c>
      <c r="B91" s="1121"/>
      <c r="C91" s="1121"/>
      <c r="D91" s="1121"/>
      <c r="E91" s="1121"/>
      <c r="F91" s="1121"/>
      <c r="G91" s="1121"/>
      <c r="H91" s="1121"/>
    </row>
    <row r="92" spans="1:8" ht="13.5">
      <c r="A92" s="1122" t="s">
        <v>1155</v>
      </c>
      <c r="B92" s="1121"/>
      <c r="C92" s="1121"/>
      <c r="D92" s="1121"/>
      <c r="E92" s="1121"/>
      <c r="F92" s="1121"/>
      <c r="G92" s="1121"/>
      <c r="H92" s="1121"/>
    </row>
    <row r="93" spans="1:8" ht="13.5">
      <c r="A93" s="1121"/>
      <c r="B93" s="1121"/>
      <c r="C93" s="1121"/>
      <c r="D93" s="1121"/>
      <c r="E93" s="1121"/>
      <c r="F93" s="1121"/>
      <c r="G93" s="1121"/>
      <c r="H93" s="1121"/>
    </row>
    <row r="94" spans="1:8" ht="15.75">
      <c r="A94" s="1123" t="s">
        <v>925</v>
      </c>
      <c r="B94" s="1121"/>
      <c r="C94" s="1121"/>
      <c r="D94" s="1121"/>
      <c r="E94" s="1121"/>
      <c r="F94" s="1121"/>
      <c r="G94" s="1121"/>
      <c r="H94" s="1121"/>
    </row>
    <row r="95" spans="1:8" ht="13.5">
      <c r="A95" s="1121"/>
      <c r="B95" s="1121"/>
      <c r="C95" s="1121"/>
      <c r="D95" s="1121"/>
      <c r="E95" s="1121"/>
      <c r="F95" s="1121"/>
      <c r="G95" s="1121"/>
      <c r="H95" s="1121"/>
    </row>
    <row r="96" spans="1:8" ht="13.5">
      <c r="A96" s="1122" t="s">
        <v>1145</v>
      </c>
      <c r="B96" s="1121"/>
      <c r="C96" s="1121"/>
      <c r="D96" s="1121"/>
      <c r="E96" s="1121"/>
      <c r="F96" s="1121"/>
      <c r="G96" s="1121"/>
      <c r="H96" s="1121"/>
    </row>
    <row r="97" spans="1:8" ht="13.5">
      <c r="A97" s="1122" t="s">
        <v>1146</v>
      </c>
      <c r="B97" s="1121"/>
      <c r="C97" s="1121"/>
      <c r="D97" s="1121"/>
      <c r="E97" s="1121"/>
      <c r="F97" s="1121"/>
      <c r="G97" s="1121"/>
      <c r="H97" s="1121"/>
    </row>
    <row r="98" spans="1:8" ht="13.5">
      <c r="A98" s="1122" t="s">
        <v>1147</v>
      </c>
      <c r="B98" s="1121"/>
      <c r="C98" s="1121"/>
      <c r="D98" s="1121"/>
      <c r="E98" s="1121"/>
      <c r="F98" s="1121"/>
      <c r="G98" s="1121"/>
      <c r="H98" s="1121"/>
    </row>
    <row r="99" spans="1:8" ht="13.5">
      <c r="A99" s="1122" t="s">
        <v>1148</v>
      </c>
      <c r="B99" s="1121"/>
      <c r="C99" s="1121"/>
      <c r="D99" s="1121"/>
      <c r="E99" s="1121"/>
      <c r="F99" s="1121"/>
      <c r="G99" s="1121"/>
      <c r="H99" s="1121"/>
    </row>
    <row r="100" spans="1:8" ht="13.5">
      <c r="A100" s="1122" t="s">
        <v>1149</v>
      </c>
      <c r="B100" s="1121"/>
      <c r="C100" s="1121"/>
      <c r="D100" s="1121"/>
      <c r="E100" s="1121"/>
      <c r="F100" s="1121"/>
      <c r="G100" s="1121"/>
      <c r="H100" s="1121"/>
    </row>
    <row r="101" spans="1:8" ht="13.5">
      <c r="A101" s="1122" t="s">
        <v>1150</v>
      </c>
      <c r="B101" s="1121"/>
      <c r="C101" s="1121"/>
      <c r="D101" s="1121"/>
      <c r="E101" s="1121"/>
      <c r="F101" s="1121"/>
      <c r="G101" s="1121"/>
      <c r="H101" s="1121"/>
    </row>
    <row r="102" spans="1:8" ht="13.5">
      <c r="A102" s="1122" t="s">
        <v>1151</v>
      </c>
      <c r="B102" s="1121"/>
      <c r="C102" s="1121"/>
      <c r="D102" s="1121"/>
      <c r="E102" s="1121"/>
      <c r="F102" s="1121"/>
      <c r="G102" s="1121"/>
      <c r="H102" s="1121"/>
    </row>
    <row r="103" spans="1:8" ht="13.5">
      <c r="A103" s="1122" t="s">
        <v>1152</v>
      </c>
      <c r="B103" s="1121"/>
      <c r="C103" s="1121"/>
      <c r="D103" s="1121"/>
      <c r="E103" s="1121"/>
      <c r="F103" s="1121"/>
      <c r="G103" s="1121"/>
      <c r="H103" s="1121"/>
    </row>
    <row r="104" spans="1:8" ht="13.5">
      <c r="A104" s="1122" t="s">
        <v>1153</v>
      </c>
      <c r="B104" s="1121"/>
      <c r="C104" s="1121"/>
      <c r="D104" s="1121"/>
      <c r="E104" s="1121"/>
      <c r="F104" s="1121"/>
      <c r="G104" s="1121"/>
      <c r="H104" s="1121"/>
    </row>
    <row r="105" spans="1:8" ht="13.5">
      <c r="A105" s="1121"/>
      <c r="B105" s="1121"/>
      <c r="C105" s="1121"/>
      <c r="D105" s="1121"/>
      <c r="E105" s="1121"/>
      <c r="F105" s="1121"/>
      <c r="G105" s="1121"/>
      <c r="H105" s="1121"/>
    </row>
    <row r="106" spans="1:8" ht="15.75">
      <c r="A106" s="1124" t="s">
        <v>926</v>
      </c>
      <c r="B106" s="1124"/>
      <c r="C106" s="1124"/>
      <c r="D106" s="1124"/>
      <c r="E106" s="1124"/>
      <c r="F106" s="1124"/>
      <c r="G106" s="1124"/>
      <c r="H106" s="1124"/>
    </row>
    <row r="107" spans="1:8">
      <c r="A107" s="1125" t="s">
        <v>927</v>
      </c>
      <c r="B107" s="1125"/>
      <c r="C107" s="1125"/>
      <c r="D107" s="1125"/>
      <c r="E107" s="1125"/>
      <c r="F107" s="1125"/>
      <c r="G107" s="1125"/>
      <c r="H107" s="1125"/>
    </row>
    <row r="108" spans="1:8" ht="13.5">
      <c r="A108" s="1126"/>
      <c r="B108" s="1126"/>
      <c r="C108" s="1126"/>
      <c r="D108" s="1126"/>
      <c r="E108" s="1126"/>
      <c r="F108" s="1126"/>
      <c r="G108" s="1126"/>
      <c r="H108" s="1126"/>
    </row>
    <row r="109" spans="1:8">
      <c r="A109" s="1125" t="s">
        <v>1143</v>
      </c>
      <c r="B109" s="1125"/>
      <c r="C109" s="1125"/>
      <c r="D109" s="1125"/>
      <c r="E109" s="1125"/>
      <c r="F109" s="1125"/>
      <c r="G109" s="1125"/>
      <c r="H109" s="1125"/>
    </row>
    <row r="110" spans="1:8">
      <c r="A110" s="1122" t="s">
        <v>1144</v>
      </c>
      <c r="B110" s="1122"/>
      <c r="C110" s="1122"/>
      <c r="D110" s="1122"/>
      <c r="E110" s="1122"/>
      <c r="F110" s="1122"/>
      <c r="G110" s="1122"/>
      <c r="H110" s="1122"/>
    </row>
    <row r="111" spans="1:8" ht="13.5">
      <c r="A111" s="1126"/>
      <c r="B111" s="1126"/>
      <c r="C111" s="1126"/>
      <c r="D111" s="1126"/>
      <c r="E111" s="1126"/>
      <c r="F111" s="1126"/>
      <c r="G111" s="1126"/>
      <c r="H111" s="1126"/>
    </row>
    <row r="112" spans="1:8">
      <c r="A112" s="1125" t="s">
        <v>1136</v>
      </c>
      <c r="B112" s="1125"/>
      <c r="C112" s="1125"/>
      <c r="D112" s="1125"/>
      <c r="E112" s="1125"/>
      <c r="F112" s="1125"/>
      <c r="G112" s="1125"/>
      <c r="H112" s="1125"/>
    </row>
    <row r="113" spans="1:8">
      <c r="A113" s="1122" t="s">
        <v>1137</v>
      </c>
      <c r="B113" s="1122"/>
      <c r="C113" s="1122"/>
      <c r="D113" s="1122"/>
      <c r="E113" s="1122"/>
      <c r="F113" s="1122"/>
      <c r="G113" s="1122"/>
      <c r="H113" s="1122"/>
    </row>
    <row r="114" spans="1:8">
      <c r="A114" s="1122" t="s">
        <v>1138</v>
      </c>
      <c r="B114" s="1122"/>
      <c r="C114" s="1122"/>
      <c r="D114" s="1122"/>
      <c r="E114" s="1122"/>
      <c r="F114" s="1122"/>
      <c r="G114" s="1122"/>
      <c r="H114" s="1122"/>
    </row>
    <row r="115" spans="1:8">
      <c r="A115" s="1122" t="s">
        <v>1139</v>
      </c>
      <c r="B115" s="1122"/>
      <c r="C115" s="1122"/>
      <c r="D115" s="1122"/>
      <c r="E115" s="1122"/>
      <c r="F115" s="1122"/>
      <c r="G115" s="1122"/>
      <c r="H115" s="1122"/>
    </row>
    <row r="116" spans="1:8">
      <c r="A116" s="1122" t="s">
        <v>1140</v>
      </c>
      <c r="B116" s="1122"/>
      <c r="C116" s="1122"/>
      <c r="D116" s="1122"/>
      <c r="E116" s="1122"/>
      <c r="F116" s="1122"/>
      <c r="G116" s="1122"/>
      <c r="H116" s="1122"/>
    </row>
    <row r="117" spans="1:8">
      <c r="A117" s="1122" t="s">
        <v>1141</v>
      </c>
      <c r="B117" s="1122"/>
      <c r="C117" s="1122"/>
      <c r="D117" s="1122"/>
      <c r="E117" s="1122"/>
      <c r="F117" s="1122"/>
      <c r="G117" s="1122"/>
      <c r="H117" s="1122"/>
    </row>
    <row r="118" spans="1:8">
      <c r="A118" s="1122" t="s">
        <v>1142</v>
      </c>
      <c r="B118" s="1122"/>
      <c r="C118" s="1122"/>
      <c r="D118" s="1122"/>
      <c r="E118" s="1122"/>
      <c r="F118" s="1122"/>
      <c r="G118" s="1122"/>
      <c r="H118" s="1122"/>
    </row>
    <row r="119" spans="1:8" ht="13.5">
      <c r="A119" s="1127"/>
      <c r="B119" s="1127"/>
      <c r="C119" s="1127"/>
      <c r="D119" s="1127"/>
      <c r="E119" s="1127"/>
      <c r="F119" s="1127"/>
      <c r="G119" s="1127"/>
      <c r="H119" s="1127"/>
    </row>
    <row r="120" spans="1:8">
      <c r="A120" s="1128"/>
      <c r="B120" s="1129" t="s">
        <v>928</v>
      </c>
      <c r="C120" s="1130"/>
      <c r="D120" s="1129" t="s">
        <v>929</v>
      </c>
      <c r="E120" s="1131"/>
      <c r="F120" s="1130"/>
      <c r="G120" s="1129" t="s">
        <v>930</v>
      </c>
      <c r="H120" s="1130"/>
    </row>
    <row r="121" spans="1:8">
      <c r="A121" s="1128" t="s">
        <v>931</v>
      </c>
      <c r="B121" s="1128" t="s">
        <v>772</v>
      </c>
      <c r="C121" s="1128" t="s">
        <v>932</v>
      </c>
      <c r="D121" s="1128" t="s">
        <v>772</v>
      </c>
      <c r="E121" s="1128" t="s">
        <v>933</v>
      </c>
      <c r="F121" s="1128" t="s">
        <v>934</v>
      </c>
      <c r="G121" s="1128" t="s">
        <v>772</v>
      </c>
      <c r="H121" s="1128" t="s">
        <v>935</v>
      </c>
    </row>
    <row r="122" spans="1:8">
      <c r="A122" s="1128" t="s">
        <v>936</v>
      </c>
      <c r="B122" s="1128">
        <v>1189</v>
      </c>
      <c r="C122" s="1132">
        <v>0.38</v>
      </c>
      <c r="D122" s="1128">
        <v>315</v>
      </c>
      <c r="E122" s="1132">
        <v>0.41</v>
      </c>
      <c r="F122" s="1132">
        <v>0.26</v>
      </c>
      <c r="G122" s="1128">
        <v>555</v>
      </c>
      <c r="H122" s="1132">
        <v>0.39</v>
      </c>
    </row>
    <row r="123" spans="1:8">
      <c r="A123" s="1128" t="s">
        <v>937</v>
      </c>
      <c r="B123" s="1128">
        <v>1355</v>
      </c>
      <c r="C123" s="1132">
        <v>0.43</v>
      </c>
      <c r="D123" s="1128">
        <v>364</v>
      </c>
      <c r="E123" s="1132">
        <v>0.47</v>
      </c>
      <c r="F123" s="1132">
        <v>0.27</v>
      </c>
      <c r="G123" s="1128">
        <v>644</v>
      </c>
      <c r="H123" s="1132">
        <v>0.45</v>
      </c>
    </row>
    <row r="124" spans="1:8">
      <c r="A124" s="1128" t="s">
        <v>938</v>
      </c>
      <c r="B124" s="1128">
        <v>53</v>
      </c>
      <c r="C124" s="1132">
        <v>0.02</v>
      </c>
      <c r="D124" s="1128">
        <v>4</v>
      </c>
      <c r="E124" s="1132">
        <v>0.01</v>
      </c>
      <c r="F124" s="1132">
        <v>0.08</v>
      </c>
      <c r="G124" s="1128">
        <v>7</v>
      </c>
      <c r="H124" s="1132">
        <v>0</v>
      </c>
    </row>
    <row r="125" spans="1:8">
      <c r="A125" s="1128" t="s">
        <v>939</v>
      </c>
      <c r="B125" s="1128">
        <v>545</v>
      </c>
      <c r="C125" s="1132">
        <v>0.17</v>
      </c>
      <c r="D125" s="1128">
        <v>84</v>
      </c>
      <c r="E125" s="1132">
        <v>0.11</v>
      </c>
      <c r="F125" s="1132">
        <v>0.15</v>
      </c>
      <c r="G125" s="1128">
        <v>214</v>
      </c>
      <c r="H125" s="1132">
        <v>0.15</v>
      </c>
    </row>
    <row r="126" spans="1:8">
      <c r="A126" s="1128" t="s">
        <v>184</v>
      </c>
      <c r="B126" s="1133">
        <v>3142</v>
      </c>
      <c r="C126" s="1128"/>
      <c r="D126" s="1128">
        <v>767</v>
      </c>
      <c r="E126" s="1128"/>
      <c r="F126" s="1128"/>
      <c r="G126" s="1128">
        <v>1420</v>
      </c>
      <c r="H126" s="1128"/>
    </row>
    <row r="127" spans="1:8" ht="13.5">
      <c r="A127" s="1134"/>
      <c r="B127" s="1134"/>
      <c r="C127" s="1134"/>
      <c r="D127" s="1134"/>
      <c r="E127" s="1134"/>
      <c r="F127" s="1134"/>
      <c r="G127" s="1134"/>
      <c r="H127" s="1134"/>
    </row>
    <row r="128" spans="1:8">
      <c r="A128" s="1125" t="s">
        <v>1132</v>
      </c>
      <c r="B128" s="1125"/>
      <c r="C128" s="1125"/>
      <c r="D128" s="1125"/>
      <c r="E128" s="1125"/>
      <c r="F128" s="1125"/>
      <c r="G128" s="1125"/>
      <c r="H128" s="1125"/>
    </row>
    <row r="129" spans="1:8">
      <c r="A129" s="1122" t="s">
        <v>1133</v>
      </c>
      <c r="B129" s="1122"/>
      <c r="C129" s="1122"/>
      <c r="D129" s="1122"/>
      <c r="E129" s="1122"/>
      <c r="F129" s="1122"/>
      <c r="G129" s="1122"/>
      <c r="H129" s="1122"/>
    </row>
    <row r="130" spans="1:8">
      <c r="A130" s="1122" t="s">
        <v>1134</v>
      </c>
      <c r="B130" s="1122"/>
      <c r="C130" s="1122"/>
      <c r="D130" s="1122"/>
      <c r="E130" s="1122"/>
      <c r="F130" s="1122"/>
      <c r="G130" s="1122"/>
      <c r="H130" s="1122"/>
    </row>
    <row r="131" spans="1:8">
      <c r="A131" s="1122" t="s">
        <v>1135</v>
      </c>
      <c r="B131" s="1122"/>
      <c r="C131" s="1122"/>
      <c r="D131" s="1122"/>
      <c r="E131" s="1122"/>
      <c r="F131" s="1122"/>
      <c r="G131" s="1122"/>
      <c r="H131" s="1122"/>
    </row>
    <row r="132" spans="1:8" ht="13.5">
      <c r="A132" s="1121"/>
      <c r="B132" s="1121"/>
      <c r="C132" s="1121"/>
      <c r="D132" s="1121"/>
      <c r="E132" s="1121"/>
      <c r="F132" s="1121"/>
      <c r="G132" s="1121"/>
      <c r="H132" s="1121"/>
    </row>
    <row r="133" spans="1:8" ht="15.75">
      <c r="A133" s="1123" t="s">
        <v>940</v>
      </c>
      <c r="B133" s="1121"/>
      <c r="C133" s="1121"/>
      <c r="D133" s="1121"/>
      <c r="E133" s="1121"/>
      <c r="F133" s="1121"/>
      <c r="G133" s="1121"/>
      <c r="H133" s="1121"/>
    </row>
    <row r="134" spans="1:8" ht="13.5">
      <c r="A134" s="1121"/>
      <c r="B134" s="1121"/>
      <c r="C134" s="1121"/>
      <c r="D134" s="1121"/>
      <c r="E134" s="1121"/>
      <c r="F134" s="1121"/>
      <c r="G134" s="1121"/>
      <c r="H134" s="1121"/>
    </row>
    <row r="135" spans="1:8" ht="13.5">
      <c r="A135" s="1122" t="s">
        <v>1130</v>
      </c>
      <c r="B135" s="1121"/>
      <c r="C135" s="1121"/>
      <c r="D135" s="1121"/>
      <c r="E135" s="1121"/>
      <c r="F135" s="1121"/>
      <c r="G135" s="1121"/>
      <c r="H135" s="1121"/>
    </row>
    <row r="136" spans="1:8" ht="13.5">
      <c r="A136" s="1122" t="s">
        <v>1131</v>
      </c>
      <c r="B136" s="1121"/>
      <c r="C136" s="1121"/>
      <c r="D136" s="1121"/>
      <c r="E136" s="1121"/>
      <c r="F136" s="1121"/>
      <c r="G136" s="1121"/>
      <c r="H136" s="1121"/>
    </row>
    <row r="137" spans="1:8" ht="13.5">
      <c r="A137" s="1121"/>
      <c r="B137" s="1121"/>
      <c r="C137" s="1121"/>
      <c r="D137" s="1121"/>
      <c r="E137" s="1121"/>
      <c r="F137" s="1121"/>
      <c r="G137" s="1121"/>
      <c r="H137" s="1121"/>
    </row>
    <row r="138" spans="1:8" ht="13.5">
      <c r="A138" s="1122" t="s">
        <v>1127</v>
      </c>
      <c r="B138" s="1121"/>
      <c r="C138" s="1121"/>
      <c r="D138" s="1121"/>
      <c r="E138" s="1121"/>
      <c r="F138" s="1121"/>
      <c r="G138" s="1121"/>
      <c r="H138" s="1121"/>
    </row>
    <row r="139" spans="1:8" ht="13.5">
      <c r="A139" s="1122" t="s">
        <v>1128</v>
      </c>
      <c r="B139" s="1121"/>
      <c r="C139" s="1121"/>
      <c r="D139" s="1121"/>
      <c r="E139" s="1121"/>
      <c r="F139" s="1121"/>
      <c r="G139" s="1121"/>
      <c r="H139" s="1121"/>
    </row>
    <row r="140" spans="1:8" ht="13.5">
      <c r="A140" s="1122" t="s">
        <v>1129</v>
      </c>
      <c r="B140" s="1121"/>
      <c r="C140" s="1121"/>
      <c r="D140" s="1121"/>
      <c r="E140" s="1121"/>
      <c r="F140" s="1121"/>
      <c r="G140" s="1121"/>
      <c r="H140" s="1121"/>
    </row>
    <row r="141" spans="1:8" ht="13.5">
      <c r="A141" s="1121"/>
      <c r="B141" s="1121"/>
      <c r="C141" s="1121"/>
      <c r="D141" s="1121"/>
      <c r="E141" s="1121"/>
      <c r="F141" s="1121"/>
      <c r="G141" s="1121"/>
      <c r="H141" s="1121"/>
    </row>
    <row r="142" spans="1:8" ht="13.5">
      <c r="A142" s="1122" t="s">
        <v>1124</v>
      </c>
      <c r="B142" s="1121"/>
      <c r="C142" s="1121"/>
      <c r="D142" s="1121"/>
      <c r="E142" s="1121"/>
      <c r="F142" s="1121"/>
      <c r="G142" s="1121"/>
      <c r="H142" s="1121"/>
    </row>
    <row r="143" spans="1:8" ht="13.5">
      <c r="A143" s="1122" t="s">
        <v>1125</v>
      </c>
      <c r="B143" s="1121"/>
      <c r="C143" s="1121"/>
      <c r="D143" s="1121"/>
      <c r="E143" s="1121"/>
      <c r="F143" s="1121"/>
      <c r="G143" s="1121"/>
      <c r="H143" s="1121"/>
    </row>
    <row r="144" spans="1:8" ht="13.5">
      <c r="A144" s="1122" t="s">
        <v>1126</v>
      </c>
      <c r="B144" s="1121"/>
      <c r="C144" s="1121"/>
      <c r="D144" s="1121"/>
      <c r="E144" s="1121"/>
      <c r="F144" s="1121"/>
      <c r="G144" s="1121"/>
      <c r="H144" s="1121"/>
    </row>
    <row r="145" spans="1:8" ht="13.5">
      <c r="A145" s="1121"/>
      <c r="B145" s="1121"/>
      <c r="C145" s="1121"/>
      <c r="D145" s="1121"/>
      <c r="E145" s="1121"/>
      <c r="F145" s="1121"/>
      <c r="G145" s="1121"/>
      <c r="H145" s="1121"/>
    </row>
    <row r="146" spans="1:8" ht="13.5">
      <c r="A146" s="1122" t="s">
        <v>1121</v>
      </c>
      <c r="B146" s="1121"/>
      <c r="C146" s="1121"/>
      <c r="D146" s="1121"/>
      <c r="E146" s="1121"/>
      <c r="F146" s="1121"/>
      <c r="G146" s="1121"/>
      <c r="H146" s="1121"/>
    </row>
    <row r="147" spans="1:8" ht="13.5">
      <c r="A147" s="1122" t="s">
        <v>1122</v>
      </c>
      <c r="B147" s="1121"/>
      <c r="C147" s="1121"/>
      <c r="D147" s="1121"/>
      <c r="E147" s="1121"/>
      <c r="F147" s="1121"/>
      <c r="G147" s="1121"/>
      <c r="H147" s="1121"/>
    </row>
    <row r="148" spans="1:8" ht="13.5">
      <c r="A148" s="1122" t="s">
        <v>1123</v>
      </c>
      <c r="B148" s="1121"/>
      <c r="C148" s="1121"/>
      <c r="D148" s="1121"/>
      <c r="E148" s="1121"/>
      <c r="F148" s="1121"/>
      <c r="G148" s="1121"/>
      <c r="H148" s="1121"/>
    </row>
    <row r="149" spans="1:8" ht="13.5">
      <c r="A149" s="1121"/>
      <c r="B149" s="1121"/>
      <c r="C149" s="1121"/>
      <c r="D149" s="1121"/>
      <c r="E149" s="1121"/>
      <c r="F149" s="1121"/>
      <c r="G149" s="1121"/>
      <c r="H149" s="1121"/>
    </row>
    <row r="150" spans="1:8" ht="13.5">
      <c r="A150" s="1122" t="s">
        <v>1119</v>
      </c>
      <c r="B150" s="1121"/>
      <c r="C150" s="1121"/>
      <c r="D150" s="1121"/>
      <c r="E150" s="1121"/>
      <c r="F150" s="1121"/>
      <c r="G150" s="1121"/>
      <c r="H150" s="1121"/>
    </row>
    <row r="151" spans="1:8" ht="13.5">
      <c r="A151" s="1122" t="s">
        <v>1120</v>
      </c>
      <c r="B151" s="1121"/>
      <c r="C151" s="1121"/>
      <c r="D151" s="1121"/>
      <c r="E151" s="1121"/>
      <c r="F151" s="1121"/>
      <c r="G151" s="1121"/>
      <c r="H151" s="1121"/>
    </row>
    <row r="152" spans="1:8" ht="13.5">
      <c r="A152" s="1121"/>
      <c r="B152" s="1121"/>
      <c r="C152" s="1121"/>
      <c r="D152" s="1121"/>
      <c r="E152" s="1121"/>
      <c r="F152" s="1121"/>
      <c r="G152" s="1121"/>
      <c r="H152" s="1121"/>
    </row>
    <row r="153" spans="1:8" ht="15.75">
      <c r="A153" s="1123" t="s">
        <v>941</v>
      </c>
      <c r="B153" s="1121"/>
      <c r="C153" s="1121"/>
      <c r="D153" s="1121"/>
      <c r="E153" s="1121"/>
      <c r="F153" s="1121"/>
      <c r="G153" s="1121"/>
      <c r="H153" s="1121"/>
    </row>
    <row r="154" spans="1:8" ht="13.5">
      <c r="A154" s="1121"/>
      <c r="B154" s="1121"/>
      <c r="C154" s="1121"/>
      <c r="D154" s="1121"/>
      <c r="E154" s="1121"/>
      <c r="F154" s="1121"/>
      <c r="G154" s="1121"/>
      <c r="H154" s="1121"/>
    </row>
    <row r="155" spans="1:8" ht="13.5">
      <c r="A155" s="1122" t="s">
        <v>1117</v>
      </c>
      <c r="B155" s="1121"/>
      <c r="C155" s="1121"/>
      <c r="D155" s="1121"/>
      <c r="E155" s="1121"/>
      <c r="F155" s="1121"/>
      <c r="G155" s="1121"/>
      <c r="H155" s="1121"/>
    </row>
    <row r="156" spans="1:8" ht="13.5">
      <c r="A156" s="1122" t="s">
        <v>1118</v>
      </c>
      <c r="B156" s="1121"/>
      <c r="C156" s="1121"/>
      <c r="D156" s="1121"/>
      <c r="E156" s="1121"/>
      <c r="F156" s="1121"/>
      <c r="G156" s="1121"/>
      <c r="H156" s="1121"/>
    </row>
    <row r="157" spans="1:8" ht="13.5">
      <c r="A157" s="1121"/>
      <c r="B157" s="1121"/>
      <c r="C157" s="1121"/>
      <c r="D157" s="1121"/>
      <c r="E157" s="1121"/>
      <c r="F157" s="1121"/>
      <c r="G157" s="1121"/>
      <c r="H157" s="1121"/>
    </row>
    <row r="158" spans="1:8" ht="13.5">
      <c r="A158" s="1122" t="s">
        <v>1115</v>
      </c>
      <c r="B158" s="1121"/>
      <c r="C158" s="1121"/>
      <c r="D158" s="1121"/>
      <c r="E158" s="1121"/>
      <c r="F158" s="1121"/>
      <c r="G158" s="1121"/>
      <c r="H158" s="1121"/>
    </row>
    <row r="159" spans="1:8" ht="13.5">
      <c r="A159" s="1122" t="s">
        <v>1116</v>
      </c>
      <c r="B159" s="1121"/>
      <c r="C159" s="1121"/>
      <c r="D159" s="1121"/>
      <c r="E159" s="1121"/>
      <c r="F159" s="1121"/>
      <c r="G159" s="1121"/>
      <c r="H159" s="1121"/>
    </row>
    <row r="160" spans="1:8" ht="13.5">
      <c r="A160" s="1121"/>
      <c r="B160" s="1121"/>
      <c r="C160" s="1121"/>
      <c r="D160" s="1121"/>
      <c r="E160" s="1121"/>
      <c r="F160" s="1121"/>
      <c r="G160" s="1121"/>
      <c r="H160" s="1121"/>
    </row>
    <row r="161" spans="1:8" ht="13.5">
      <c r="A161" s="1122" t="s">
        <v>1113</v>
      </c>
      <c r="B161" s="1121"/>
      <c r="C161" s="1121"/>
      <c r="D161" s="1121"/>
      <c r="E161" s="1121"/>
      <c r="F161" s="1121"/>
      <c r="G161" s="1121"/>
      <c r="H161" s="1121"/>
    </row>
    <row r="162" spans="1:8" ht="13.5">
      <c r="A162" s="1122" t="s">
        <v>1114</v>
      </c>
      <c r="B162" s="1121"/>
      <c r="C162" s="1121"/>
      <c r="D162" s="1121"/>
      <c r="E162" s="1121"/>
      <c r="F162" s="1121"/>
      <c r="G162" s="1121"/>
      <c r="H162" s="1121"/>
    </row>
    <row r="163" spans="1:8" ht="13.5">
      <c r="A163" s="1121"/>
      <c r="B163" s="1121"/>
      <c r="C163" s="1121"/>
      <c r="D163" s="1121"/>
      <c r="E163" s="1121"/>
      <c r="F163" s="1121"/>
      <c r="G163" s="1121"/>
      <c r="H163" s="1121"/>
    </row>
    <row r="164" spans="1:8" ht="13.5">
      <c r="A164" s="1122" t="s">
        <v>1110</v>
      </c>
      <c r="B164" s="1121"/>
      <c r="C164" s="1121"/>
      <c r="D164" s="1121"/>
      <c r="E164" s="1121"/>
      <c r="F164" s="1121"/>
      <c r="G164" s="1121"/>
      <c r="H164" s="1121"/>
    </row>
    <row r="165" spans="1:8" ht="13.5">
      <c r="A165" s="1122" t="s">
        <v>1111</v>
      </c>
      <c r="B165" s="1121"/>
      <c r="C165" s="1121"/>
      <c r="D165" s="1121"/>
      <c r="E165" s="1121"/>
      <c r="F165" s="1121"/>
      <c r="G165" s="1121"/>
      <c r="H165" s="1121"/>
    </row>
    <row r="166" spans="1:8" ht="13.5">
      <c r="A166" s="1122" t="s">
        <v>1112</v>
      </c>
      <c r="B166" s="1121"/>
      <c r="C166" s="1121"/>
      <c r="D166" s="1121"/>
      <c r="E166" s="1121"/>
      <c r="F166" s="1121"/>
      <c r="G166" s="1121"/>
      <c r="H166" s="1121"/>
    </row>
    <row r="167" spans="1:8" ht="13.5">
      <c r="A167" s="1121"/>
      <c r="B167" s="1121"/>
      <c r="C167" s="1121"/>
      <c r="D167" s="1121"/>
      <c r="E167" s="1121"/>
      <c r="F167" s="1121"/>
      <c r="G167" s="1121"/>
      <c r="H167" s="1121"/>
    </row>
    <row r="168" spans="1:8" ht="13.5">
      <c r="A168" s="1121"/>
      <c r="B168" s="1121"/>
      <c r="C168" s="1121"/>
      <c r="D168" s="1121"/>
      <c r="E168" s="1121"/>
      <c r="F168" s="1121"/>
      <c r="G168" s="1121"/>
      <c r="H168" s="1121"/>
    </row>
    <row r="169" spans="1:8" ht="13.5">
      <c r="A169" s="1122" t="s">
        <v>942</v>
      </c>
      <c r="B169" s="1121"/>
      <c r="C169" s="1121"/>
      <c r="D169" s="1121"/>
      <c r="E169" s="1121"/>
      <c r="F169" s="1121"/>
      <c r="G169" s="1121"/>
      <c r="H169" s="1121"/>
    </row>
    <row r="170" spans="1:8" ht="13.5">
      <c r="A170" s="1121"/>
      <c r="B170" s="1121"/>
      <c r="C170" s="1121"/>
      <c r="D170" s="1121"/>
      <c r="E170" s="1121"/>
      <c r="F170" s="1121"/>
      <c r="G170" s="1121"/>
      <c r="H170" s="1121"/>
    </row>
    <row r="171" spans="1:8" ht="15.75">
      <c r="A171" s="1123" t="s">
        <v>943</v>
      </c>
      <c r="B171" s="1121"/>
      <c r="C171" s="1121"/>
      <c r="D171" s="1121"/>
      <c r="E171" s="1121"/>
      <c r="F171" s="1121"/>
      <c r="G171" s="1121"/>
      <c r="H171" s="1121"/>
    </row>
    <row r="172" spans="1:8" ht="13.5">
      <c r="A172" s="1121"/>
      <c r="B172" s="1121"/>
      <c r="C172" s="1121"/>
      <c r="D172" s="1121"/>
      <c r="E172" s="1121"/>
      <c r="F172" s="1121"/>
      <c r="G172" s="1121"/>
      <c r="H172" s="1121"/>
    </row>
    <row r="173" spans="1:8" ht="13.5">
      <c r="A173" s="1121"/>
      <c r="B173" s="1121"/>
      <c r="C173" s="1121"/>
      <c r="D173" s="1121"/>
      <c r="E173" s="1121"/>
      <c r="F173" s="1121"/>
      <c r="G173" s="1121"/>
      <c r="H173" s="1121"/>
    </row>
    <row r="174" spans="1:8" ht="13.5">
      <c r="A174" s="1121"/>
      <c r="B174" s="1121"/>
      <c r="C174" s="1121"/>
      <c r="D174" s="1121"/>
      <c r="E174" s="1121"/>
      <c r="F174" s="1121"/>
      <c r="G174" s="1121"/>
      <c r="H174" s="1121"/>
    </row>
    <row r="175" spans="1:8" ht="13.5">
      <c r="A175" s="1121"/>
      <c r="B175" s="1121"/>
      <c r="C175" s="1121"/>
      <c r="D175" s="1121"/>
      <c r="E175" s="1121"/>
      <c r="F175" s="1121"/>
      <c r="G175" s="1121"/>
      <c r="H175" s="1121"/>
    </row>
    <row r="176" spans="1:8" ht="13.5">
      <c r="A176" s="1121"/>
      <c r="B176" s="1121"/>
      <c r="C176" s="1121"/>
      <c r="D176" s="1121"/>
      <c r="E176" s="1121"/>
      <c r="F176" s="1121"/>
      <c r="G176" s="1121"/>
      <c r="H176" s="1121"/>
    </row>
    <row r="177" spans="1:8" ht="13.5">
      <c r="A177" s="1121"/>
      <c r="B177" s="1121"/>
      <c r="C177" s="1121"/>
      <c r="D177" s="1121"/>
      <c r="E177" s="1121"/>
      <c r="F177" s="1121"/>
      <c r="G177" s="1121"/>
      <c r="H177" s="1121"/>
    </row>
    <row r="178" spans="1:8" ht="13.5">
      <c r="A178" s="1121"/>
      <c r="B178" s="1121"/>
      <c r="C178" s="1121"/>
      <c r="D178" s="1121"/>
      <c r="E178" s="1121"/>
      <c r="F178" s="1121"/>
      <c r="G178" s="1121"/>
      <c r="H178" s="1121"/>
    </row>
    <row r="179" spans="1:8" ht="13.5">
      <c r="A179" s="1121"/>
      <c r="B179" s="1121"/>
      <c r="C179" s="1121"/>
      <c r="D179" s="1121"/>
      <c r="E179" s="1121"/>
      <c r="F179" s="1121"/>
      <c r="G179" s="1121"/>
      <c r="H179" s="1121"/>
    </row>
    <row r="180" spans="1:8" ht="13.5">
      <c r="A180" s="1121"/>
      <c r="B180" s="1121"/>
      <c r="C180" s="1121"/>
      <c r="D180" s="1121"/>
      <c r="E180" s="1121"/>
      <c r="F180" s="1121"/>
      <c r="G180" s="1121"/>
      <c r="H180" s="1121"/>
    </row>
    <row r="181" spans="1:8" ht="13.5">
      <c r="A181" s="1121"/>
      <c r="B181" s="1121"/>
      <c r="C181" s="1121"/>
      <c r="D181" s="1121"/>
      <c r="E181" s="1121"/>
      <c r="F181" s="1121"/>
      <c r="G181" s="1121"/>
      <c r="H181" s="1121"/>
    </row>
    <row r="182" spans="1:8" ht="13.5">
      <c r="A182" s="1121"/>
      <c r="B182" s="1121"/>
      <c r="C182" s="1121"/>
      <c r="D182" s="1121"/>
      <c r="E182" s="1121"/>
      <c r="F182" s="1121"/>
      <c r="G182" s="1121"/>
      <c r="H182" s="1121"/>
    </row>
    <row r="183" spans="1:8" ht="13.5">
      <c r="A183" s="1121"/>
      <c r="B183" s="1121"/>
      <c r="C183" s="1121"/>
      <c r="D183" s="1121"/>
      <c r="E183" s="1121"/>
      <c r="F183" s="1121"/>
      <c r="G183" s="1121"/>
      <c r="H183" s="1121"/>
    </row>
    <row r="184" spans="1:8" ht="13.5">
      <c r="A184" s="1121"/>
      <c r="B184" s="1121"/>
      <c r="C184" s="1121"/>
      <c r="D184" s="1121"/>
      <c r="E184" s="1121"/>
      <c r="F184" s="1121"/>
      <c r="G184" s="1121"/>
      <c r="H184" s="1121"/>
    </row>
    <row r="185" spans="1:8" ht="13.5">
      <c r="A185" s="1121"/>
      <c r="B185" s="1121"/>
      <c r="C185" s="1121"/>
      <c r="D185" s="1121"/>
      <c r="E185" s="1121"/>
      <c r="F185" s="1121"/>
      <c r="G185" s="1121"/>
      <c r="H185" s="1121"/>
    </row>
    <row r="186" spans="1:8" ht="13.5">
      <c r="A186" s="1121"/>
      <c r="B186" s="1121"/>
      <c r="C186" s="1121"/>
      <c r="D186" s="1121"/>
      <c r="E186" s="1121"/>
      <c r="F186" s="1121"/>
      <c r="G186" s="1121"/>
      <c r="H186" s="1121"/>
    </row>
    <row r="187" spans="1:8" ht="13.5">
      <c r="A187" s="1121"/>
      <c r="B187" s="1121"/>
      <c r="C187" s="1121"/>
      <c r="D187" s="1121"/>
      <c r="E187" s="1121"/>
      <c r="F187" s="1121"/>
      <c r="G187" s="1121"/>
      <c r="H187" s="1121"/>
    </row>
    <row r="188" spans="1:8" ht="13.5">
      <c r="A188" s="1121"/>
      <c r="B188" s="1121"/>
      <c r="C188" s="1121"/>
      <c r="D188" s="1121"/>
      <c r="E188" s="1121"/>
      <c r="F188" s="1121"/>
      <c r="G188" s="1121"/>
      <c r="H188" s="1121"/>
    </row>
    <row r="189" spans="1:8" ht="13.5">
      <c r="A189" s="1121"/>
      <c r="B189" s="1121"/>
      <c r="C189" s="1121"/>
      <c r="D189" s="1121"/>
      <c r="E189" s="1121"/>
      <c r="F189" s="1121"/>
      <c r="G189" s="1121"/>
      <c r="H189" s="1121"/>
    </row>
    <row r="190" spans="1:8" ht="13.5">
      <c r="A190" s="1121"/>
      <c r="B190" s="1121"/>
      <c r="C190" s="1121"/>
      <c r="D190" s="1121"/>
      <c r="E190" s="1121"/>
      <c r="F190" s="1121"/>
      <c r="G190" s="1121"/>
      <c r="H190" s="1121"/>
    </row>
    <row r="191" spans="1:8" ht="13.5">
      <c r="A191" s="1121"/>
      <c r="B191" s="1121"/>
      <c r="C191" s="1121"/>
      <c r="D191" s="1121"/>
      <c r="E191" s="1121"/>
      <c r="F191" s="1121"/>
      <c r="G191" s="1121"/>
      <c r="H191" s="1121"/>
    </row>
    <row r="192" spans="1:8" ht="13.5">
      <c r="A192" s="1121"/>
      <c r="B192" s="1121"/>
      <c r="C192" s="1121"/>
      <c r="D192" s="1121"/>
      <c r="E192" s="1121"/>
      <c r="F192" s="1121"/>
      <c r="G192" s="1121"/>
      <c r="H192" s="1121"/>
    </row>
    <row r="193" spans="1:8" ht="13.5">
      <c r="A193" s="1121"/>
      <c r="B193" s="1121"/>
      <c r="C193" s="1121"/>
      <c r="D193" s="1121"/>
      <c r="E193" s="1121"/>
      <c r="F193" s="1121"/>
      <c r="G193" s="1121"/>
      <c r="H193" s="1121"/>
    </row>
    <row r="194" spans="1:8" ht="13.5">
      <c r="A194" s="1121"/>
      <c r="B194" s="1121"/>
      <c r="C194" s="1121"/>
      <c r="D194" s="1121"/>
      <c r="E194" s="1121"/>
      <c r="F194" s="1121"/>
      <c r="G194" s="1121"/>
      <c r="H194" s="1121"/>
    </row>
    <row r="195" spans="1:8" ht="13.5">
      <c r="A195" s="1121"/>
      <c r="B195" s="1121"/>
      <c r="C195" s="1121"/>
      <c r="D195" s="1121"/>
      <c r="E195" s="1121"/>
      <c r="F195" s="1121"/>
      <c r="G195" s="1121"/>
      <c r="H195" s="1121"/>
    </row>
    <row r="196" spans="1:8" ht="13.5">
      <c r="A196" s="1121"/>
      <c r="B196" s="1121"/>
      <c r="C196" s="1121"/>
      <c r="D196" s="1121"/>
      <c r="E196" s="1121"/>
      <c r="F196" s="1121"/>
      <c r="G196" s="1121"/>
      <c r="H196" s="1121"/>
    </row>
    <row r="197" spans="1:8" ht="13.5">
      <c r="A197" s="1121"/>
      <c r="B197" s="1121"/>
      <c r="C197" s="1121"/>
      <c r="D197" s="1121"/>
      <c r="E197" s="1121"/>
      <c r="F197" s="1121"/>
      <c r="G197" s="1121"/>
      <c r="H197" s="1121"/>
    </row>
    <row r="198" spans="1:8" ht="15.75">
      <c r="A198" s="1123" t="s">
        <v>944</v>
      </c>
      <c r="B198" s="1121"/>
      <c r="C198" s="1121"/>
      <c r="D198" s="1121"/>
      <c r="E198" s="1121"/>
      <c r="F198" s="1121"/>
      <c r="G198" s="1121"/>
      <c r="H198" s="1121"/>
    </row>
    <row r="199" spans="1:8" ht="13.5">
      <c r="A199" s="1121"/>
      <c r="B199" s="1121"/>
      <c r="C199" s="1121"/>
      <c r="D199" s="1121"/>
      <c r="E199" s="1121"/>
      <c r="F199" s="1121"/>
      <c r="G199" s="1121"/>
      <c r="H199" s="1121"/>
    </row>
    <row r="200" spans="1:8" ht="13.5">
      <c r="A200" s="1122" t="s">
        <v>1105</v>
      </c>
      <c r="B200" s="1121"/>
      <c r="C200" s="1121"/>
      <c r="D200" s="1121"/>
      <c r="E200" s="1121"/>
      <c r="F200" s="1121"/>
      <c r="G200" s="1121"/>
      <c r="H200" s="1121"/>
    </row>
    <row r="201" spans="1:8" ht="13.5">
      <c r="A201" s="1122" t="s">
        <v>1106</v>
      </c>
      <c r="B201" s="1121"/>
      <c r="C201" s="1121"/>
      <c r="D201" s="1121"/>
      <c r="E201" s="1121"/>
      <c r="F201" s="1121"/>
      <c r="G201" s="1121"/>
      <c r="H201" s="1121"/>
    </row>
    <row r="202" spans="1:8" ht="13.5">
      <c r="A202" s="1122" t="s">
        <v>1107</v>
      </c>
      <c r="B202" s="1121"/>
      <c r="C202" s="1121"/>
      <c r="D202" s="1121"/>
      <c r="E202" s="1121"/>
      <c r="F202" s="1121"/>
      <c r="G202" s="1121"/>
      <c r="H202" s="1121"/>
    </row>
    <row r="203" spans="1:8" ht="13.5">
      <c r="A203" s="1122" t="s">
        <v>1108</v>
      </c>
      <c r="B203" s="1121"/>
      <c r="C203" s="1121"/>
      <c r="D203" s="1121"/>
      <c r="E203" s="1121"/>
      <c r="F203" s="1121"/>
      <c r="G203" s="1121"/>
      <c r="H203" s="1121"/>
    </row>
    <row r="204" spans="1:8" ht="13.5">
      <c r="A204" s="1122" t="s">
        <v>1109</v>
      </c>
      <c r="B204" s="1121"/>
      <c r="C204" s="1121"/>
      <c r="D204" s="1121"/>
      <c r="E204" s="1121"/>
      <c r="F204" s="1121"/>
      <c r="G204" s="1121"/>
      <c r="H204" s="1121"/>
    </row>
    <row r="205" spans="1:8" ht="13.5">
      <c r="A205" s="1121"/>
      <c r="B205" s="1121"/>
      <c r="C205" s="1121"/>
      <c r="D205" s="1121"/>
      <c r="E205" s="1121"/>
      <c r="F205" s="1121"/>
      <c r="G205" s="1121"/>
      <c r="H205" s="1121"/>
    </row>
    <row r="206" spans="1:8" ht="13.5">
      <c r="A206" s="1122" t="s">
        <v>1102</v>
      </c>
      <c r="B206" s="1121"/>
      <c r="C206" s="1121"/>
      <c r="D206" s="1121"/>
      <c r="E206" s="1121"/>
      <c r="F206" s="1121"/>
      <c r="G206" s="1121"/>
      <c r="H206" s="1121"/>
    </row>
    <row r="207" spans="1:8" ht="13.5">
      <c r="A207" s="1122" t="s">
        <v>1103</v>
      </c>
      <c r="B207" s="1121"/>
      <c r="C207" s="1121"/>
      <c r="D207" s="1121"/>
      <c r="E207" s="1121"/>
      <c r="F207" s="1121"/>
      <c r="G207" s="1121"/>
      <c r="H207" s="1121"/>
    </row>
    <row r="208" spans="1:8" ht="13.5">
      <c r="A208" s="1122" t="s">
        <v>1104</v>
      </c>
      <c r="B208" s="1121"/>
      <c r="C208" s="1121"/>
      <c r="D208" s="1121"/>
      <c r="E208" s="1121"/>
      <c r="F208" s="1121"/>
      <c r="G208" s="1121"/>
      <c r="H208" s="1121"/>
    </row>
    <row r="209" spans="1:8" ht="15.75">
      <c r="A209" s="1123" t="s">
        <v>945</v>
      </c>
      <c r="B209" s="1121"/>
      <c r="C209" s="1121"/>
      <c r="D209" s="1121"/>
      <c r="E209" s="1121"/>
      <c r="F209" s="1121"/>
      <c r="G209" s="1121"/>
      <c r="H209" s="1121"/>
    </row>
    <row r="210" spans="1:8" ht="13.5">
      <c r="A210" s="1121"/>
      <c r="B210" s="1121"/>
      <c r="C210" s="1121"/>
      <c r="D210" s="1121"/>
      <c r="E210" s="1121"/>
      <c r="F210" s="1121"/>
      <c r="G210" s="1121"/>
      <c r="H210" s="1121"/>
    </row>
    <row r="211" spans="1:8" ht="13.5">
      <c r="A211" s="1122" t="s">
        <v>1100</v>
      </c>
      <c r="B211" s="1121"/>
      <c r="C211" s="1121"/>
      <c r="D211" s="1121"/>
      <c r="E211" s="1121"/>
      <c r="F211" s="1121"/>
      <c r="G211" s="1121"/>
      <c r="H211" s="1121"/>
    </row>
    <row r="212" spans="1:8" ht="13.5">
      <c r="A212" s="1122" t="s">
        <v>1101</v>
      </c>
      <c r="B212" s="1121"/>
      <c r="C212" s="1121"/>
      <c r="D212" s="1121"/>
      <c r="E212" s="1121"/>
      <c r="F212" s="1121"/>
      <c r="G212" s="1121"/>
      <c r="H212" s="1121"/>
    </row>
    <row r="213" spans="1:8" ht="13.5">
      <c r="A213" s="1121"/>
      <c r="B213" s="1121"/>
      <c r="C213" s="1121"/>
      <c r="D213" s="1121"/>
      <c r="E213" s="1121"/>
      <c r="F213" s="1121"/>
      <c r="G213" s="1121"/>
      <c r="H213" s="1121"/>
    </row>
    <row r="214" spans="1:8" ht="13.5">
      <c r="A214" s="1122" t="s">
        <v>1093</v>
      </c>
      <c r="B214" s="1121"/>
      <c r="C214" s="1121"/>
      <c r="D214" s="1121"/>
      <c r="E214" s="1121"/>
      <c r="F214" s="1121"/>
      <c r="G214" s="1121"/>
      <c r="H214" s="1121"/>
    </row>
    <row r="215" spans="1:8" ht="13.5">
      <c r="A215" s="1122" t="s">
        <v>1094</v>
      </c>
      <c r="B215" s="1121"/>
      <c r="C215" s="1121"/>
      <c r="D215" s="1121"/>
      <c r="E215" s="1121"/>
      <c r="F215" s="1121"/>
      <c r="G215" s="1121"/>
      <c r="H215" s="1121"/>
    </row>
    <row r="216" spans="1:8" ht="13.5">
      <c r="A216" s="1122" t="s">
        <v>1095</v>
      </c>
      <c r="B216" s="1121"/>
      <c r="C216" s="1121"/>
      <c r="D216" s="1121"/>
      <c r="E216" s="1121"/>
      <c r="F216" s="1121"/>
      <c r="G216" s="1121"/>
      <c r="H216" s="1121"/>
    </row>
    <row r="217" spans="1:8" ht="13.5">
      <c r="A217" s="1122" t="s">
        <v>1096</v>
      </c>
      <c r="B217" s="1121"/>
      <c r="C217" s="1121"/>
      <c r="D217" s="1121"/>
      <c r="E217" s="1121"/>
      <c r="F217" s="1121"/>
      <c r="G217" s="1121"/>
      <c r="H217" s="1121"/>
    </row>
    <row r="218" spans="1:8" ht="13.5">
      <c r="A218" s="1122" t="s">
        <v>1097</v>
      </c>
      <c r="B218" s="1121"/>
      <c r="C218" s="1121"/>
      <c r="D218" s="1121"/>
      <c r="E218" s="1121"/>
      <c r="F218" s="1121"/>
      <c r="G218" s="1121"/>
      <c r="H218" s="1121"/>
    </row>
    <row r="219" spans="1:8" ht="13.5">
      <c r="A219" s="1122" t="s">
        <v>1098</v>
      </c>
      <c r="B219" s="1121"/>
      <c r="C219" s="1121"/>
      <c r="D219" s="1121"/>
      <c r="E219" s="1121"/>
      <c r="F219" s="1121"/>
      <c r="G219" s="1121"/>
      <c r="H219" s="1121"/>
    </row>
    <row r="220" spans="1:8" ht="13.5">
      <c r="A220" s="1122" t="s">
        <v>1099</v>
      </c>
      <c r="B220" s="1121"/>
      <c r="C220" s="1121"/>
      <c r="D220" s="1121"/>
      <c r="E220" s="1121"/>
      <c r="F220" s="1121"/>
      <c r="G220" s="1121"/>
      <c r="H220" s="1121"/>
    </row>
    <row r="221" spans="1:8" ht="13.5">
      <c r="A221" s="1121"/>
      <c r="B221" s="1121"/>
      <c r="C221" s="1121"/>
      <c r="D221" s="1121"/>
      <c r="E221" s="1121"/>
      <c r="F221" s="1121"/>
      <c r="G221" s="1121"/>
      <c r="H221" s="1121"/>
    </row>
    <row r="222" spans="1:8" ht="13.5">
      <c r="A222" s="1122" t="s">
        <v>1090</v>
      </c>
      <c r="B222" s="1121"/>
      <c r="C222" s="1121"/>
      <c r="D222" s="1121"/>
      <c r="E222" s="1121"/>
      <c r="F222" s="1121"/>
      <c r="G222" s="1121"/>
      <c r="H222" s="1121"/>
    </row>
    <row r="223" spans="1:8" ht="13.5">
      <c r="A223" s="1122" t="s">
        <v>1091</v>
      </c>
      <c r="B223" s="1121"/>
      <c r="C223" s="1121"/>
      <c r="D223" s="1121"/>
      <c r="E223" s="1121"/>
      <c r="F223" s="1121"/>
      <c r="G223" s="1121"/>
      <c r="H223" s="1121"/>
    </row>
    <row r="224" spans="1:8" ht="13.5">
      <c r="A224" s="1122" t="s">
        <v>1092</v>
      </c>
      <c r="B224" s="1121"/>
      <c r="C224" s="1121"/>
      <c r="D224" s="1121"/>
      <c r="E224" s="1121"/>
      <c r="F224" s="1121"/>
      <c r="G224" s="1121"/>
      <c r="H224" s="1121"/>
    </row>
    <row r="225" spans="1:8" ht="13.5">
      <c r="A225" s="1121"/>
      <c r="B225" s="1121"/>
      <c r="C225" s="1121"/>
      <c r="D225" s="1121"/>
      <c r="E225" s="1121"/>
      <c r="F225" s="1121"/>
      <c r="G225" s="1121"/>
      <c r="H225" s="1121"/>
    </row>
    <row r="226" spans="1:8" ht="13.5">
      <c r="A226" s="1122" t="s">
        <v>1085</v>
      </c>
      <c r="B226" s="1121"/>
      <c r="C226" s="1121"/>
      <c r="D226" s="1121"/>
      <c r="E226" s="1121"/>
      <c r="F226" s="1121"/>
      <c r="G226" s="1121"/>
      <c r="H226" s="1121"/>
    </row>
    <row r="227" spans="1:8" ht="13.5">
      <c r="A227" s="1122" t="s">
        <v>1086</v>
      </c>
      <c r="B227" s="1121"/>
      <c r="C227" s="1121"/>
      <c r="D227" s="1121"/>
      <c r="E227" s="1121"/>
      <c r="F227" s="1121"/>
      <c r="G227" s="1121"/>
      <c r="H227" s="1121"/>
    </row>
    <row r="228" spans="1:8" ht="13.5">
      <c r="A228" s="1122" t="s">
        <v>1087</v>
      </c>
      <c r="B228" s="1121"/>
      <c r="C228" s="1121"/>
      <c r="D228" s="1121"/>
      <c r="E228" s="1121"/>
      <c r="F228" s="1121"/>
      <c r="G228" s="1121"/>
      <c r="H228" s="1121"/>
    </row>
    <row r="229" spans="1:8" ht="13.5">
      <c r="A229" s="1122" t="s">
        <v>1088</v>
      </c>
      <c r="B229" s="1121"/>
      <c r="C229" s="1121"/>
      <c r="D229" s="1121"/>
      <c r="E229" s="1121"/>
      <c r="F229" s="1121"/>
      <c r="G229" s="1121"/>
      <c r="H229" s="1121"/>
    </row>
    <row r="230" spans="1:8" ht="13.5">
      <c r="A230" s="1122" t="s">
        <v>1089</v>
      </c>
      <c r="B230" s="1121"/>
      <c r="C230" s="1121"/>
      <c r="D230" s="1121"/>
      <c r="E230" s="1121"/>
      <c r="F230" s="1121"/>
      <c r="G230" s="1121"/>
      <c r="H230" s="1121"/>
    </row>
    <row r="231" spans="1:8" ht="13.5">
      <c r="A231" s="1121"/>
      <c r="B231" s="1121"/>
      <c r="C231" s="1121"/>
      <c r="D231" s="1121"/>
      <c r="E231" s="1121"/>
      <c r="F231" s="1121"/>
      <c r="G231" s="1121"/>
      <c r="H231" s="1121"/>
    </row>
    <row r="232" spans="1:8" ht="13.5">
      <c r="A232" s="1122" t="s">
        <v>1079</v>
      </c>
      <c r="B232" s="1121"/>
      <c r="C232" s="1121"/>
      <c r="D232" s="1121"/>
      <c r="E232" s="1121"/>
      <c r="F232" s="1121"/>
      <c r="G232" s="1121"/>
      <c r="H232" s="1121"/>
    </row>
    <row r="233" spans="1:8" ht="13.5">
      <c r="A233" s="1122" t="s">
        <v>1080</v>
      </c>
      <c r="B233" s="1121"/>
      <c r="C233" s="1121"/>
      <c r="D233" s="1121"/>
      <c r="E233" s="1121"/>
      <c r="F233" s="1121"/>
      <c r="G233" s="1121"/>
      <c r="H233" s="1121"/>
    </row>
    <row r="234" spans="1:8" ht="13.5">
      <c r="A234" s="1122" t="s">
        <v>1081</v>
      </c>
      <c r="B234" s="1121"/>
      <c r="C234" s="1121"/>
      <c r="D234" s="1121"/>
      <c r="E234" s="1121"/>
      <c r="F234" s="1121"/>
      <c r="G234" s="1121"/>
      <c r="H234" s="1121"/>
    </row>
    <row r="235" spans="1:8" ht="13.5">
      <c r="A235" s="1122" t="s">
        <v>1082</v>
      </c>
      <c r="B235" s="1121"/>
      <c r="C235" s="1121"/>
      <c r="D235" s="1121"/>
      <c r="E235" s="1121"/>
      <c r="F235" s="1121"/>
      <c r="G235" s="1121"/>
      <c r="H235" s="1121"/>
    </row>
    <row r="236" spans="1:8" ht="13.5">
      <c r="A236" s="1122" t="s">
        <v>1083</v>
      </c>
      <c r="B236" s="1121"/>
      <c r="C236" s="1121"/>
      <c r="D236" s="1121"/>
      <c r="E236" s="1121"/>
      <c r="F236" s="1121"/>
      <c r="G236" s="1121"/>
      <c r="H236" s="1121"/>
    </row>
    <row r="237" spans="1:8" ht="13.5">
      <c r="A237" s="1122" t="s">
        <v>1084</v>
      </c>
      <c r="B237" s="1121"/>
      <c r="C237" s="1121"/>
      <c r="D237" s="1121"/>
      <c r="E237" s="1121"/>
      <c r="F237" s="1121"/>
      <c r="G237" s="1121"/>
      <c r="H237" s="1121"/>
    </row>
    <row r="238" spans="1:8" ht="13.5">
      <c r="A238" s="1121"/>
      <c r="B238" s="1121"/>
      <c r="C238" s="1121"/>
      <c r="D238" s="1121"/>
      <c r="E238" s="1121"/>
      <c r="F238" s="1121"/>
      <c r="G238" s="1121"/>
      <c r="H238" s="1121"/>
    </row>
    <row r="239" spans="1:8" ht="13.5">
      <c r="A239" s="1122" t="s">
        <v>1069</v>
      </c>
      <c r="B239" s="1121"/>
      <c r="C239" s="1121"/>
      <c r="D239" s="1121"/>
      <c r="E239" s="1121"/>
      <c r="F239" s="1121"/>
      <c r="G239" s="1121"/>
      <c r="H239" s="1121"/>
    </row>
    <row r="240" spans="1:8" ht="13.5">
      <c r="A240" s="1122" t="s">
        <v>1070</v>
      </c>
      <c r="B240" s="1121"/>
      <c r="C240" s="1121"/>
      <c r="D240" s="1121"/>
      <c r="E240" s="1121"/>
      <c r="F240" s="1121"/>
      <c r="G240" s="1121"/>
      <c r="H240" s="1121"/>
    </row>
    <row r="241" spans="1:8" ht="13.5">
      <c r="A241" s="1122" t="s">
        <v>1071</v>
      </c>
      <c r="B241" s="1121"/>
      <c r="C241" s="1121"/>
      <c r="D241" s="1121"/>
      <c r="E241" s="1121"/>
      <c r="F241" s="1121"/>
      <c r="G241" s="1121"/>
      <c r="H241" s="1121"/>
    </row>
    <row r="242" spans="1:8" ht="13.5">
      <c r="A242" s="1122" t="s">
        <v>1072</v>
      </c>
      <c r="B242" s="1121"/>
      <c r="C242" s="1121"/>
      <c r="D242" s="1121"/>
      <c r="E242" s="1121"/>
      <c r="F242" s="1121"/>
      <c r="G242" s="1121"/>
      <c r="H242" s="1121"/>
    </row>
    <row r="243" spans="1:8" ht="13.5">
      <c r="A243" s="1122" t="s">
        <v>1073</v>
      </c>
      <c r="B243" s="1121"/>
      <c r="C243" s="1121"/>
      <c r="D243" s="1121"/>
      <c r="E243" s="1121"/>
      <c r="F243" s="1121"/>
      <c r="G243" s="1121"/>
      <c r="H243" s="1121"/>
    </row>
    <row r="244" spans="1:8" ht="13.5">
      <c r="A244" s="1122" t="s">
        <v>1074</v>
      </c>
      <c r="B244" s="1121"/>
      <c r="C244" s="1121"/>
      <c r="D244" s="1121"/>
      <c r="E244" s="1121"/>
      <c r="F244" s="1121"/>
      <c r="G244" s="1121"/>
      <c r="H244" s="1121"/>
    </row>
    <row r="245" spans="1:8" ht="13.5">
      <c r="A245" s="1122" t="s">
        <v>1075</v>
      </c>
      <c r="B245" s="1121"/>
      <c r="C245" s="1121"/>
      <c r="D245" s="1121"/>
      <c r="E245" s="1121"/>
      <c r="F245" s="1121"/>
      <c r="G245" s="1121"/>
      <c r="H245" s="1121"/>
    </row>
    <row r="246" spans="1:8" ht="13.5">
      <c r="A246" s="1122" t="s">
        <v>1076</v>
      </c>
      <c r="B246" s="1121"/>
      <c r="C246" s="1121"/>
      <c r="D246" s="1121"/>
      <c r="E246" s="1121"/>
      <c r="F246" s="1121"/>
      <c r="G246" s="1121"/>
      <c r="H246" s="1121"/>
    </row>
    <row r="247" spans="1:8" ht="13.5">
      <c r="A247" s="1122" t="s">
        <v>1077</v>
      </c>
      <c r="B247" s="1121"/>
      <c r="C247" s="1121"/>
      <c r="D247" s="1121"/>
      <c r="E247" s="1121"/>
      <c r="F247" s="1121"/>
      <c r="G247" s="1121"/>
      <c r="H247" s="1121"/>
    </row>
    <row r="248" spans="1:8" ht="13.5">
      <c r="A248" s="1122" t="s">
        <v>1078</v>
      </c>
      <c r="B248" s="1121"/>
      <c r="C248" s="1121"/>
      <c r="D248" s="1121"/>
      <c r="E248" s="1121"/>
      <c r="F248" s="1121"/>
      <c r="G248" s="1121"/>
      <c r="H248" s="1121"/>
    </row>
    <row r="249" spans="1:8" ht="13.5">
      <c r="A249" s="1121"/>
      <c r="B249" s="1121"/>
      <c r="C249" s="1121"/>
      <c r="D249" s="1121"/>
      <c r="E249" s="1121"/>
      <c r="F249" s="1121"/>
      <c r="G249" s="1121"/>
      <c r="H249" s="1121"/>
    </row>
    <row r="250" spans="1:8" ht="13.5">
      <c r="A250" s="1122" t="s">
        <v>1067</v>
      </c>
      <c r="B250" s="1121"/>
      <c r="C250" s="1121"/>
      <c r="D250" s="1121"/>
      <c r="E250" s="1121"/>
      <c r="F250" s="1121"/>
      <c r="G250" s="1121"/>
      <c r="H250" s="1121"/>
    </row>
    <row r="251" spans="1:8" ht="13.5">
      <c r="A251" s="1122" t="s">
        <v>1068</v>
      </c>
      <c r="B251" s="1121"/>
      <c r="C251" s="1121"/>
      <c r="D251" s="1121"/>
      <c r="E251" s="1121"/>
      <c r="F251" s="1121"/>
      <c r="G251" s="1121"/>
      <c r="H251" s="1121"/>
    </row>
    <row r="252" spans="1:8" ht="13.5">
      <c r="A252" s="1121"/>
      <c r="B252" s="1121"/>
      <c r="C252" s="1121"/>
      <c r="D252" s="1121"/>
      <c r="E252" s="1121"/>
      <c r="F252" s="1121"/>
      <c r="G252" s="1121"/>
      <c r="H252" s="1121"/>
    </row>
    <row r="253" spans="1:8" ht="13.5">
      <c r="A253" s="1122" t="s">
        <v>1051</v>
      </c>
      <c r="B253" s="1121"/>
      <c r="C253" s="1121"/>
      <c r="D253" s="1121"/>
      <c r="E253" s="1121"/>
      <c r="F253" s="1121"/>
      <c r="G253" s="1121"/>
      <c r="H253" s="1121"/>
    </row>
    <row r="254" spans="1:8" ht="13.5">
      <c r="A254" s="1122" t="s">
        <v>1052</v>
      </c>
      <c r="B254" s="1121"/>
      <c r="C254" s="1121"/>
      <c r="D254" s="1121"/>
      <c r="E254" s="1121"/>
      <c r="F254" s="1121"/>
      <c r="G254" s="1121"/>
      <c r="H254" s="1121"/>
    </row>
    <row r="255" spans="1:8" ht="13.5">
      <c r="A255" s="1122" t="s">
        <v>1053</v>
      </c>
      <c r="B255" s="1121"/>
      <c r="C255" s="1121"/>
      <c r="D255" s="1121"/>
      <c r="E255" s="1121"/>
      <c r="F255" s="1121"/>
      <c r="G255" s="1121"/>
      <c r="H255" s="1121"/>
    </row>
    <row r="256" spans="1:8" ht="13.5">
      <c r="A256" s="1122" t="s">
        <v>1054</v>
      </c>
      <c r="B256" s="1121"/>
      <c r="C256" s="1121"/>
      <c r="D256" s="1121"/>
      <c r="E256" s="1121"/>
      <c r="F256" s="1121"/>
      <c r="G256" s="1121"/>
      <c r="H256" s="1121"/>
    </row>
    <row r="257" spans="1:8" ht="13.5">
      <c r="A257" s="1122" t="s">
        <v>1055</v>
      </c>
      <c r="B257" s="1121"/>
      <c r="C257" s="1121"/>
      <c r="D257" s="1121"/>
      <c r="E257" s="1121"/>
      <c r="F257" s="1121"/>
      <c r="G257" s="1121"/>
      <c r="H257" s="1121"/>
    </row>
    <row r="258" spans="1:8" ht="13.5">
      <c r="A258" s="1122" t="s">
        <v>1056</v>
      </c>
      <c r="B258" s="1121"/>
      <c r="C258" s="1121"/>
      <c r="D258" s="1121"/>
      <c r="E258" s="1121"/>
      <c r="F258" s="1121"/>
      <c r="G258" s="1121"/>
      <c r="H258" s="1121"/>
    </row>
    <row r="259" spans="1:8" ht="13.5">
      <c r="A259" s="1122" t="s">
        <v>1057</v>
      </c>
      <c r="B259" s="1121"/>
      <c r="C259" s="1121"/>
      <c r="D259" s="1121"/>
      <c r="E259" s="1121"/>
      <c r="F259" s="1121"/>
      <c r="G259" s="1121"/>
      <c r="H259" s="1121"/>
    </row>
    <row r="260" spans="1:8" ht="13.5">
      <c r="A260" s="1122" t="s">
        <v>1058</v>
      </c>
      <c r="B260" s="1121"/>
      <c r="C260" s="1121"/>
      <c r="D260" s="1121"/>
      <c r="E260" s="1121"/>
      <c r="F260" s="1121"/>
      <c r="G260" s="1121"/>
      <c r="H260" s="1121"/>
    </row>
    <row r="261" spans="1:8" ht="13.5">
      <c r="A261" s="1122" t="s">
        <v>1059</v>
      </c>
      <c r="B261" s="1121"/>
      <c r="C261" s="1121"/>
      <c r="D261" s="1121"/>
      <c r="E261" s="1121"/>
      <c r="F261" s="1121"/>
      <c r="G261" s="1121"/>
      <c r="H261" s="1121"/>
    </row>
    <row r="262" spans="1:8" ht="13.5">
      <c r="A262" s="1122" t="s">
        <v>1060</v>
      </c>
      <c r="B262" s="1121"/>
      <c r="C262" s="1121"/>
      <c r="D262" s="1121"/>
      <c r="E262" s="1121"/>
      <c r="F262" s="1121"/>
      <c r="G262" s="1121"/>
      <c r="H262" s="1121"/>
    </row>
    <row r="263" spans="1:8" ht="13.5">
      <c r="A263" s="1122" t="s">
        <v>1061</v>
      </c>
      <c r="B263" s="1121"/>
      <c r="C263" s="1121"/>
      <c r="D263" s="1121"/>
      <c r="E263" s="1121"/>
      <c r="F263" s="1121"/>
      <c r="G263" s="1121"/>
      <c r="H263" s="1121"/>
    </row>
    <row r="264" spans="1:8" ht="13.5">
      <c r="A264" s="1122" t="s">
        <v>1062</v>
      </c>
      <c r="B264" s="1121"/>
      <c r="C264" s="1121"/>
      <c r="D264" s="1121"/>
      <c r="E264" s="1121"/>
      <c r="F264" s="1121"/>
      <c r="G264" s="1121"/>
      <c r="H264" s="1121"/>
    </row>
    <row r="265" spans="1:8" ht="13.5">
      <c r="A265" s="1122" t="s">
        <v>1063</v>
      </c>
      <c r="B265" s="1121"/>
      <c r="C265" s="1121"/>
      <c r="D265" s="1121"/>
      <c r="E265" s="1121"/>
      <c r="F265" s="1121"/>
      <c r="G265" s="1121"/>
      <c r="H265" s="1121"/>
    </row>
    <row r="266" spans="1:8" ht="13.5">
      <c r="A266" s="1122" t="s">
        <v>1064</v>
      </c>
      <c r="B266" s="1121"/>
      <c r="C266" s="1121"/>
      <c r="D266" s="1121"/>
      <c r="E266" s="1121"/>
      <c r="F266" s="1121"/>
      <c r="G266" s="1121"/>
      <c r="H266" s="1121"/>
    </row>
    <row r="267" spans="1:8" ht="13.5">
      <c r="A267" s="1122" t="s">
        <v>1065</v>
      </c>
      <c r="B267" s="1121"/>
      <c r="C267" s="1121"/>
      <c r="D267" s="1121"/>
      <c r="E267" s="1121"/>
      <c r="F267" s="1121"/>
      <c r="G267" s="1121"/>
      <c r="H267" s="1121"/>
    </row>
    <row r="268" spans="1:8" ht="13.5">
      <c r="A268" s="1122" t="s">
        <v>1066</v>
      </c>
      <c r="B268" s="1121"/>
      <c r="C268" s="1121"/>
      <c r="D268" s="1121"/>
      <c r="E268" s="1121"/>
      <c r="F268" s="1121"/>
      <c r="G268" s="1121"/>
      <c r="H268" s="1121"/>
    </row>
    <row r="269" spans="1:8" ht="13.5">
      <c r="A269" s="1121"/>
      <c r="B269" s="1121"/>
      <c r="C269" s="1121"/>
      <c r="D269" s="1121"/>
      <c r="E269" s="1121"/>
      <c r="F269" s="1121"/>
      <c r="G269" s="1121"/>
      <c r="H269" s="1121"/>
    </row>
    <row r="270" spans="1:8" ht="13.5">
      <c r="A270" s="1122" t="s">
        <v>1044</v>
      </c>
      <c r="B270" s="1121"/>
      <c r="C270" s="1121"/>
      <c r="D270" s="1121"/>
      <c r="E270" s="1121"/>
      <c r="F270" s="1121"/>
      <c r="G270" s="1121"/>
      <c r="H270" s="1121"/>
    </row>
    <row r="271" spans="1:8" ht="13.5">
      <c r="A271" s="1122" t="s">
        <v>1045</v>
      </c>
      <c r="B271" s="1121"/>
      <c r="C271" s="1121"/>
      <c r="D271" s="1121"/>
      <c r="E271" s="1121"/>
      <c r="F271" s="1121"/>
      <c r="G271" s="1121"/>
      <c r="H271" s="1121"/>
    </row>
    <row r="272" spans="1:8" ht="13.5">
      <c r="A272" s="1122" t="s">
        <v>1046</v>
      </c>
      <c r="B272" s="1121"/>
      <c r="C272" s="1121"/>
      <c r="D272" s="1121"/>
      <c r="E272" s="1121"/>
      <c r="F272" s="1121"/>
      <c r="G272" s="1121"/>
      <c r="H272" s="1121"/>
    </row>
    <row r="273" spans="1:8" ht="13.5">
      <c r="A273" s="1122" t="s">
        <v>1047</v>
      </c>
      <c r="B273" s="1121"/>
      <c r="C273" s="1121"/>
      <c r="D273" s="1121"/>
      <c r="E273" s="1121"/>
      <c r="F273" s="1121"/>
      <c r="G273" s="1121"/>
      <c r="H273" s="1121"/>
    </row>
    <row r="274" spans="1:8" ht="13.5">
      <c r="A274" s="1122" t="s">
        <v>1048</v>
      </c>
      <c r="B274" s="1121"/>
      <c r="C274" s="1121"/>
      <c r="D274" s="1121"/>
      <c r="E274" s="1121"/>
      <c r="F274" s="1121"/>
      <c r="G274" s="1121"/>
      <c r="H274" s="1121"/>
    </row>
    <row r="275" spans="1:8" ht="13.5">
      <c r="A275" s="1122" t="s">
        <v>1049</v>
      </c>
      <c r="B275" s="1121"/>
      <c r="C275" s="1121"/>
      <c r="D275" s="1121"/>
      <c r="E275" s="1121"/>
      <c r="F275" s="1121"/>
      <c r="G275" s="1121"/>
      <c r="H275" s="1121"/>
    </row>
    <row r="276" spans="1:8" ht="13.5">
      <c r="A276" s="1122" t="s">
        <v>1050</v>
      </c>
      <c r="B276" s="1121"/>
      <c r="C276" s="1121"/>
      <c r="D276" s="1121"/>
      <c r="E276" s="1121"/>
      <c r="F276" s="1121"/>
      <c r="G276" s="1121"/>
      <c r="H276" s="1121"/>
    </row>
    <row r="277" spans="1:8" ht="13.5">
      <c r="A277" s="1121"/>
      <c r="B277" s="1121"/>
      <c r="C277" s="1121"/>
      <c r="D277" s="1121"/>
      <c r="E277" s="1121"/>
      <c r="F277" s="1121"/>
      <c r="G277" s="1121"/>
      <c r="H277" s="1121"/>
    </row>
    <row r="278" spans="1:8" ht="13.5">
      <c r="A278" s="1122" t="s">
        <v>1035</v>
      </c>
      <c r="B278" s="1121"/>
      <c r="C278" s="1121"/>
      <c r="D278" s="1121"/>
      <c r="E278" s="1121"/>
      <c r="F278" s="1121"/>
      <c r="G278" s="1121"/>
      <c r="H278" s="1121"/>
    </row>
    <row r="279" spans="1:8" ht="13.5">
      <c r="A279" s="1122" t="s">
        <v>1036</v>
      </c>
      <c r="B279" s="1121"/>
      <c r="C279" s="1121"/>
      <c r="D279" s="1121"/>
      <c r="E279" s="1121"/>
      <c r="F279" s="1121"/>
      <c r="G279" s="1121"/>
      <c r="H279" s="1121"/>
    </row>
    <row r="280" spans="1:8" ht="13.5">
      <c r="A280" s="1122" t="s">
        <v>1037</v>
      </c>
      <c r="B280" s="1121"/>
      <c r="C280" s="1121"/>
      <c r="D280" s="1121"/>
      <c r="E280" s="1121"/>
      <c r="F280" s="1121"/>
      <c r="G280" s="1121"/>
      <c r="H280" s="1121"/>
    </row>
    <row r="281" spans="1:8" ht="13.5">
      <c r="A281" s="1122" t="s">
        <v>1038</v>
      </c>
      <c r="B281" s="1121"/>
      <c r="C281" s="1121"/>
      <c r="D281" s="1121"/>
      <c r="E281" s="1121"/>
      <c r="F281" s="1121"/>
      <c r="G281" s="1121"/>
      <c r="H281" s="1121"/>
    </row>
    <row r="282" spans="1:8" ht="13.5">
      <c r="A282" s="1122" t="s">
        <v>1039</v>
      </c>
      <c r="B282" s="1121"/>
      <c r="C282" s="1121"/>
      <c r="D282" s="1121"/>
      <c r="E282" s="1121"/>
      <c r="F282" s="1121"/>
      <c r="G282" s="1121"/>
      <c r="H282" s="1121"/>
    </row>
    <row r="283" spans="1:8" ht="13.5">
      <c r="A283" s="1122" t="s">
        <v>1040</v>
      </c>
      <c r="B283" s="1121"/>
      <c r="C283" s="1121"/>
      <c r="D283" s="1121"/>
      <c r="E283" s="1121"/>
      <c r="F283" s="1121"/>
      <c r="G283" s="1121"/>
      <c r="H283" s="1121"/>
    </row>
    <row r="284" spans="1:8" ht="13.5">
      <c r="A284" s="1122" t="s">
        <v>1041</v>
      </c>
      <c r="B284" s="1121"/>
      <c r="C284" s="1121"/>
      <c r="D284" s="1121"/>
      <c r="E284" s="1121"/>
      <c r="F284" s="1121"/>
      <c r="G284" s="1121"/>
      <c r="H284" s="1121"/>
    </row>
    <row r="285" spans="1:8" ht="13.5">
      <c r="A285" s="1122" t="s">
        <v>1042</v>
      </c>
      <c r="B285" s="1121"/>
      <c r="C285" s="1121"/>
      <c r="D285" s="1121"/>
      <c r="E285" s="1121"/>
      <c r="F285" s="1121"/>
      <c r="G285" s="1121"/>
      <c r="H285" s="1121"/>
    </row>
    <row r="286" spans="1:8" ht="13.5">
      <c r="A286" s="1122" t="s">
        <v>1043</v>
      </c>
      <c r="B286" s="1121"/>
      <c r="C286" s="1121"/>
      <c r="D286" s="1121"/>
      <c r="E286" s="1121"/>
      <c r="F286" s="1121"/>
      <c r="G286" s="1121"/>
      <c r="H286" s="1121"/>
    </row>
    <row r="287" spans="1:8" ht="13.5">
      <c r="A287" s="1121"/>
      <c r="B287" s="1121"/>
      <c r="C287" s="1121"/>
      <c r="D287" s="1121"/>
      <c r="E287" s="1121"/>
      <c r="F287" s="1121"/>
      <c r="G287" s="1121"/>
      <c r="H287" s="1121"/>
    </row>
    <row r="288" spans="1:8" ht="13.5">
      <c r="A288" s="1122" t="s">
        <v>1028</v>
      </c>
      <c r="B288" s="1121"/>
      <c r="C288" s="1121"/>
      <c r="D288" s="1121"/>
      <c r="E288" s="1121"/>
      <c r="F288" s="1121"/>
      <c r="G288" s="1121"/>
      <c r="H288" s="1121"/>
    </row>
    <row r="289" spans="1:8" ht="13.5">
      <c r="A289" s="1122" t="s">
        <v>1029</v>
      </c>
      <c r="B289" s="1121"/>
      <c r="C289" s="1121"/>
      <c r="D289" s="1121"/>
      <c r="E289" s="1121"/>
      <c r="F289" s="1121"/>
      <c r="G289" s="1121"/>
      <c r="H289" s="1121"/>
    </row>
    <row r="290" spans="1:8" ht="13.5">
      <c r="A290" s="1122" t="s">
        <v>1030</v>
      </c>
      <c r="B290" s="1121"/>
      <c r="C290" s="1121"/>
      <c r="D290" s="1121"/>
      <c r="E290" s="1121"/>
      <c r="F290" s="1121"/>
      <c r="G290" s="1121"/>
      <c r="H290" s="1121"/>
    </row>
    <row r="291" spans="1:8" ht="13.5">
      <c r="A291" s="1122" t="s">
        <v>1031</v>
      </c>
      <c r="B291" s="1121"/>
      <c r="C291" s="1121"/>
      <c r="D291" s="1121"/>
      <c r="E291" s="1121"/>
      <c r="F291" s="1121"/>
      <c r="G291" s="1121"/>
      <c r="H291" s="1121"/>
    </row>
    <row r="292" spans="1:8" ht="13.5">
      <c r="A292" s="1122" t="s">
        <v>1032</v>
      </c>
      <c r="B292" s="1121"/>
      <c r="C292" s="1121"/>
      <c r="D292" s="1121"/>
      <c r="E292" s="1121"/>
      <c r="F292" s="1121"/>
      <c r="G292" s="1121"/>
      <c r="H292" s="1121"/>
    </row>
    <row r="293" spans="1:8" ht="13.5">
      <c r="A293" s="1122" t="s">
        <v>1033</v>
      </c>
      <c r="B293" s="1121"/>
      <c r="C293" s="1121"/>
      <c r="D293" s="1121"/>
      <c r="E293" s="1121"/>
      <c r="F293" s="1121"/>
      <c r="G293" s="1121"/>
      <c r="H293" s="1121"/>
    </row>
    <row r="294" spans="1:8" ht="13.5">
      <c r="A294" s="1122" t="s">
        <v>1034</v>
      </c>
      <c r="B294" s="1121"/>
      <c r="C294" s="1121"/>
      <c r="D294" s="1121"/>
      <c r="E294" s="1121"/>
      <c r="F294" s="1121"/>
      <c r="G294" s="1121"/>
      <c r="H294" s="1121"/>
    </row>
    <row r="295" spans="1:8" ht="13.5">
      <c r="A295" s="1121"/>
      <c r="B295" s="1121"/>
      <c r="C295" s="1121"/>
      <c r="D295" s="1121"/>
      <c r="E295" s="1121"/>
      <c r="F295" s="1121"/>
      <c r="G295" s="1121"/>
      <c r="H295" s="1121"/>
    </row>
    <row r="296" spans="1:8" ht="13.5">
      <c r="A296" s="1122" t="s">
        <v>1025</v>
      </c>
      <c r="B296" s="1121"/>
      <c r="C296" s="1121"/>
      <c r="D296" s="1121"/>
      <c r="E296" s="1121"/>
      <c r="F296" s="1121"/>
      <c r="G296" s="1121"/>
      <c r="H296" s="1121"/>
    </row>
    <row r="297" spans="1:8" ht="13.5">
      <c r="A297" s="1122" t="s">
        <v>1026</v>
      </c>
      <c r="B297" s="1121"/>
      <c r="C297" s="1121"/>
      <c r="D297" s="1121"/>
      <c r="E297" s="1121"/>
      <c r="F297" s="1121"/>
      <c r="G297" s="1121"/>
      <c r="H297" s="1121"/>
    </row>
    <row r="298" spans="1:8" ht="13.5">
      <c r="A298" s="1122" t="s">
        <v>1027</v>
      </c>
      <c r="B298" s="1121"/>
      <c r="C298" s="1121"/>
      <c r="D298" s="1121"/>
      <c r="E298" s="1121"/>
      <c r="F298" s="1121"/>
      <c r="G298" s="1121"/>
      <c r="H298" s="1121"/>
    </row>
    <row r="299" spans="1:8" ht="13.5">
      <c r="A299" s="1121"/>
      <c r="B299" s="1121"/>
      <c r="C299" s="1121"/>
      <c r="D299" s="1121"/>
      <c r="E299" s="1121"/>
      <c r="F299" s="1121"/>
      <c r="G299" s="1121"/>
      <c r="H299" s="1121"/>
    </row>
    <row r="300" spans="1:8" ht="13.5">
      <c r="A300" s="1122" t="s">
        <v>1023</v>
      </c>
      <c r="B300" s="1121"/>
      <c r="C300" s="1121"/>
      <c r="D300" s="1121"/>
      <c r="E300" s="1121"/>
      <c r="F300" s="1121"/>
      <c r="G300" s="1121"/>
      <c r="H300" s="1121"/>
    </row>
    <row r="301" spans="1:8" ht="13.5">
      <c r="A301" s="1122" t="s">
        <v>1024</v>
      </c>
      <c r="B301" s="1121"/>
      <c r="C301" s="1121"/>
      <c r="D301" s="1121"/>
      <c r="E301" s="1121"/>
      <c r="F301" s="1121"/>
      <c r="G301" s="1121"/>
      <c r="H301" s="1121"/>
    </row>
    <row r="302" spans="1:8" ht="13.5">
      <c r="A302" s="1121"/>
      <c r="B302" s="1121"/>
      <c r="C302" s="1121"/>
      <c r="D302" s="1121"/>
      <c r="E302" s="1121"/>
      <c r="F302" s="1121"/>
      <c r="G302" s="1121"/>
      <c r="H302" s="1121"/>
    </row>
    <row r="303" spans="1:8" ht="13.5">
      <c r="A303" s="1122" t="s">
        <v>1010</v>
      </c>
      <c r="B303" s="1121"/>
      <c r="C303" s="1121"/>
      <c r="D303" s="1121"/>
      <c r="E303" s="1121"/>
      <c r="F303" s="1121"/>
      <c r="G303" s="1121"/>
      <c r="H303" s="1121"/>
    </row>
    <row r="304" spans="1:8" ht="13.5">
      <c r="A304" s="1122" t="s">
        <v>1011</v>
      </c>
      <c r="B304" s="1121"/>
      <c r="C304" s="1121"/>
      <c r="D304" s="1121"/>
      <c r="E304" s="1121"/>
      <c r="F304" s="1121"/>
      <c r="G304" s="1121"/>
      <c r="H304" s="1121"/>
    </row>
    <row r="305" spans="1:8" ht="13.5">
      <c r="A305" s="1122" t="s">
        <v>1012</v>
      </c>
      <c r="B305" s="1121"/>
      <c r="C305" s="1121"/>
      <c r="D305" s="1121"/>
      <c r="E305" s="1121"/>
      <c r="F305" s="1121"/>
      <c r="G305" s="1121"/>
      <c r="H305" s="1121"/>
    </row>
    <row r="306" spans="1:8" ht="13.5">
      <c r="A306" s="1122" t="s">
        <v>1013</v>
      </c>
      <c r="B306" s="1121"/>
      <c r="C306" s="1121"/>
      <c r="D306" s="1121"/>
      <c r="E306" s="1121"/>
      <c r="F306" s="1121"/>
      <c r="G306" s="1121"/>
      <c r="H306" s="1121"/>
    </row>
    <row r="307" spans="1:8" ht="13.5">
      <c r="A307" s="1122" t="s">
        <v>1014</v>
      </c>
      <c r="B307" s="1121"/>
      <c r="C307" s="1121"/>
      <c r="D307" s="1121"/>
      <c r="E307" s="1121"/>
      <c r="F307" s="1121"/>
      <c r="G307" s="1121"/>
      <c r="H307" s="1121"/>
    </row>
    <row r="308" spans="1:8" ht="13.5">
      <c r="A308" s="1122" t="s">
        <v>1015</v>
      </c>
      <c r="B308" s="1121"/>
      <c r="C308" s="1121"/>
      <c r="D308" s="1121"/>
      <c r="E308" s="1121"/>
      <c r="F308" s="1121"/>
      <c r="G308" s="1121"/>
      <c r="H308" s="1121"/>
    </row>
    <row r="309" spans="1:8" ht="13.5">
      <c r="A309" s="1122" t="s">
        <v>1016</v>
      </c>
      <c r="B309" s="1121"/>
      <c r="C309" s="1121"/>
      <c r="D309" s="1121"/>
      <c r="E309" s="1121"/>
      <c r="F309" s="1121"/>
      <c r="G309" s="1121"/>
      <c r="H309" s="1121"/>
    </row>
    <row r="310" spans="1:8" ht="13.5">
      <c r="A310" s="1122" t="s">
        <v>1017</v>
      </c>
      <c r="B310" s="1121"/>
      <c r="C310" s="1121"/>
      <c r="D310" s="1121"/>
      <c r="E310" s="1121"/>
      <c r="F310" s="1121"/>
      <c r="G310" s="1121"/>
      <c r="H310" s="1121"/>
    </row>
    <row r="311" spans="1:8" ht="13.5">
      <c r="A311" s="1122" t="s">
        <v>1018</v>
      </c>
      <c r="B311" s="1121"/>
      <c r="C311" s="1121"/>
      <c r="D311" s="1121"/>
      <c r="E311" s="1121"/>
      <c r="F311" s="1121"/>
      <c r="G311" s="1121"/>
      <c r="H311" s="1121"/>
    </row>
    <row r="312" spans="1:8" ht="13.5">
      <c r="A312" s="1122" t="s">
        <v>1019</v>
      </c>
      <c r="B312" s="1121"/>
      <c r="C312" s="1121"/>
      <c r="D312" s="1121"/>
      <c r="E312" s="1121"/>
      <c r="F312" s="1121"/>
      <c r="G312" s="1121"/>
      <c r="H312" s="1121"/>
    </row>
    <row r="313" spans="1:8" ht="13.5">
      <c r="A313" s="1122" t="s">
        <v>1020</v>
      </c>
      <c r="B313" s="1121"/>
      <c r="C313" s="1121"/>
      <c r="D313" s="1121"/>
      <c r="E313" s="1121"/>
      <c r="F313" s="1121"/>
      <c r="G313" s="1121"/>
      <c r="H313" s="1121"/>
    </row>
    <row r="314" spans="1:8" ht="13.5">
      <c r="A314" s="1122" t="s">
        <v>1021</v>
      </c>
      <c r="B314" s="1121"/>
      <c r="C314" s="1121"/>
      <c r="D314" s="1121"/>
      <c r="E314" s="1121"/>
      <c r="F314" s="1121"/>
      <c r="G314" s="1121"/>
      <c r="H314" s="1121"/>
    </row>
    <row r="315" spans="1:8" ht="13.5">
      <c r="A315" s="1122" t="s">
        <v>1022</v>
      </c>
      <c r="B315" s="1121"/>
      <c r="C315" s="1121"/>
      <c r="D315" s="1121"/>
      <c r="E315" s="1121"/>
      <c r="F315" s="1121"/>
      <c r="G315" s="1121"/>
      <c r="H315" s="1121"/>
    </row>
    <row r="316" spans="1:8" ht="13.5">
      <c r="A316" s="1121"/>
      <c r="B316" s="1121"/>
      <c r="C316" s="1121"/>
      <c r="D316" s="1121"/>
      <c r="E316" s="1121"/>
      <c r="F316" s="1121"/>
      <c r="G316" s="1121"/>
      <c r="H316" s="1121"/>
    </row>
    <row r="317" spans="1:8" ht="13.5">
      <c r="A317" s="1122" t="s">
        <v>1002</v>
      </c>
      <c r="B317" s="1121"/>
      <c r="C317" s="1121"/>
      <c r="D317" s="1121"/>
      <c r="E317" s="1121"/>
      <c r="F317" s="1121"/>
      <c r="G317" s="1121"/>
      <c r="H317" s="1121"/>
    </row>
    <row r="318" spans="1:8" ht="13.5">
      <c r="A318" s="1122" t="s">
        <v>1003</v>
      </c>
      <c r="B318" s="1121"/>
      <c r="C318" s="1121"/>
      <c r="D318" s="1121"/>
      <c r="E318" s="1121"/>
      <c r="F318" s="1121"/>
      <c r="G318" s="1121"/>
      <c r="H318" s="1121"/>
    </row>
    <row r="319" spans="1:8" ht="13.5">
      <c r="A319" s="1122" t="s">
        <v>1004</v>
      </c>
      <c r="B319" s="1121"/>
      <c r="C319" s="1121"/>
      <c r="D319" s="1121"/>
      <c r="E319" s="1121"/>
      <c r="F319" s="1121"/>
      <c r="G319" s="1121"/>
      <c r="H319" s="1121"/>
    </row>
    <row r="320" spans="1:8" ht="13.5">
      <c r="A320" s="1122" t="s">
        <v>1005</v>
      </c>
      <c r="B320" s="1121"/>
      <c r="C320" s="1121"/>
      <c r="D320" s="1121"/>
      <c r="E320" s="1121"/>
      <c r="F320" s="1121"/>
      <c r="G320" s="1121"/>
      <c r="H320" s="1121"/>
    </row>
    <row r="321" spans="1:8" ht="13.5">
      <c r="A321" s="1122" t="s">
        <v>1006</v>
      </c>
      <c r="B321" s="1121"/>
      <c r="C321" s="1121"/>
      <c r="D321" s="1121"/>
      <c r="E321" s="1121"/>
      <c r="F321" s="1121"/>
      <c r="G321" s="1121"/>
      <c r="H321" s="1121"/>
    </row>
    <row r="322" spans="1:8" ht="13.5">
      <c r="A322" s="1122" t="s">
        <v>1007</v>
      </c>
      <c r="B322" s="1121"/>
      <c r="C322" s="1121"/>
      <c r="D322" s="1121"/>
      <c r="E322" s="1121"/>
      <c r="F322" s="1121"/>
      <c r="G322" s="1121"/>
      <c r="H322" s="1121"/>
    </row>
    <row r="323" spans="1:8" ht="13.5">
      <c r="A323" s="1122" t="s">
        <v>1008</v>
      </c>
      <c r="B323" s="1121"/>
      <c r="C323" s="1121"/>
      <c r="D323" s="1121"/>
      <c r="E323" s="1121"/>
      <c r="F323" s="1121"/>
      <c r="G323" s="1121"/>
      <c r="H323" s="1121"/>
    </row>
    <row r="324" spans="1:8" ht="13.5">
      <c r="A324" s="1122" t="s">
        <v>1009</v>
      </c>
      <c r="B324" s="1121"/>
      <c r="C324" s="1121"/>
      <c r="D324" s="1121"/>
      <c r="E324" s="1121"/>
      <c r="F324" s="1121"/>
      <c r="G324" s="1121"/>
      <c r="H324" s="1121"/>
    </row>
    <row r="325" spans="1:8" ht="13.5">
      <c r="A325" s="1121"/>
      <c r="B325" s="1121"/>
      <c r="C325" s="1121"/>
      <c r="D325" s="1121"/>
      <c r="E325" s="1121"/>
      <c r="F325" s="1121"/>
      <c r="G325" s="1121"/>
      <c r="H325" s="1121"/>
    </row>
    <row r="326" spans="1:8" ht="13.5">
      <c r="A326" s="1122" t="s">
        <v>967</v>
      </c>
      <c r="B326" s="1121"/>
      <c r="C326" s="1121"/>
      <c r="D326" s="1121"/>
      <c r="E326" s="1121"/>
      <c r="F326" s="1121"/>
      <c r="G326" s="1121"/>
      <c r="H326" s="1121"/>
    </row>
    <row r="327" spans="1:8" ht="13.5">
      <c r="A327" s="1122" t="s">
        <v>968</v>
      </c>
      <c r="B327" s="1121"/>
      <c r="C327" s="1121"/>
      <c r="D327" s="1121"/>
      <c r="E327" s="1121"/>
      <c r="F327" s="1121"/>
      <c r="G327" s="1121"/>
      <c r="H327" s="1121"/>
    </row>
    <row r="328" spans="1:8" ht="13.5">
      <c r="A328" s="1122" t="s">
        <v>969</v>
      </c>
      <c r="B328" s="1121"/>
      <c r="C328" s="1121"/>
      <c r="D328" s="1121"/>
      <c r="E328" s="1121"/>
      <c r="F328" s="1121"/>
      <c r="G328" s="1121"/>
      <c r="H328" s="1121"/>
    </row>
    <row r="329" spans="1:8" ht="13.5">
      <c r="A329" s="1122" t="s">
        <v>970</v>
      </c>
      <c r="B329" s="1121"/>
      <c r="C329" s="1121"/>
      <c r="D329" s="1121"/>
      <c r="E329" s="1121"/>
      <c r="F329" s="1121"/>
      <c r="G329" s="1121"/>
      <c r="H329" s="1121"/>
    </row>
    <row r="330" spans="1:8" ht="13.5">
      <c r="A330" s="1122" t="s">
        <v>971</v>
      </c>
      <c r="B330" s="1121"/>
      <c r="C330" s="1121"/>
      <c r="D330" s="1121"/>
      <c r="E330" s="1121"/>
      <c r="F330" s="1121"/>
      <c r="G330" s="1121"/>
      <c r="H330" s="1121"/>
    </row>
    <row r="331" spans="1:8" ht="13.5">
      <c r="A331" s="1122" t="s">
        <v>972</v>
      </c>
      <c r="B331" s="1121"/>
      <c r="C331" s="1121"/>
      <c r="D331" s="1121"/>
      <c r="E331" s="1121"/>
      <c r="F331" s="1121"/>
      <c r="G331" s="1121"/>
      <c r="H331" s="1121"/>
    </row>
    <row r="332" spans="1:8" ht="13.5">
      <c r="A332" s="1122" t="s">
        <v>973</v>
      </c>
      <c r="B332" s="1121"/>
      <c r="C332" s="1121"/>
      <c r="D332" s="1121"/>
      <c r="E332" s="1121"/>
      <c r="F332" s="1121"/>
      <c r="G332" s="1121"/>
      <c r="H332" s="1121"/>
    </row>
    <row r="333" spans="1:8" ht="13.5">
      <c r="A333" s="1122" t="s">
        <v>974</v>
      </c>
      <c r="B333" s="1121"/>
      <c r="C333" s="1121"/>
      <c r="D333" s="1121"/>
      <c r="E333" s="1121"/>
      <c r="F333" s="1121"/>
      <c r="G333" s="1121"/>
      <c r="H333" s="1121"/>
    </row>
    <row r="334" spans="1:8" ht="13.5">
      <c r="A334" s="1122" t="s">
        <v>975</v>
      </c>
      <c r="B334" s="1121"/>
      <c r="C334" s="1121"/>
      <c r="D334" s="1121"/>
      <c r="E334" s="1121"/>
      <c r="F334" s="1121"/>
      <c r="G334" s="1121"/>
      <c r="H334" s="1121"/>
    </row>
    <row r="335" spans="1:8" ht="13.5">
      <c r="A335" s="1122" t="s">
        <v>976</v>
      </c>
      <c r="B335" s="1121"/>
      <c r="C335" s="1121"/>
      <c r="D335" s="1121"/>
      <c r="E335" s="1121"/>
      <c r="F335" s="1121"/>
      <c r="G335" s="1121"/>
      <c r="H335" s="1121"/>
    </row>
    <row r="336" spans="1:8" ht="13.5">
      <c r="A336" s="1122" t="s">
        <v>977</v>
      </c>
      <c r="B336" s="1121"/>
      <c r="C336" s="1121"/>
      <c r="D336" s="1121"/>
      <c r="E336" s="1121"/>
      <c r="F336" s="1121"/>
      <c r="G336" s="1121"/>
      <c r="H336" s="1121"/>
    </row>
    <row r="337" spans="1:8" ht="13.5">
      <c r="A337" s="1122" t="s">
        <v>978</v>
      </c>
      <c r="B337" s="1121"/>
      <c r="C337" s="1121"/>
      <c r="D337" s="1121"/>
      <c r="E337" s="1121"/>
      <c r="F337" s="1121"/>
      <c r="G337" s="1121"/>
      <c r="H337" s="1121"/>
    </row>
    <row r="338" spans="1:8" ht="13.5">
      <c r="A338" s="1122" t="s">
        <v>979</v>
      </c>
      <c r="B338" s="1121"/>
      <c r="C338" s="1121"/>
      <c r="D338" s="1121"/>
      <c r="E338" s="1121"/>
      <c r="F338" s="1121"/>
      <c r="G338" s="1121"/>
      <c r="H338" s="1121"/>
    </row>
    <row r="339" spans="1:8" ht="13.5">
      <c r="A339" s="1122" t="s">
        <v>980</v>
      </c>
      <c r="B339" s="1121"/>
      <c r="C339" s="1121"/>
      <c r="D339" s="1121"/>
      <c r="E339" s="1121"/>
      <c r="F339" s="1121"/>
      <c r="G339" s="1121"/>
      <c r="H339" s="1121"/>
    </row>
    <row r="340" spans="1:8" ht="13.5">
      <c r="A340" s="1122" t="s">
        <v>981</v>
      </c>
      <c r="B340" s="1121"/>
      <c r="C340" s="1121"/>
      <c r="D340" s="1121"/>
      <c r="E340" s="1121"/>
      <c r="F340" s="1121"/>
      <c r="G340" s="1121"/>
      <c r="H340" s="1121"/>
    </row>
    <row r="341" spans="1:8" ht="13.5">
      <c r="A341" s="1122" t="s">
        <v>982</v>
      </c>
      <c r="B341" s="1121"/>
      <c r="C341" s="1121"/>
      <c r="D341" s="1121"/>
      <c r="E341" s="1121"/>
      <c r="F341" s="1121"/>
      <c r="G341" s="1121"/>
      <c r="H341" s="1121"/>
    </row>
    <row r="342" spans="1:8" ht="13.5">
      <c r="A342" s="1122" t="s">
        <v>983</v>
      </c>
      <c r="B342" s="1121"/>
      <c r="C342" s="1121"/>
      <c r="D342" s="1121"/>
      <c r="E342" s="1121"/>
      <c r="F342" s="1121"/>
      <c r="G342" s="1121"/>
      <c r="H342" s="1121"/>
    </row>
    <row r="343" spans="1:8" ht="13.5">
      <c r="A343" s="1122" t="s">
        <v>984</v>
      </c>
      <c r="B343" s="1121"/>
      <c r="C343" s="1121"/>
      <c r="D343" s="1121"/>
      <c r="E343" s="1121"/>
      <c r="F343" s="1121"/>
      <c r="G343" s="1121"/>
      <c r="H343" s="1121"/>
    </row>
    <row r="344" spans="1:8" ht="13.5">
      <c r="A344" s="1122" t="s">
        <v>985</v>
      </c>
      <c r="B344" s="1121"/>
      <c r="C344" s="1121"/>
      <c r="D344" s="1121"/>
      <c r="E344" s="1121"/>
      <c r="F344" s="1121"/>
      <c r="G344" s="1121"/>
      <c r="H344" s="1121"/>
    </row>
    <row r="345" spans="1:8" ht="13.5">
      <c r="A345" s="1122" t="s">
        <v>986</v>
      </c>
      <c r="B345" s="1121"/>
      <c r="C345" s="1121"/>
      <c r="D345" s="1121"/>
      <c r="E345" s="1121"/>
      <c r="F345" s="1121"/>
      <c r="G345" s="1121"/>
      <c r="H345" s="1121"/>
    </row>
    <row r="346" spans="1:8" ht="13.5">
      <c r="A346" s="1122" t="s">
        <v>987</v>
      </c>
      <c r="B346" s="1121"/>
      <c r="C346" s="1121"/>
      <c r="D346" s="1121"/>
      <c r="E346" s="1121"/>
      <c r="F346" s="1121"/>
      <c r="G346" s="1121"/>
      <c r="H346" s="1121"/>
    </row>
    <row r="347" spans="1:8" ht="13.5">
      <c r="A347" s="1122" t="s">
        <v>988</v>
      </c>
      <c r="B347" s="1121"/>
      <c r="C347" s="1121"/>
      <c r="D347" s="1121"/>
      <c r="E347" s="1121"/>
      <c r="F347" s="1121"/>
      <c r="G347" s="1121"/>
      <c r="H347" s="1121"/>
    </row>
    <row r="348" spans="1:8" ht="13.5">
      <c r="A348" s="1122" t="s">
        <v>989</v>
      </c>
      <c r="B348" s="1121"/>
      <c r="C348" s="1121"/>
      <c r="D348" s="1121"/>
      <c r="E348" s="1121"/>
      <c r="F348" s="1121"/>
      <c r="G348" s="1121"/>
      <c r="H348" s="1121"/>
    </row>
    <row r="349" spans="1:8" ht="13.5">
      <c r="A349" s="1122" t="s">
        <v>990</v>
      </c>
      <c r="B349" s="1121"/>
      <c r="C349" s="1121"/>
      <c r="D349" s="1121"/>
      <c r="E349" s="1121"/>
      <c r="F349" s="1121"/>
      <c r="G349" s="1121"/>
      <c r="H349" s="1121"/>
    </row>
    <row r="350" spans="1:8" ht="13.5">
      <c r="A350" s="1122" t="s">
        <v>991</v>
      </c>
      <c r="B350" s="1121"/>
      <c r="C350" s="1121"/>
      <c r="D350" s="1121"/>
      <c r="E350" s="1121"/>
      <c r="F350" s="1121"/>
      <c r="G350" s="1121"/>
      <c r="H350" s="1121"/>
    </row>
    <row r="351" spans="1:8" ht="13.5">
      <c r="A351" s="1122" t="s">
        <v>992</v>
      </c>
      <c r="B351" s="1121"/>
      <c r="C351" s="1121"/>
      <c r="D351" s="1121"/>
      <c r="E351" s="1121"/>
      <c r="F351" s="1121"/>
      <c r="G351" s="1121"/>
      <c r="H351" s="1121"/>
    </row>
    <row r="352" spans="1:8" ht="13.5">
      <c r="A352" s="1122" t="s">
        <v>993</v>
      </c>
      <c r="B352" s="1121"/>
      <c r="C352" s="1121"/>
      <c r="D352" s="1121"/>
      <c r="E352" s="1121"/>
      <c r="F352" s="1121"/>
      <c r="G352" s="1121"/>
      <c r="H352" s="1121"/>
    </row>
    <row r="353" spans="1:8" ht="13.5">
      <c r="A353" s="1122" t="s">
        <v>994</v>
      </c>
      <c r="B353" s="1121"/>
      <c r="C353" s="1121"/>
      <c r="D353" s="1121"/>
      <c r="E353" s="1121"/>
      <c r="F353" s="1121"/>
      <c r="G353" s="1121"/>
      <c r="H353" s="1121"/>
    </row>
    <row r="354" spans="1:8" ht="13.5">
      <c r="A354" s="1122" t="s">
        <v>995</v>
      </c>
      <c r="B354" s="1121"/>
      <c r="C354" s="1121"/>
      <c r="D354" s="1121"/>
      <c r="E354" s="1121"/>
      <c r="F354" s="1121"/>
      <c r="G354" s="1121"/>
      <c r="H354" s="1121"/>
    </row>
    <row r="355" spans="1:8" ht="13.5">
      <c r="A355" s="1122" t="s">
        <v>996</v>
      </c>
      <c r="B355" s="1121"/>
      <c r="C355" s="1121"/>
      <c r="D355" s="1121"/>
      <c r="E355" s="1121"/>
      <c r="F355" s="1121"/>
      <c r="G355" s="1121"/>
      <c r="H355" s="1121"/>
    </row>
    <row r="356" spans="1:8" ht="13.5">
      <c r="A356" s="1122" t="s">
        <v>997</v>
      </c>
      <c r="B356" s="1121"/>
      <c r="C356" s="1121"/>
      <c r="D356" s="1121"/>
      <c r="E356" s="1121"/>
      <c r="F356" s="1121"/>
      <c r="G356" s="1121"/>
      <c r="H356" s="1121"/>
    </row>
    <row r="357" spans="1:8" ht="13.5">
      <c r="A357" s="1122" t="s">
        <v>998</v>
      </c>
      <c r="B357" s="1121"/>
      <c r="C357" s="1121"/>
      <c r="D357" s="1121"/>
      <c r="E357" s="1121"/>
      <c r="F357" s="1121"/>
      <c r="G357" s="1121"/>
      <c r="H357" s="1121"/>
    </row>
    <row r="358" spans="1:8" ht="13.5">
      <c r="A358" s="1122" t="s">
        <v>999</v>
      </c>
      <c r="B358" s="1121"/>
      <c r="C358" s="1121"/>
      <c r="D358" s="1121"/>
      <c r="E358" s="1121"/>
      <c r="F358" s="1121"/>
      <c r="G358" s="1121"/>
      <c r="H358" s="1121"/>
    </row>
    <row r="359" spans="1:8" ht="13.5">
      <c r="A359" s="1122" t="s">
        <v>1000</v>
      </c>
      <c r="B359" s="1121"/>
      <c r="C359" s="1121"/>
      <c r="D359" s="1121"/>
      <c r="E359" s="1121"/>
      <c r="F359" s="1121"/>
      <c r="G359" s="1121"/>
      <c r="H359" s="1121"/>
    </row>
    <row r="360" spans="1:8" ht="13.5">
      <c r="A360" s="1122" t="s">
        <v>1001</v>
      </c>
      <c r="B360" s="1121"/>
      <c r="C360" s="1121"/>
      <c r="D360" s="1121"/>
      <c r="E360" s="1121"/>
      <c r="F360" s="1121"/>
      <c r="G360" s="1121"/>
      <c r="H360" s="1121"/>
    </row>
    <row r="361" spans="1:8" ht="13.5">
      <c r="A361" s="1121"/>
      <c r="B361" s="1121"/>
      <c r="C361" s="1121"/>
      <c r="D361" s="1121"/>
      <c r="E361" s="1121"/>
      <c r="F361" s="1121"/>
      <c r="G361" s="1121"/>
      <c r="H361" s="1121"/>
    </row>
    <row r="362" spans="1:8" ht="13.5">
      <c r="A362" s="1122" t="s">
        <v>959</v>
      </c>
      <c r="B362" s="1121"/>
      <c r="C362" s="1121"/>
      <c r="D362" s="1121"/>
      <c r="E362" s="1121"/>
      <c r="F362" s="1121"/>
      <c r="G362" s="1121"/>
      <c r="H362" s="1121"/>
    </row>
    <row r="363" spans="1:8" ht="13.5">
      <c r="A363" s="1122" t="s">
        <v>963</v>
      </c>
      <c r="B363" s="1121"/>
      <c r="C363" s="1121"/>
      <c r="D363" s="1121"/>
      <c r="E363" s="1121"/>
      <c r="F363" s="1121"/>
      <c r="G363" s="1121"/>
      <c r="H363" s="1121"/>
    </row>
    <row r="364" spans="1:8" ht="13.5">
      <c r="A364" s="1122" t="s">
        <v>964</v>
      </c>
      <c r="B364" s="1121"/>
      <c r="C364" s="1121"/>
      <c r="D364" s="1121"/>
      <c r="E364" s="1121"/>
      <c r="F364" s="1121"/>
      <c r="G364" s="1121"/>
      <c r="H364" s="1121"/>
    </row>
    <row r="365" spans="1:8" ht="13.5">
      <c r="A365" s="1122" t="s">
        <v>965</v>
      </c>
      <c r="B365" s="1121"/>
      <c r="C365" s="1121"/>
      <c r="D365" s="1121"/>
      <c r="E365" s="1121"/>
      <c r="F365" s="1121"/>
      <c r="G365" s="1121"/>
      <c r="H365" s="1121"/>
    </row>
    <row r="366" spans="1:8" ht="13.5">
      <c r="A366" s="1122" t="s">
        <v>966</v>
      </c>
      <c r="B366" s="1121"/>
      <c r="C366" s="1121"/>
      <c r="D366" s="1121"/>
      <c r="E366" s="1121"/>
      <c r="F366" s="1121"/>
      <c r="G366" s="1121"/>
      <c r="H366" s="1121"/>
    </row>
    <row r="367" spans="1:8" ht="13.5">
      <c r="A367" s="1121"/>
      <c r="B367" s="1121"/>
      <c r="C367" s="1121"/>
      <c r="D367" s="1121"/>
      <c r="E367" s="1121"/>
      <c r="F367" s="1121"/>
      <c r="G367" s="1121"/>
      <c r="H367" s="1121"/>
    </row>
    <row r="368" spans="1:8" ht="13.5">
      <c r="A368" s="1122" t="s">
        <v>959</v>
      </c>
      <c r="B368" s="1121"/>
      <c r="C368" s="1121"/>
      <c r="D368" s="1121"/>
      <c r="E368" s="1121"/>
      <c r="F368" s="1121"/>
      <c r="G368" s="1121"/>
      <c r="H368" s="1121"/>
    </row>
    <row r="369" spans="1:8" ht="13.5">
      <c r="A369" s="1122" t="s">
        <v>960</v>
      </c>
      <c r="B369" s="1121"/>
      <c r="C369" s="1121"/>
      <c r="D369" s="1121"/>
      <c r="E369" s="1121"/>
      <c r="F369" s="1121"/>
      <c r="G369" s="1121"/>
      <c r="H369" s="1121"/>
    </row>
    <row r="370" spans="1:8" ht="13.5">
      <c r="A370" s="1122" t="s">
        <v>961</v>
      </c>
      <c r="B370" s="1121"/>
      <c r="C370" s="1121"/>
      <c r="D370" s="1121"/>
      <c r="E370" s="1121"/>
      <c r="F370" s="1121"/>
      <c r="G370" s="1121"/>
      <c r="H370" s="1121"/>
    </row>
    <row r="371" spans="1:8" ht="13.5">
      <c r="A371" s="1122" t="s">
        <v>962</v>
      </c>
      <c r="B371" s="1121"/>
      <c r="C371" s="1121"/>
      <c r="D371" s="1121"/>
      <c r="E371" s="1121"/>
      <c r="F371" s="1121"/>
      <c r="G371" s="1121"/>
      <c r="H371" s="1121"/>
    </row>
    <row r="372" spans="1:8" ht="13.5">
      <c r="A372" s="1121"/>
      <c r="B372" s="1121"/>
      <c r="C372" s="1121"/>
      <c r="D372" s="1121"/>
      <c r="E372" s="1121"/>
      <c r="F372" s="1121"/>
      <c r="G372" s="1121"/>
      <c r="H372" s="1121"/>
    </row>
    <row r="373" spans="1:8" ht="13.5">
      <c r="A373" s="1122" t="s">
        <v>953</v>
      </c>
      <c r="B373" s="1121"/>
      <c r="C373" s="1121"/>
      <c r="D373" s="1121"/>
      <c r="E373" s="1121"/>
      <c r="F373" s="1121"/>
      <c r="G373" s="1121"/>
      <c r="H373" s="1121"/>
    </row>
    <row r="374" spans="1:8" ht="13.5">
      <c r="A374" s="1122" t="s">
        <v>954</v>
      </c>
      <c r="B374" s="1121"/>
      <c r="C374" s="1121"/>
      <c r="D374" s="1121"/>
      <c r="E374" s="1121"/>
      <c r="F374" s="1121"/>
      <c r="G374" s="1121"/>
      <c r="H374" s="1121"/>
    </row>
    <row r="375" spans="1:8" ht="13.5">
      <c r="A375" s="1122" t="s">
        <v>955</v>
      </c>
      <c r="B375" s="1121"/>
      <c r="C375" s="1121"/>
      <c r="D375" s="1121"/>
      <c r="E375" s="1121"/>
      <c r="F375" s="1121"/>
      <c r="G375" s="1121"/>
      <c r="H375" s="1121"/>
    </row>
    <row r="376" spans="1:8" ht="13.5">
      <c r="A376" s="1122" t="s">
        <v>956</v>
      </c>
      <c r="B376" s="1121"/>
      <c r="C376" s="1121"/>
      <c r="D376" s="1121"/>
      <c r="E376" s="1121"/>
      <c r="F376" s="1121"/>
      <c r="G376" s="1121"/>
      <c r="H376" s="1121"/>
    </row>
    <row r="377" spans="1:8" ht="13.5">
      <c r="A377" s="1122" t="s">
        <v>957</v>
      </c>
      <c r="B377" s="1121"/>
      <c r="C377" s="1121"/>
      <c r="D377" s="1121"/>
      <c r="E377" s="1121"/>
      <c r="F377" s="1121"/>
      <c r="G377" s="1121"/>
      <c r="H377" s="1121"/>
    </row>
    <row r="378" spans="1:8" ht="13.5">
      <c r="A378" s="1122" t="s">
        <v>958</v>
      </c>
      <c r="B378" s="1121"/>
      <c r="C378" s="1121"/>
      <c r="D378" s="1121"/>
      <c r="E378" s="1121"/>
      <c r="F378" s="1121"/>
      <c r="G378" s="1121"/>
      <c r="H378" s="1121"/>
    </row>
    <row r="379" spans="1:8" ht="13.5">
      <c r="A379" s="1121"/>
      <c r="B379" s="1121"/>
      <c r="C379" s="1121"/>
      <c r="D379" s="1121"/>
      <c r="E379" s="1121"/>
      <c r="F379" s="1121"/>
      <c r="G379" s="1121"/>
      <c r="H379" s="1121"/>
    </row>
    <row r="380" spans="1:8" ht="13.5">
      <c r="A380" s="1122" t="s">
        <v>948</v>
      </c>
      <c r="B380" s="1121"/>
      <c r="C380" s="1121"/>
      <c r="D380" s="1121"/>
      <c r="E380" s="1121"/>
      <c r="F380" s="1121"/>
      <c r="G380" s="1121"/>
      <c r="H380" s="1121"/>
    </row>
    <row r="381" spans="1:8" ht="13.5">
      <c r="A381" s="1122" t="s">
        <v>949</v>
      </c>
      <c r="B381" s="1121"/>
      <c r="C381" s="1121"/>
      <c r="D381" s="1121"/>
      <c r="E381" s="1121"/>
      <c r="F381" s="1121"/>
      <c r="G381" s="1121"/>
      <c r="H381" s="1121"/>
    </row>
    <row r="382" spans="1:8" ht="13.5">
      <c r="A382" s="1122" t="s">
        <v>950</v>
      </c>
      <c r="B382" s="1121"/>
      <c r="C382" s="1121"/>
      <c r="D382" s="1121"/>
      <c r="E382" s="1121"/>
      <c r="F382" s="1121"/>
      <c r="G382" s="1121"/>
      <c r="H382" s="1121"/>
    </row>
    <row r="383" spans="1:8" ht="13.5">
      <c r="A383" s="1122" t="s">
        <v>951</v>
      </c>
      <c r="B383" s="1121"/>
      <c r="C383" s="1121"/>
      <c r="D383" s="1121"/>
      <c r="E383" s="1121"/>
      <c r="F383" s="1121"/>
      <c r="G383" s="1121"/>
      <c r="H383" s="1121"/>
    </row>
    <row r="384" spans="1:8" ht="13.5">
      <c r="A384" s="1122" t="s">
        <v>952</v>
      </c>
      <c r="B384" s="1121"/>
      <c r="C384" s="1121"/>
      <c r="D384" s="1121"/>
      <c r="E384" s="1121"/>
      <c r="F384" s="1121"/>
      <c r="G384" s="1121"/>
      <c r="H384" s="1121"/>
    </row>
    <row r="385" spans="1:8" ht="13.5">
      <c r="A385" s="1121"/>
      <c r="B385" s="1121"/>
      <c r="C385" s="1121"/>
      <c r="D385" s="1121"/>
      <c r="E385" s="1121"/>
      <c r="F385" s="1121"/>
      <c r="G385" s="1121"/>
      <c r="H385" s="1121"/>
    </row>
    <row r="386" spans="1:8" ht="13.5">
      <c r="A386" s="1122" t="s">
        <v>946</v>
      </c>
      <c r="B386" s="1121"/>
      <c r="C386" s="1121"/>
      <c r="D386" s="1121"/>
      <c r="E386" s="1121"/>
      <c r="F386" s="1121"/>
      <c r="G386" s="1121"/>
      <c r="H386" s="1121"/>
    </row>
    <row r="387" spans="1:8" ht="13.5">
      <c r="A387" s="1122" t="s">
        <v>947</v>
      </c>
      <c r="B387" s="1121"/>
      <c r="C387" s="1121"/>
      <c r="D387" s="1121"/>
      <c r="E387" s="1121"/>
      <c r="F387" s="1121"/>
      <c r="G387" s="1121"/>
      <c r="H387" s="1121"/>
    </row>
    <row r="389" spans="1:8">
      <c r="A389" s="1117" t="s">
        <v>1201</v>
      </c>
    </row>
  </sheetData>
  <mergeCells count="12">
    <mergeCell ref="A127:H127"/>
    <mergeCell ref="A128:H128"/>
    <mergeCell ref="B120:C120"/>
    <mergeCell ref="D120:F120"/>
    <mergeCell ref="G120:H120"/>
    <mergeCell ref="A106:H106"/>
    <mergeCell ref="A107:H107"/>
    <mergeCell ref="A108:H108"/>
    <mergeCell ref="A109:H109"/>
    <mergeCell ref="A111:H111"/>
    <mergeCell ref="A112:H112"/>
    <mergeCell ref="A119:H119"/>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Z51"/>
  <sheetViews>
    <sheetView showGridLines="0" zoomScaleNormal="100" workbookViewId="0">
      <selection activeCell="C25" sqref="C25"/>
    </sheetView>
  </sheetViews>
  <sheetFormatPr defaultRowHeight="12.75"/>
  <cols>
    <col min="1" max="1" width="2.375" style="326" customWidth="1"/>
    <col min="2" max="2" width="19.375" style="326" customWidth="1"/>
    <col min="3" max="3" width="8.875" style="326" bestFit="1" customWidth="1"/>
    <col min="4" max="10" width="6.75" style="326" customWidth="1"/>
    <col min="11" max="11" width="6.375" style="326" customWidth="1"/>
    <col min="12" max="13" width="6.75" style="326" customWidth="1"/>
    <col min="14" max="14" width="7.125" style="326" customWidth="1"/>
    <col min="15" max="15" width="10.75" style="326" bestFit="1" customWidth="1"/>
    <col min="16" max="19" width="6.75" style="326" customWidth="1"/>
    <col min="20" max="20" width="7.375" style="326" bestFit="1" customWidth="1"/>
    <col min="21" max="22" width="9" style="326"/>
    <col min="23" max="23" width="23.875" style="326" customWidth="1"/>
    <col min="24" max="16384" width="9" style="326"/>
  </cols>
  <sheetData>
    <row r="1" spans="2:22" s="325" customFormat="1"/>
    <row r="2" spans="2:22">
      <c r="C2" s="327"/>
      <c r="D2" s="327"/>
      <c r="E2" s="327"/>
      <c r="F2" s="48"/>
      <c r="G2" s="48"/>
      <c r="H2" s="48"/>
      <c r="I2" s="48"/>
      <c r="J2" s="48"/>
      <c r="K2" s="48"/>
      <c r="L2" s="48"/>
      <c r="M2" s="48"/>
      <c r="N2" s="48"/>
      <c r="O2" s="49"/>
      <c r="P2" s="48"/>
      <c r="Q2" s="48"/>
      <c r="R2" s="48"/>
      <c r="S2" s="48"/>
    </row>
    <row r="3" spans="2:22">
      <c r="C3" s="328"/>
      <c r="D3" s="48"/>
      <c r="E3" s="48"/>
      <c r="F3" s="48"/>
      <c r="G3" s="48"/>
      <c r="H3" s="48"/>
      <c r="I3" s="48"/>
      <c r="J3" s="1101" t="s">
        <v>594</v>
      </c>
      <c r="K3" s="1102"/>
      <c r="L3" s="1102"/>
      <c r="M3" s="1102"/>
      <c r="N3" s="1102"/>
      <c r="O3" s="1102"/>
      <c r="P3" s="1102"/>
      <c r="Q3" s="1102"/>
      <c r="R3" s="1103"/>
      <c r="S3" s="48"/>
    </row>
    <row r="4" spans="2:22" s="329" customFormat="1">
      <c r="D4" s="50"/>
      <c r="E4" s="48"/>
      <c r="F4" s="48"/>
      <c r="G4" s="48"/>
      <c r="H4" s="48"/>
      <c r="I4" s="48"/>
      <c r="J4" s="48"/>
      <c r="K4" s="50"/>
      <c r="L4" s="50"/>
      <c r="M4" s="50"/>
      <c r="N4" s="48"/>
      <c r="O4" s="48"/>
      <c r="P4" s="48"/>
      <c r="Q4" s="50"/>
      <c r="R4" s="48"/>
      <c r="T4" s="330"/>
      <c r="U4" s="330" t="s">
        <v>230</v>
      </c>
    </row>
    <row r="5" spans="2:22" ht="15" customHeight="1" thickBot="1">
      <c r="B5" s="805"/>
      <c r="C5" s="805"/>
      <c r="D5" s="806">
        <v>2014</v>
      </c>
      <c r="E5" s="806">
        <f>D5+1</f>
        <v>2015</v>
      </c>
      <c r="F5" s="806">
        <f t="shared" ref="F5:S5" si="0">E5+1</f>
        <v>2016</v>
      </c>
      <c r="G5" s="806">
        <f t="shared" si="0"/>
        <v>2017</v>
      </c>
      <c r="H5" s="806">
        <f t="shared" si="0"/>
        <v>2018</v>
      </c>
      <c r="I5" s="806">
        <f t="shared" si="0"/>
        <v>2019</v>
      </c>
      <c r="J5" s="806">
        <f t="shared" si="0"/>
        <v>2020</v>
      </c>
      <c r="K5" s="806">
        <f t="shared" si="0"/>
        <v>2021</v>
      </c>
      <c r="L5" s="806">
        <f t="shared" si="0"/>
        <v>2022</v>
      </c>
      <c r="M5" s="806">
        <f t="shared" si="0"/>
        <v>2023</v>
      </c>
      <c r="N5" s="806">
        <f t="shared" si="0"/>
        <v>2024</v>
      </c>
      <c r="O5" s="806">
        <f t="shared" si="0"/>
        <v>2025</v>
      </c>
      <c r="P5" s="806">
        <f t="shared" si="0"/>
        <v>2026</v>
      </c>
      <c r="Q5" s="806">
        <f t="shared" si="0"/>
        <v>2027</v>
      </c>
      <c r="R5" s="806">
        <f t="shared" si="0"/>
        <v>2028</v>
      </c>
      <c r="S5" s="806">
        <f t="shared" si="0"/>
        <v>2029</v>
      </c>
      <c r="T5" s="807">
        <v>2030</v>
      </c>
      <c r="U5" s="807">
        <v>2031</v>
      </c>
    </row>
    <row r="6" spans="2:22">
      <c r="B6" s="331" t="s">
        <v>793</v>
      </c>
      <c r="C6" s="331"/>
      <c r="D6" s="51">
        <f>CF!AF18+CF!AF24</f>
        <v>410.15100000000007</v>
      </c>
      <c r="E6" s="51">
        <f>CF!AK18+CF!AK24</f>
        <v>652.84700000000021</v>
      </c>
      <c r="F6" s="51">
        <f>CF!AP18+CF!AP24</f>
        <v>961.4549999999997</v>
      </c>
      <c r="G6" s="51">
        <f>CF!AU18+CF!AU24</f>
        <v>1034.4860000000001</v>
      </c>
      <c r="H6" s="51">
        <f>CF!AZ18+CF!AZ24</f>
        <v>1704.8687369841828</v>
      </c>
      <c r="I6" s="51">
        <f>CF!BE18+CF!BE24</f>
        <v>1967.0508853414285</v>
      </c>
      <c r="J6" s="51">
        <f>CF!BJ18+CF!BJ24</f>
        <v>2371.3050365949694</v>
      </c>
      <c r="K6" s="51">
        <f>CF!BO18+CF!BO24</f>
        <v>2885.5185646527166</v>
      </c>
      <c r="L6" s="51">
        <f>CF!BT18+CF!BT24</f>
        <v>3418.4824876932416</v>
      </c>
      <c r="M6" s="51">
        <f>CF!BY18+CF!BY24</f>
        <v>3855.1927155119438</v>
      </c>
      <c r="N6" s="51">
        <f>CF!CD18+CF!CD24</f>
        <v>4252.9986929106308</v>
      </c>
      <c r="O6" s="51">
        <f>CF!CI18+CF!CI24</f>
        <v>4717.5119714072589</v>
      </c>
      <c r="P6" s="51">
        <f>CF!CN18+CF!CN24</f>
        <v>4903.1427602260446</v>
      </c>
      <c r="Q6" s="51">
        <f>CF!CS18+CF!CS24</f>
        <v>4793.7937452468768</v>
      </c>
      <c r="R6" s="51">
        <f>CF!CX18+CF!CX24</f>
        <v>5024.84182413284</v>
      </c>
      <c r="S6" s="51">
        <f>CF!DC18+CF!DC24</f>
        <v>4729.0823322107162</v>
      </c>
      <c r="T6" s="51">
        <f>CF!DH18+CF!DH24</f>
        <v>4717.1897500243267</v>
      </c>
      <c r="U6" s="51">
        <f>(T6*(1+C20))/(C18-C20)</f>
        <v>55618.958215403101</v>
      </c>
    </row>
    <row r="7" spans="2:22">
      <c r="B7" s="331"/>
      <c r="C7" s="331"/>
      <c r="D7" s="51"/>
      <c r="E7" s="51"/>
      <c r="F7" s="51"/>
      <c r="G7" s="51"/>
      <c r="H7" s="51"/>
      <c r="I7" s="51"/>
      <c r="J7" s="51"/>
      <c r="K7" s="51"/>
      <c r="L7" s="51"/>
      <c r="M7" s="51"/>
      <c r="N7" s="51"/>
      <c r="O7" s="51"/>
      <c r="P7" s="51"/>
      <c r="Q7" s="51"/>
      <c r="R7" s="51"/>
      <c r="S7" s="51"/>
      <c r="T7" s="51"/>
    </row>
    <row r="8" spans="2:22" ht="15" customHeight="1">
      <c r="B8" s="801" t="s">
        <v>583</v>
      </c>
      <c r="C8" s="332"/>
      <c r="D8" s="51"/>
      <c r="E8" s="52">
        <f>E6/D6-1</f>
        <v>0.59172353596602245</v>
      </c>
      <c r="F8" s="52">
        <f t="shared" ref="F8:J8" si="1">F6/E6-1</f>
        <v>0.47271106400121221</v>
      </c>
      <c r="G8" s="52">
        <f t="shared" si="1"/>
        <v>7.5958833226724476E-2</v>
      </c>
      <c r="H8" s="52">
        <f t="shared" si="1"/>
        <v>0.6480346152429155</v>
      </c>
      <c r="I8" s="52">
        <f t="shared" si="1"/>
        <v>0.15378436044350918</v>
      </c>
      <c r="J8" s="52">
        <f t="shared" si="1"/>
        <v>0.20551280816681716</v>
      </c>
      <c r="K8" s="859">
        <f t="shared" ref="K8" si="2">K6/J6-1</f>
        <v>0.21684832618418515</v>
      </c>
      <c r="L8" s="860">
        <f t="shared" ref="L8" si="3">L6/K6-1</f>
        <v>0.18470299570041737</v>
      </c>
      <c r="M8" s="860">
        <f t="shared" ref="M8" si="4">M6/L6-1</f>
        <v>0.12774973380465959</v>
      </c>
      <c r="N8" s="860">
        <f t="shared" ref="N8" si="5">N6/M6-1</f>
        <v>0.10318705360643965</v>
      </c>
      <c r="O8" s="333">
        <f t="shared" ref="O8" si="6">O6/N6-1</f>
        <v>0.10922017899298453</v>
      </c>
      <c r="P8" s="334">
        <f t="shared" ref="P8" si="7">P6/O6-1</f>
        <v>3.9349298940604793E-2</v>
      </c>
      <c r="Q8" s="334">
        <f t="shared" ref="Q8" si="8">Q6/P6-1</f>
        <v>-2.2301821571706903E-2</v>
      </c>
      <c r="R8" s="334">
        <f t="shared" ref="R8" si="9">R6/Q6-1</f>
        <v>4.8197334129164604E-2</v>
      </c>
      <c r="S8" s="335">
        <f t="shared" ref="S8" si="10">S6/R6-1</f>
        <v>-5.8859463098256737E-2</v>
      </c>
      <c r="T8" s="336"/>
      <c r="U8" s="337"/>
      <c r="V8" s="337"/>
    </row>
    <row r="9" spans="2:22" ht="15" customHeight="1">
      <c r="B9" s="331"/>
      <c r="K9" s="1104" t="s">
        <v>584</v>
      </c>
      <c r="L9" s="1105"/>
      <c r="M9" s="1105"/>
      <c r="N9" s="1106"/>
      <c r="O9" s="1107" t="s">
        <v>585</v>
      </c>
      <c r="P9" s="1108"/>
      <c r="Q9" s="1108"/>
      <c r="R9" s="1108"/>
      <c r="S9" s="1109"/>
      <c r="T9" s="338"/>
      <c r="U9" s="338"/>
      <c r="V9" s="338"/>
    </row>
    <row r="10" spans="2:22" s="329" customFormat="1" ht="15" customHeight="1">
      <c r="B10" s="800"/>
      <c r="K10" s="339"/>
      <c r="L10" s="339"/>
      <c r="M10" s="339"/>
      <c r="N10" s="339"/>
      <c r="O10" s="339"/>
      <c r="P10" s="339"/>
      <c r="Q10" s="339"/>
      <c r="R10" s="339"/>
      <c r="S10" s="339"/>
    </row>
    <row r="11" spans="2:22" ht="13.5" thickBot="1">
      <c r="B11" s="802" t="s">
        <v>794</v>
      </c>
      <c r="C11" s="803"/>
      <c r="D11" s="804">
        <f t="shared" ref="D11:R11" si="11">D6/(1+$C$18)^(D5-$C$21)</f>
        <v>629.81189390465261</v>
      </c>
      <c r="E11" s="804">
        <f t="shared" si="11"/>
        <v>911.35128614488258</v>
      </c>
      <c r="F11" s="804">
        <f t="shared" si="11"/>
        <v>1220.1428384520939</v>
      </c>
      <c r="G11" s="804">
        <f t="shared" si="11"/>
        <v>1193.4758771189624</v>
      </c>
      <c r="H11" s="804">
        <f t="shared" si="11"/>
        <v>1788.0814163176819</v>
      </c>
      <c r="I11" s="804">
        <f t="shared" si="11"/>
        <v>1875.5094303154731</v>
      </c>
      <c r="J11" s="804">
        <f t="shared" si="11"/>
        <v>2055.4096728026848</v>
      </c>
      <c r="K11" s="804">
        <f t="shared" si="11"/>
        <v>2273.7471090661188</v>
      </c>
      <c r="L11" s="804">
        <f t="shared" si="11"/>
        <v>2448.8318287052675</v>
      </c>
      <c r="M11" s="804">
        <f t="shared" si="11"/>
        <v>2510.6085845043117</v>
      </c>
      <c r="N11" s="804">
        <f t="shared" si="11"/>
        <v>2517.8826246348599</v>
      </c>
      <c r="O11" s="804">
        <f t="shared" si="11"/>
        <v>2538.9874687098222</v>
      </c>
      <c r="P11" s="804">
        <f t="shared" si="11"/>
        <v>2398.9953142023037</v>
      </c>
      <c r="Q11" s="804">
        <f t="shared" si="11"/>
        <v>2132.2666806850934</v>
      </c>
      <c r="R11" s="804">
        <f t="shared" si="11"/>
        <v>2031.8511366786888</v>
      </c>
      <c r="S11" s="804">
        <f>S6/(1+$C$18)^(S5-$C$21)</f>
        <v>1738.4158815256349</v>
      </c>
      <c r="T11" s="804">
        <f>T6/(1+$C$18)^(T5-$C$21)</f>
        <v>1576.4037774512103</v>
      </c>
      <c r="U11" s="804">
        <f>U6/(1+$C$18)^(U5-$C$21)</f>
        <v>16897.182138853354</v>
      </c>
    </row>
    <row r="13" spans="2:22">
      <c r="B13" s="341" t="s">
        <v>586</v>
      </c>
      <c r="C13" s="342">
        <f>SUM(I11:U11)+H11*0.5</f>
        <v>43890.132356293667</v>
      </c>
    </row>
    <row r="14" spans="2:22">
      <c r="B14" s="326" t="s">
        <v>232</v>
      </c>
      <c r="C14" s="340">
        <f>BS!AZ4+BS!AZ5</f>
        <v>3114.4487369841827</v>
      </c>
    </row>
    <row r="15" spans="2:22">
      <c r="B15" s="326" t="s">
        <v>587</v>
      </c>
      <c r="C15" s="340">
        <f>C13+C14</f>
        <v>47004.581093277848</v>
      </c>
      <c r="E15" s="337"/>
      <c r="F15" s="337"/>
      <c r="G15" s="896"/>
      <c r="H15" s="337"/>
      <c r="I15" s="337"/>
      <c r="J15" s="337"/>
      <c r="K15" s="337"/>
    </row>
    <row r="16" spans="2:22">
      <c r="B16" s="341" t="s">
        <v>588</v>
      </c>
      <c r="C16" s="342">
        <f>C15/C22</f>
        <v>400.01260421783115</v>
      </c>
      <c r="D16" s="796"/>
      <c r="E16" s="853"/>
      <c r="F16" s="892"/>
      <c r="G16" s="889"/>
      <c r="H16" s="337"/>
      <c r="I16" s="343"/>
      <c r="J16" s="343"/>
      <c r="K16" s="337"/>
    </row>
    <row r="17" spans="2:26">
      <c r="E17" s="337"/>
      <c r="F17" s="337"/>
      <c r="G17" s="890"/>
      <c r="H17" s="337"/>
      <c r="I17" s="337"/>
      <c r="J17" s="337"/>
      <c r="K17" s="337"/>
    </row>
    <row r="18" spans="2:26">
      <c r="B18" s="326" t="s">
        <v>589</v>
      </c>
      <c r="C18" s="344">
        <v>0.1</v>
      </c>
      <c r="E18" s="796"/>
      <c r="F18" s="329"/>
      <c r="G18" s="891"/>
      <c r="H18" s="329"/>
    </row>
    <row r="19" spans="2:26">
      <c r="B19" s="326" t="s">
        <v>590</v>
      </c>
      <c r="C19" s="344">
        <f>AVERAGE(K8:N8)</f>
        <v>0.15812202732392544</v>
      </c>
      <c r="Z19" s="340"/>
    </row>
    <row r="20" spans="2:26">
      <c r="B20" s="326" t="s">
        <v>591</v>
      </c>
      <c r="C20" s="344">
        <v>1.4E-2</v>
      </c>
      <c r="Z20" s="340"/>
    </row>
    <row r="21" spans="2:26">
      <c r="B21" s="326" t="s">
        <v>592</v>
      </c>
      <c r="C21" s="345">
        <v>2018.5</v>
      </c>
      <c r="E21" s="796"/>
      <c r="F21" s="796"/>
      <c r="G21" s="994"/>
      <c r="N21" s="985"/>
      <c r="Z21" s="340"/>
    </row>
    <row r="22" spans="2:26">
      <c r="B22" s="326" t="s">
        <v>593</v>
      </c>
      <c r="C22" s="799">
        <f>IS!AZ79</f>
        <v>117.50775</v>
      </c>
      <c r="F22" s="985"/>
      <c r="Z22" s="340"/>
    </row>
    <row r="23" spans="2:26">
      <c r="C23" s="346"/>
      <c r="E23" s="985"/>
      <c r="G23" s="796"/>
      <c r="Z23" s="344"/>
    </row>
    <row r="24" spans="2:26">
      <c r="Z24" s="344"/>
    </row>
    <row r="25" spans="2:26">
      <c r="B25" s="326" t="s">
        <v>777</v>
      </c>
      <c r="C25" s="326">
        <v>2</v>
      </c>
      <c r="F25" s="796"/>
      <c r="J25" s="796"/>
      <c r="Z25" s="798"/>
    </row>
    <row r="26" spans="2:26">
      <c r="Z26" s="345"/>
    </row>
    <row r="27" spans="2:26">
      <c r="Z27" s="799"/>
    </row>
    <row r="29" spans="2:26" ht="18">
      <c r="J29" s="1047"/>
      <c r="K29" s="1047"/>
      <c r="L29" s="1047"/>
      <c r="M29" s="1047"/>
      <c r="N29" s="1047"/>
      <c r="O29" s="1048"/>
    </row>
    <row r="30" spans="2:26" ht="18">
      <c r="J30" s="1047"/>
      <c r="K30" s="1047"/>
      <c r="L30" s="1047"/>
      <c r="M30" s="1047"/>
      <c r="N30" s="1047"/>
      <c r="O30" s="1048"/>
    </row>
    <row r="31" spans="2:26" ht="18">
      <c r="J31" s="1047"/>
      <c r="K31" s="1047"/>
      <c r="L31" s="1047"/>
      <c r="M31" s="1047"/>
      <c r="N31" s="1047"/>
      <c r="O31" s="1048"/>
    </row>
    <row r="32" spans="2:26" ht="18">
      <c r="J32" s="1047"/>
      <c r="K32" s="1047"/>
      <c r="L32" s="1047"/>
      <c r="M32" s="1047"/>
      <c r="N32" s="1047"/>
      <c r="O32" s="1048"/>
    </row>
    <row r="33" spans="1:20" ht="18">
      <c r="J33" s="1047"/>
      <c r="K33" s="1047"/>
      <c r="L33" s="1047"/>
      <c r="M33" s="1047"/>
      <c r="N33" s="1047"/>
      <c r="O33" s="1049"/>
    </row>
    <row r="34" spans="1:20" ht="2.25" customHeight="1">
      <c r="J34" s="1047"/>
      <c r="K34" s="1047"/>
      <c r="L34" s="1047"/>
      <c r="M34" s="1047"/>
      <c r="N34" s="1047"/>
      <c r="O34" s="1047"/>
    </row>
    <row r="35" spans="1:20" ht="18">
      <c r="J35" s="1047"/>
      <c r="K35" s="1047"/>
      <c r="L35" s="1047"/>
      <c r="M35" s="1047"/>
      <c r="N35" s="1047"/>
      <c r="O35" s="1049"/>
    </row>
    <row r="36" spans="1:20" ht="18">
      <c r="J36" s="1047"/>
      <c r="K36" s="1047"/>
      <c r="L36" s="1047"/>
      <c r="M36" s="1047"/>
      <c r="N36" s="1047"/>
      <c r="O36" s="1047"/>
    </row>
    <row r="37" spans="1:20" ht="18">
      <c r="J37" s="1047"/>
      <c r="K37" s="1047"/>
      <c r="L37" s="1047"/>
      <c r="M37" s="1047"/>
      <c r="N37" s="1047"/>
      <c r="O37" s="1050"/>
    </row>
    <row r="38" spans="1:20" s="797" customFormat="1"/>
    <row r="39" spans="1:20" ht="2.25" customHeight="1"/>
    <row r="43" spans="1:20" s="797" customFormat="1"/>
    <row r="44" spans="1:20" s="957" customFormat="1" ht="17.25" customHeight="1">
      <c r="H44" s="960"/>
      <c r="I44" s="960"/>
      <c r="J44" s="960"/>
      <c r="K44" s="960"/>
      <c r="L44" s="960"/>
      <c r="M44" s="960"/>
      <c r="N44" s="962"/>
    </row>
    <row r="45" spans="1:20" s="957" customFormat="1" ht="17.25" customHeight="1">
      <c r="A45" s="959"/>
      <c r="H45" s="960"/>
      <c r="I45" s="960"/>
      <c r="J45" s="960"/>
      <c r="K45" s="960"/>
      <c r="L45" s="960"/>
      <c r="M45" s="960"/>
      <c r="N45" s="962"/>
    </row>
    <row r="46" spans="1:20" s="957" customFormat="1" ht="17.25" customHeight="1">
      <c r="B46" s="958"/>
      <c r="N46" s="960"/>
      <c r="O46" s="960"/>
      <c r="P46" s="960"/>
      <c r="Q46" s="960"/>
      <c r="R46" s="960"/>
      <c r="S46" s="960"/>
      <c r="T46" s="962"/>
    </row>
    <row r="47" spans="1:20" s="957" customFormat="1" ht="17.25" customHeight="1">
      <c r="B47" s="958"/>
      <c r="N47" s="960"/>
      <c r="O47" s="960"/>
      <c r="P47" s="960"/>
      <c r="Q47" s="960"/>
      <c r="R47" s="960"/>
      <c r="S47" s="960"/>
      <c r="T47" s="961"/>
    </row>
    <row r="48" spans="1:20" s="957" customFormat="1" ht="17.25" customHeight="1">
      <c r="N48" s="960"/>
      <c r="O48" s="960"/>
      <c r="P48" s="960"/>
      <c r="Q48" s="960"/>
      <c r="R48" s="960"/>
      <c r="S48" s="960"/>
      <c r="T48" s="963"/>
    </row>
    <row r="49" spans="14:20" s="957" customFormat="1" ht="17.25" customHeight="1">
      <c r="N49" s="960"/>
      <c r="O49" s="960"/>
      <c r="P49" s="960"/>
      <c r="Q49" s="960"/>
      <c r="R49" s="960"/>
      <c r="S49" s="960"/>
      <c r="T49" s="963"/>
    </row>
    <row r="50" spans="14:20" s="957" customFormat="1" ht="17.25" customHeight="1">
      <c r="N50" s="960"/>
      <c r="O50" s="960"/>
      <c r="P50" s="960"/>
      <c r="Q50" s="960"/>
      <c r="R50" s="960"/>
      <c r="S50" s="960"/>
      <c r="T50" s="964"/>
    </row>
    <row r="51" spans="14:20" s="957" customFormat="1" ht="17.25" customHeight="1">
      <c r="N51" s="960"/>
      <c r="O51" s="960"/>
      <c r="P51" s="960"/>
      <c r="Q51" s="960"/>
      <c r="R51" s="960"/>
      <c r="S51" s="960"/>
      <c r="T51" s="965"/>
    </row>
  </sheetData>
  <mergeCells count="3">
    <mergeCell ref="J3:R3"/>
    <mergeCell ref="K9:N9"/>
    <mergeCell ref="O9:S9"/>
  </mergeCells>
  <phoneticPr fontId="63" type="noConversion"/>
  <pageMargins left="0" right="0" top="0" bottom="0" header="0" footer="0"/>
  <pageSetup paperSize="5" orientation="landscape" r:id="rId1"/>
  <ignoredErrors>
    <ignoredError sqref="C19" formulaRange="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2"/>
  <sheetViews>
    <sheetView zoomScaleNormal="100" workbookViewId="0"/>
  </sheetViews>
  <sheetFormatPr defaultRowHeight="13.5"/>
  <sheetData>
    <row r="1" spans="1:6">
      <c r="A1" t="s">
        <v>776</v>
      </c>
    </row>
    <row r="2" spans="1:6">
      <c r="A2" s="324" t="s">
        <v>774</v>
      </c>
      <c r="B2" s="324" t="s">
        <v>764</v>
      </c>
      <c r="C2" s="324" t="s">
        <v>773</v>
      </c>
      <c r="D2" s="324" t="s">
        <v>789</v>
      </c>
      <c r="E2" s="324" t="s">
        <v>775</v>
      </c>
      <c r="F2" s="324" t="s">
        <v>903</v>
      </c>
    </row>
  </sheetData>
  <phoneticPr fontId="63"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DR1075"/>
  <sheetViews>
    <sheetView showGridLines="0" zoomScaleNormal="100" workbookViewId="0">
      <pane xSplit="2" ySplit="2" topLeftCell="AU3" activePane="bottomRight" state="frozen"/>
      <selection pane="topRight" activeCell="C1" sqref="C1"/>
      <selection pane="bottomLeft" activeCell="A7" sqref="A7"/>
      <selection pane="bottomRight" activeCell="AV16" sqref="AV16"/>
    </sheetView>
  </sheetViews>
  <sheetFormatPr defaultRowHeight="13.5" outlineLevelRow="2" outlineLevelCol="1"/>
  <cols>
    <col min="1" max="1" width="2.625" style="135" customWidth="1"/>
    <col min="2" max="2" width="38.125" style="134" bestFit="1" customWidth="1"/>
    <col min="3" max="6" width="9" style="134" hidden="1" customWidth="1" outlineLevel="1"/>
    <col min="7" max="7" width="9" style="134" hidden="1" customWidth="1"/>
    <col min="8" max="11" width="9" style="134" hidden="1" customWidth="1" outlineLevel="1"/>
    <col min="12" max="12" width="9" style="134" hidden="1" customWidth="1"/>
    <col min="13" max="16" width="9" style="134" hidden="1" customWidth="1" outlineLevel="1"/>
    <col min="17" max="17" width="9" style="134" hidden="1" customWidth="1"/>
    <col min="18" max="21" width="9" style="134" hidden="1" customWidth="1" outlineLevel="1"/>
    <col min="22" max="22" width="9" style="134" hidden="1" customWidth="1"/>
    <col min="23" max="26" width="9" style="134" hidden="1" customWidth="1" outlineLevel="1"/>
    <col min="27" max="27" width="9" style="134" hidden="1" customWidth="1"/>
    <col min="28" max="31" width="9" style="134" hidden="1" customWidth="1" outlineLevel="1"/>
    <col min="32" max="32" width="10.25" style="134" hidden="1" customWidth="1"/>
    <col min="33" max="36" width="9" style="134" hidden="1" customWidth="1" outlineLevel="1"/>
    <col min="37" max="37" width="9" style="134" collapsed="1"/>
    <col min="38" max="41" width="9" style="134" hidden="1" customWidth="1" outlineLevel="1"/>
    <col min="42" max="42" width="9" style="134" collapsed="1"/>
    <col min="43" max="46" width="9" style="134" customWidth="1" outlineLevel="1"/>
    <col min="47" max="47" width="9" style="134"/>
    <col min="48" max="51" width="9" style="134" customWidth="1" outlineLevel="1"/>
    <col min="52" max="52" width="9" style="134"/>
    <col min="53" max="56" width="9" style="134" hidden="1" customWidth="1" outlineLevel="1"/>
    <col min="57" max="57" width="9" style="134" collapsed="1"/>
    <col min="58" max="58" width="9" style="134" hidden="1" customWidth="1" outlineLevel="1"/>
    <col min="59" max="61" width="9" style="125" hidden="1" customWidth="1" outlineLevel="1"/>
    <col min="62" max="62" width="9" style="125" collapsed="1"/>
    <col min="63" max="66" width="9" style="125" hidden="1" customWidth="1" outlineLevel="1"/>
    <col min="67" max="67" width="9" style="125" collapsed="1"/>
    <col min="68" max="71" width="9" style="125" hidden="1" customWidth="1" outlineLevel="1"/>
    <col min="72" max="72" width="9.25" style="125" bestFit="1" customWidth="1" collapsed="1"/>
    <col min="73" max="76" width="9.25" style="125" hidden="1" customWidth="1" outlineLevel="1"/>
    <col min="77" max="77" width="9" style="125" collapsed="1"/>
    <col min="78" max="81" width="9" style="125" hidden="1" customWidth="1" outlineLevel="1"/>
    <col min="82" max="82" width="9" style="125" collapsed="1"/>
    <col min="83" max="86" width="9" style="125" hidden="1" customWidth="1" outlineLevel="1"/>
    <col min="87" max="87" width="9" style="125" collapsed="1"/>
    <col min="88" max="91" width="9" style="125" hidden="1" customWidth="1" outlineLevel="1"/>
    <col min="92" max="92" width="9" style="125" collapsed="1"/>
    <col min="93" max="96" width="9" style="125" hidden="1" customWidth="1" outlineLevel="1"/>
    <col min="97" max="97" width="9" style="125" collapsed="1"/>
    <col min="98" max="101" width="9" style="125" hidden="1" customWidth="1" outlineLevel="1"/>
    <col min="102" max="102" width="9" style="125" collapsed="1"/>
    <col min="103" max="106" width="9" style="125" hidden="1" customWidth="1" outlineLevel="1"/>
    <col min="107" max="107" width="9" style="125" collapsed="1"/>
    <col min="108" max="111" width="9" style="125" hidden="1" customWidth="1" outlineLevel="1"/>
    <col min="112" max="112" width="9" style="125" collapsed="1"/>
    <col min="113" max="113" width="9" style="125"/>
    <col min="114" max="114" width="20.5" customWidth="1"/>
    <col min="120" max="16384" width="9" style="125"/>
  </cols>
  <sheetData>
    <row r="1" spans="1:122" ht="12.75" customHeight="1" thickBot="1">
      <c r="B1" s="138"/>
      <c r="AL1" s="886"/>
      <c r="BG1" s="134"/>
      <c r="BH1" s="134"/>
      <c r="BI1" s="134"/>
      <c r="BJ1" s="134"/>
      <c r="BK1" s="134"/>
      <c r="BL1" s="134"/>
      <c r="BM1" s="134"/>
      <c r="BN1" s="134"/>
      <c r="DR1" s="1082" t="s">
        <v>765</v>
      </c>
    </row>
    <row r="2" spans="1:122" s="143" customFormat="1" ht="12.75" customHeight="1">
      <c r="A2" s="139"/>
      <c r="B2" s="131" t="s">
        <v>597</v>
      </c>
      <c r="C2" s="347" t="s">
        <v>94</v>
      </c>
      <c r="D2" s="347" t="s">
        <v>95</v>
      </c>
      <c r="E2" s="347" t="s">
        <v>96</v>
      </c>
      <c r="F2" s="347" t="s">
        <v>97</v>
      </c>
      <c r="G2" s="201">
        <v>2009</v>
      </c>
      <c r="H2" s="347" t="s">
        <v>98</v>
      </c>
      <c r="I2" s="347" t="s">
        <v>99</v>
      </c>
      <c r="J2" s="347" t="s">
        <v>100</v>
      </c>
      <c r="K2" s="347" t="s">
        <v>101</v>
      </c>
      <c r="L2" s="201">
        <v>2010</v>
      </c>
      <c r="M2" s="347" t="s">
        <v>102</v>
      </c>
      <c r="N2" s="347" t="s">
        <v>103</v>
      </c>
      <c r="O2" s="347" t="s">
        <v>104</v>
      </c>
      <c r="P2" s="347" t="s">
        <v>105</v>
      </c>
      <c r="Q2" s="201">
        <v>2011</v>
      </c>
      <c r="R2" s="347" t="s">
        <v>181</v>
      </c>
      <c r="S2" s="348" t="s">
        <v>185</v>
      </c>
      <c r="T2" s="348" t="s">
        <v>189</v>
      </c>
      <c r="U2" s="348" t="s">
        <v>220</v>
      </c>
      <c r="V2" s="202">
        <v>2012</v>
      </c>
      <c r="W2" s="348" t="s">
        <v>231</v>
      </c>
      <c r="X2" s="347" t="s">
        <v>273</v>
      </c>
      <c r="Y2" s="347" t="s">
        <v>495</v>
      </c>
      <c r="Z2" s="347" t="s">
        <v>496</v>
      </c>
      <c r="AA2" s="201">
        <v>2013</v>
      </c>
      <c r="AB2" s="347" t="s">
        <v>497</v>
      </c>
      <c r="AC2" s="347" t="s">
        <v>498</v>
      </c>
      <c r="AD2" s="347" t="s">
        <v>499</v>
      </c>
      <c r="AE2" s="347" t="s">
        <v>500</v>
      </c>
      <c r="AF2" s="201">
        <v>2014</v>
      </c>
      <c r="AG2" s="347" t="s">
        <v>501</v>
      </c>
      <c r="AH2" s="347" t="s">
        <v>502</v>
      </c>
      <c r="AI2" s="347" t="s">
        <v>503</v>
      </c>
      <c r="AJ2" s="347" t="s">
        <v>504</v>
      </c>
      <c r="AK2" s="201">
        <v>2015</v>
      </c>
      <c r="AL2" s="201" t="s">
        <v>813</v>
      </c>
      <c r="AM2" s="201" t="s">
        <v>814</v>
      </c>
      <c r="AN2" s="201" t="s">
        <v>816</v>
      </c>
      <c r="AO2" s="201" t="s">
        <v>820</v>
      </c>
      <c r="AP2" s="201" t="s">
        <v>821</v>
      </c>
      <c r="AQ2" s="201" t="s">
        <v>823</v>
      </c>
      <c r="AR2" s="201" t="s">
        <v>851</v>
      </c>
      <c r="AS2" s="201" t="s">
        <v>871</v>
      </c>
      <c r="AT2" s="201" t="s">
        <v>894</v>
      </c>
      <c r="AU2" s="201" t="s">
        <v>895</v>
      </c>
      <c r="AV2" s="201" t="s">
        <v>126</v>
      </c>
      <c r="AW2" s="201" t="s">
        <v>127</v>
      </c>
      <c r="AX2" s="201" t="s">
        <v>128</v>
      </c>
      <c r="AY2" s="201" t="s">
        <v>129</v>
      </c>
      <c r="AZ2" s="201" t="s">
        <v>130</v>
      </c>
      <c r="BA2" s="201" t="s">
        <v>131</v>
      </c>
      <c r="BB2" s="201" t="s">
        <v>132</v>
      </c>
      <c r="BC2" s="201" t="s">
        <v>133</v>
      </c>
      <c r="BD2" s="201" t="s">
        <v>134</v>
      </c>
      <c r="BE2" s="201" t="s">
        <v>135</v>
      </c>
      <c r="BF2" s="201" t="s">
        <v>136</v>
      </c>
      <c r="BG2" s="201" t="s">
        <v>137</v>
      </c>
      <c r="BH2" s="201" t="s">
        <v>138</v>
      </c>
      <c r="BI2" s="201" t="s">
        <v>139</v>
      </c>
      <c r="BJ2" s="201" t="s">
        <v>140</v>
      </c>
      <c r="BK2" s="201"/>
      <c r="BL2" s="201"/>
      <c r="BM2" s="201"/>
      <c r="BN2" s="201"/>
      <c r="BO2" s="201" t="s">
        <v>145</v>
      </c>
      <c r="BP2" s="201"/>
      <c r="BQ2" s="201"/>
      <c r="BR2" s="201"/>
      <c r="BS2" s="201"/>
      <c r="BT2" s="201" t="s">
        <v>150</v>
      </c>
      <c r="BU2" s="201"/>
      <c r="BV2" s="201"/>
      <c r="BW2" s="201"/>
      <c r="BX2" s="201"/>
      <c r="BY2" s="201" t="s">
        <v>155</v>
      </c>
      <c r="BZ2" s="201"/>
      <c r="CA2" s="201"/>
      <c r="CB2" s="201"/>
      <c r="CC2" s="201"/>
      <c r="CD2" s="201" t="s">
        <v>160</v>
      </c>
      <c r="CE2" s="201"/>
      <c r="CF2" s="201"/>
      <c r="CG2" s="201"/>
      <c r="CH2" s="201"/>
      <c r="CI2" s="201" t="s">
        <v>165</v>
      </c>
      <c r="CJ2" s="201"/>
      <c r="CK2" s="201"/>
      <c r="CL2" s="201"/>
      <c r="CM2" s="201"/>
      <c r="CN2" s="201" t="s">
        <v>170</v>
      </c>
      <c r="CO2" s="201"/>
      <c r="CP2" s="201"/>
      <c r="CQ2" s="201"/>
      <c r="CR2" s="201"/>
      <c r="CS2" s="201" t="s">
        <v>171</v>
      </c>
      <c r="CT2" s="201"/>
      <c r="CU2" s="201"/>
      <c r="CV2" s="201"/>
      <c r="CW2" s="201"/>
      <c r="CX2" s="201" t="s">
        <v>172</v>
      </c>
      <c r="CY2" s="201"/>
      <c r="CZ2" s="201"/>
      <c r="DA2" s="201"/>
      <c r="DB2" s="201"/>
      <c r="DC2" s="201" t="s">
        <v>173</v>
      </c>
      <c r="DD2" s="201"/>
      <c r="DE2" s="201"/>
      <c r="DF2" s="201"/>
      <c r="DG2" s="201"/>
      <c r="DH2" s="201" t="s">
        <v>671</v>
      </c>
      <c r="DJ2"/>
      <c r="DK2"/>
      <c r="DL2"/>
      <c r="DM2"/>
      <c r="DN2"/>
      <c r="DO2"/>
      <c r="DR2" s="1083" t="e">
        <f ca="1">_xll.TR($DR$1,"TR.NetIncome.currency","Null=-")</f>
        <v>#NAME?</v>
      </c>
    </row>
    <row r="3" spans="1:122" s="147" customFormat="1" ht="12.75" customHeight="1">
      <c r="A3" s="144"/>
      <c r="B3" s="145"/>
      <c r="C3" s="349"/>
      <c r="D3" s="349"/>
      <c r="E3" s="349"/>
      <c r="F3" s="349"/>
      <c r="G3" s="146"/>
      <c r="H3" s="349"/>
      <c r="I3" s="349"/>
      <c r="J3" s="349"/>
      <c r="K3" s="349"/>
      <c r="L3" s="146"/>
      <c r="M3" s="349"/>
      <c r="N3" s="349"/>
      <c r="O3" s="349"/>
      <c r="P3" s="349"/>
      <c r="Q3" s="146"/>
      <c r="R3" s="809"/>
      <c r="S3" s="809"/>
      <c r="T3" s="809"/>
      <c r="U3" s="809"/>
      <c r="V3" s="146"/>
      <c r="W3" s="809"/>
      <c r="X3" s="809"/>
      <c r="Y3" s="809"/>
      <c r="Z3" s="809"/>
      <c r="AA3" s="146"/>
      <c r="AB3" s="809"/>
      <c r="AC3" s="809"/>
      <c r="AD3" s="809"/>
      <c r="AE3" s="809"/>
      <c r="AF3" s="146"/>
      <c r="AG3" s="349"/>
      <c r="AH3" s="349"/>
      <c r="AI3" s="349"/>
      <c r="AJ3" s="857"/>
      <c r="AK3" s="877"/>
      <c r="AL3" s="388"/>
      <c r="AM3" s="388"/>
      <c r="AN3" s="388"/>
      <c r="AO3" s="388"/>
      <c r="AP3" s="841"/>
      <c r="AQ3" s="898"/>
      <c r="AR3" s="898"/>
      <c r="AS3" s="898"/>
      <c r="AT3" s="898"/>
      <c r="AU3" s="146"/>
      <c r="AV3" s="898"/>
      <c r="AW3" s="898"/>
      <c r="AX3" s="898"/>
      <c r="AY3" s="898"/>
      <c r="AZ3" s="146"/>
      <c r="BA3" s="146"/>
      <c r="BB3" s="146"/>
      <c r="BC3" s="146"/>
      <c r="BD3" s="146"/>
      <c r="BE3" s="146"/>
      <c r="BF3" s="146"/>
      <c r="BG3" s="146"/>
      <c r="BH3" s="146"/>
      <c r="BI3" s="146"/>
      <c r="BJ3" s="146"/>
      <c r="BK3" s="146"/>
      <c r="BL3" s="146"/>
      <c r="BM3" s="146"/>
      <c r="BN3" s="146"/>
      <c r="DJ3"/>
      <c r="DK3"/>
      <c r="DL3"/>
      <c r="DM3"/>
      <c r="DN3"/>
      <c r="DO3"/>
    </row>
    <row r="4" spans="1:122" s="147" customFormat="1" ht="12.75" customHeight="1">
      <c r="A4" s="144"/>
      <c r="B4" s="126" t="s">
        <v>201</v>
      </c>
      <c r="C4" s="350">
        <v>3.891</v>
      </c>
      <c r="D4" s="350">
        <v>4.5</v>
      </c>
      <c r="E4" s="350">
        <v>4.9729999999999999</v>
      </c>
      <c r="F4" s="350">
        <v>5</v>
      </c>
      <c r="G4" s="351">
        <v>18.364000000000001</v>
      </c>
      <c r="H4" s="352">
        <v>9.8520000000000003</v>
      </c>
      <c r="I4" s="352">
        <v>5.1970000000000001</v>
      </c>
      <c r="J4" s="352">
        <v>4.9359999999999999</v>
      </c>
      <c r="K4" s="352">
        <v>5.2690000000000001</v>
      </c>
      <c r="L4" s="148">
        <f>SUM(H4:K4)</f>
        <v>25.253999999999998</v>
      </c>
      <c r="M4" s="352">
        <v>4.4269999999999996</v>
      </c>
      <c r="N4" s="352">
        <v>5.0389999999999997</v>
      </c>
      <c r="O4" s="352">
        <v>5.468</v>
      </c>
      <c r="P4" s="350">
        <v>29.751999999999999</v>
      </c>
      <c r="Q4" s="148">
        <f>SUM(M4:P4)</f>
        <v>44.686</v>
      </c>
      <c r="R4" s="350">
        <v>127.931</v>
      </c>
      <c r="S4" s="350">
        <v>199.51900000000001</v>
      </c>
      <c r="T4" s="350">
        <v>249.172</v>
      </c>
      <c r="U4" s="350">
        <v>281.471</v>
      </c>
      <c r="V4" s="148">
        <f>SUM(R4:U4)</f>
        <v>858.09299999999996</v>
      </c>
      <c r="W4" s="350">
        <v>318.74</v>
      </c>
      <c r="X4" s="350">
        <v>333.89299999999997</v>
      </c>
      <c r="Y4" s="350">
        <v>367.11799999999999</v>
      </c>
      <c r="Z4" s="350">
        <v>406.08800000000002</v>
      </c>
      <c r="AA4" s="148">
        <f>SUM(W4:Z4)</f>
        <v>1425.8389999999999</v>
      </c>
      <c r="AB4" s="358">
        <v>362.37799999999999</v>
      </c>
      <c r="AC4" s="358">
        <v>418.02199999999999</v>
      </c>
      <c r="AD4" s="358">
        <v>448.84399999999999</v>
      </c>
      <c r="AE4" s="358">
        <v>521.51800000000003</v>
      </c>
      <c r="AF4" s="149">
        <f>SUM(AB4:AE4)</f>
        <v>1750.7619999999999</v>
      </c>
      <c r="AG4" s="353">
        <f>REVS!AG7</f>
        <v>544.57299999999998</v>
      </c>
      <c r="AH4" s="353">
        <f>REVS!AH7</f>
        <v>657.81899999999996</v>
      </c>
      <c r="AI4" s="353">
        <f>REVS!AI7</f>
        <v>737.56200000000001</v>
      </c>
      <c r="AJ4" s="353">
        <f>REVS!AJ7</f>
        <v>749.524</v>
      </c>
      <c r="AK4" s="149">
        <f>REVS!AK7</f>
        <v>2689.4780000000001</v>
      </c>
      <c r="AL4" s="353">
        <f>REVS!AL7</f>
        <v>784.18200000000002</v>
      </c>
      <c r="AM4" s="353">
        <f>REVS!AM7</f>
        <v>834.21900000000005</v>
      </c>
      <c r="AN4" s="353">
        <f>REVS!AN7</f>
        <v>857.46799999999996</v>
      </c>
      <c r="AO4" s="353">
        <f>REVS!AO7</f>
        <v>862.52099999999996</v>
      </c>
      <c r="AP4" s="149">
        <f>REVS!AP7</f>
        <v>3338.39</v>
      </c>
      <c r="AQ4" s="929">
        <f>REVS!AQ7</f>
        <v>858.245</v>
      </c>
      <c r="AR4" s="929">
        <f>REVS!AR7</f>
        <v>924.13300000000004</v>
      </c>
      <c r="AS4" s="929">
        <f>REVS!AS7</f>
        <v>957.36699999999996</v>
      </c>
      <c r="AT4" s="929">
        <f>REVS!AT7</f>
        <v>979</v>
      </c>
      <c r="AU4" s="149">
        <f>REVS!AU7</f>
        <v>3718.7449999999999</v>
      </c>
      <c r="AV4" s="929">
        <f>REVS!AV7</f>
        <v>918.5</v>
      </c>
      <c r="AW4" s="929">
        <f>REVS!AW7</f>
        <v>984.24580446961954</v>
      </c>
      <c r="AX4" s="929">
        <f>REVS!AX7</f>
        <v>1030.1012468556992</v>
      </c>
      <c r="AY4" s="929">
        <f>REVS!AY7</f>
        <v>1124.3266477416751</v>
      </c>
      <c r="AZ4" s="149">
        <f>REVS!AZ7</f>
        <v>4057.1736990669938</v>
      </c>
      <c r="BA4" s="149"/>
      <c r="BB4" s="149"/>
      <c r="BC4" s="149"/>
      <c r="BD4" s="149"/>
      <c r="BE4" s="149">
        <f>REVS!BE7</f>
        <v>4134.4591344619585</v>
      </c>
      <c r="BF4" s="149"/>
      <c r="BG4" s="149"/>
      <c r="BH4" s="149"/>
      <c r="BI4" s="149"/>
      <c r="BJ4" s="149">
        <f>REVS!BJ7</f>
        <v>4387.4191640272111</v>
      </c>
      <c r="BK4" s="149"/>
      <c r="BL4" s="149"/>
      <c r="BM4" s="149"/>
      <c r="BN4" s="149"/>
      <c r="BO4" s="149">
        <f>REVS!BO7</f>
        <v>4464.4501146266266</v>
      </c>
      <c r="BT4" s="149">
        <f>REVS!BT7</f>
        <v>4495.3343543644432</v>
      </c>
      <c r="BY4" s="149">
        <f>REVS!BY7</f>
        <v>4455.2540410430993</v>
      </c>
      <c r="CD4" s="149">
        <f>REVS!CD7</f>
        <v>4493.2331680176876</v>
      </c>
      <c r="CI4" s="149">
        <f>REVS!CI7</f>
        <v>4518.9676989367135</v>
      </c>
      <c r="CN4" s="149">
        <f>REVS!CN7</f>
        <v>4240.7993138316206</v>
      </c>
      <c r="CS4" s="149">
        <f>REVS!CS7</f>
        <v>3979.1927917030989</v>
      </c>
      <c r="CX4" s="149">
        <f>REVS!CX7</f>
        <v>3667.3209576385725</v>
      </c>
      <c r="DC4" s="149">
        <f>REVS!DC7</f>
        <v>3299.7664631066805</v>
      </c>
      <c r="DH4" s="149">
        <f>REVS!DH7</f>
        <v>3604.726912362913</v>
      </c>
      <c r="DJ4"/>
      <c r="DK4"/>
      <c r="DL4"/>
      <c r="DM4"/>
      <c r="DN4"/>
      <c r="DO4"/>
    </row>
    <row r="5" spans="1:122" s="147" customFormat="1" ht="12.75" customHeight="1">
      <c r="A5" s="144"/>
      <c r="B5" s="126" t="s">
        <v>202</v>
      </c>
      <c r="C5" s="350">
        <f>61.09-1.5</f>
        <v>59.59</v>
      </c>
      <c r="D5" s="350">
        <f>75.532-D10</f>
        <v>73.531999999999996</v>
      </c>
      <c r="E5" s="350">
        <f>82.482-E10+20</f>
        <v>100.682</v>
      </c>
      <c r="F5" s="350">
        <v>80.581999999999994</v>
      </c>
      <c r="G5" s="148">
        <v>314.45699999999999</v>
      </c>
      <c r="H5" s="354">
        <f t="shared" ref="H5:V5" si="0">SUM(H6:H7)</f>
        <v>81.757999999999996</v>
      </c>
      <c r="I5" s="354">
        <f t="shared" si="0"/>
        <v>98.575999999999993</v>
      </c>
      <c r="J5" s="354">
        <f t="shared" si="0"/>
        <v>89.343999999999994</v>
      </c>
      <c r="K5" s="355">
        <f t="shared" si="0"/>
        <v>117.047</v>
      </c>
      <c r="L5" s="148">
        <f t="shared" si="0"/>
        <v>386.72500000000002</v>
      </c>
      <c r="M5" s="354">
        <f t="shared" si="0"/>
        <v>97.809999999999988</v>
      </c>
      <c r="N5" s="354">
        <f t="shared" si="0"/>
        <v>95.569000000000003</v>
      </c>
      <c r="O5" s="354">
        <f t="shared" si="0"/>
        <v>89.896000000000001</v>
      </c>
      <c r="P5" s="355">
        <f t="shared" si="0"/>
        <v>86.405999999999992</v>
      </c>
      <c r="Q5" s="148">
        <f t="shared" si="0"/>
        <v>369.68099999999998</v>
      </c>
      <c r="R5" s="355">
        <f t="shared" si="0"/>
        <v>97.488</v>
      </c>
      <c r="S5" s="355">
        <f t="shared" si="0"/>
        <v>98.111999999999995</v>
      </c>
      <c r="T5" s="355">
        <f t="shared" si="0"/>
        <v>171.74299999999999</v>
      </c>
      <c r="U5" s="355">
        <f t="shared" si="0"/>
        <v>126.57</v>
      </c>
      <c r="V5" s="148">
        <f t="shared" si="0"/>
        <v>493.91299999999995</v>
      </c>
      <c r="W5" s="356">
        <f t="shared" ref="W5:X5" si="1">W6+W7</f>
        <v>114.17999999999999</v>
      </c>
      <c r="X5" s="356">
        <f t="shared" si="1"/>
        <v>116.633</v>
      </c>
      <c r="Y5" s="356">
        <f>Y6+Y7</f>
        <v>222.94200000000001</v>
      </c>
      <c r="Z5" s="356">
        <f>Z6+Z7</f>
        <v>196.64499999999998</v>
      </c>
      <c r="AA5" s="148">
        <f>SUM(AA6:AA7)</f>
        <v>650.4</v>
      </c>
      <c r="AB5" s="356">
        <f t="shared" ref="AB5:AJ5" si="2">AB6+AB7</f>
        <v>255.82</v>
      </c>
      <c r="AC5" s="356">
        <f t="shared" si="2"/>
        <v>239.89</v>
      </c>
      <c r="AD5" s="356">
        <f t="shared" si="2"/>
        <v>268.77800000000002</v>
      </c>
      <c r="AE5" s="356">
        <f t="shared" si="2"/>
        <v>272.36599999999999</v>
      </c>
      <c r="AF5" s="149">
        <f t="shared" si="2"/>
        <v>1036.854</v>
      </c>
      <c r="AG5" s="356">
        <f t="shared" si="2"/>
        <v>297.88800000000003</v>
      </c>
      <c r="AH5" s="356">
        <f t="shared" si="2"/>
        <v>329.34699999999998</v>
      </c>
      <c r="AI5" s="356">
        <f t="shared" si="2"/>
        <v>382.33100000000002</v>
      </c>
      <c r="AJ5" s="356">
        <f t="shared" si="2"/>
        <v>329.79499999999996</v>
      </c>
      <c r="AK5" s="149">
        <f>AK6+AK7</f>
        <v>1339.3610000000001</v>
      </c>
      <c r="AL5" s="356">
        <f t="shared" ref="AL5:AO5" si="3">AL6+AL7</f>
        <v>399.28600000000006</v>
      </c>
      <c r="AM5" s="356">
        <f t="shared" si="3"/>
        <v>355.31</v>
      </c>
      <c r="AN5" s="356">
        <f t="shared" si="3"/>
        <v>335.69</v>
      </c>
      <c r="AO5" s="356">
        <f t="shared" si="3"/>
        <v>312.649</v>
      </c>
      <c r="AP5" s="149">
        <f>AP6+AP7</f>
        <v>1402.9349999999999</v>
      </c>
      <c r="AQ5" s="929">
        <f>AQ6+AQ7+AQ8</f>
        <v>437.40600000000001</v>
      </c>
      <c r="AR5" s="929">
        <f>AR6+AR7+AR8</f>
        <v>500.18299999999999</v>
      </c>
      <c r="AS5" s="929">
        <f>AS6+AS7+AS8</f>
        <v>522.03700000000003</v>
      </c>
      <c r="AT5" s="929">
        <f>AT6+AT7+AT8</f>
        <v>577.17399999999998</v>
      </c>
      <c r="AU5" s="149">
        <f>AU6+AU7+AU8</f>
        <v>2036.8</v>
      </c>
      <c r="AV5" s="929">
        <f t="shared" ref="AV5:AY5" si="4">AV6+AV7+AV8</f>
        <v>448.98582620798641</v>
      </c>
      <c r="AW5" s="929">
        <f t="shared" si="4"/>
        <v>495.75539482680085</v>
      </c>
      <c r="AX5" s="929">
        <f t="shared" si="4"/>
        <v>527.07615591458773</v>
      </c>
      <c r="AY5" s="929">
        <f t="shared" si="4"/>
        <v>600.64096108350259</v>
      </c>
      <c r="AZ5" s="149">
        <f>AZ6+AZ7+AZ8</f>
        <v>2072.4583380328777</v>
      </c>
      <c r="BA5" s="149"/>
      <c r="BB5" s="149"/>
      <c r="BC5" s="149"/>
      <c r="BD5" s="149"/>
      <c r="BE5" s="149">
        <f>BE6+BE7+BE8</f>
        <v>2371.489570421008</v>
      </c>
      <c r="BF5" s="149"/>
      <c r="BG5" s="149"/>
      <c r="BH5" s="149"/>
      <c r="BI5" s="149"/>
      <c r="BJ5" s="149">
        <f>BJ6+BJ7+BJ8</f>
        <v>2886.9491747325446</v>
      </c>
      <c r="BK5" s="149"/>
      <c r="BL5" s="149"/>
      <c r="BM5" s="149"/>
      <c r="BN5" s="149"/>
      <c r="BO5" s="149">
        <f>BO6+BO7+BO8</f>
        <v>3362.5674781852535</v>
      </c>
      <c r="BP5" s="149"/>
      <c r="BQ5" s="149"/>
      <c r="BR5" s="149"/>
      <c r="BS5" s="149"/>
      <c r="BT5" s="149">
        <f>BT6+BT7+BT8</f>
        <v>4008.9259424962729</v>
      </c>
      <c r="BU5" s="149"/>
      <c r="BV5" s="149"/>
      <c r="BW5" s="149"/>
      <c r="BX5" s="149"/>
      <c r="BY5" s="149">
        <f>BY6+BY7+BY8</f>
        <v>4575.1414228857293</v>
      </c>
      <c r="BZ5" s="149"/>
      <c r="CA5" s="149"/>
      <c r="CB5" s="149"/>
      <c r="CC5" s="149"/>
      <c r="CD5" s="149">
        <f>CD6+CD7+CD8</f>
        <v>5005.1940432261763</v>
      </c>
      <c r="CE5" s="149"/>
      <c r="CF5" s="149"/>
      <c r="CG5" s="149"/>
      <c r="CH5" s="149"/>
      <c r="CI5" s="149">
        <f>CI6+CI7+CI8</f>
        <v>5452.0434203417317</v>
      </c>
      <c r="CJ5" s="149"/>
      <c r="CK5" s="149"/>
      <c r="CL5" s="149"/>
      <c r="CM5" s="149"/>
      <c r="CN5" s="149">
        <f>CN6+CN7+CN8</f>
        <v>5742.1047149545266</v>
      </c>
      <c r="CO5" s="149"/>
      <c r="CP5" s="149"/>
      <c r="CQ5" s="149"/>
      <c r="CR5" s="149"/>
      <c r="CS5" s="149">
        <f>CS6+CS7+CS8</f>
        <v>5828.8558402736744</v>
      </c>
      <c r="CT5" s="149"/>
      <c r="CU5" s="149"/>
      <c r="CV5" s="149"/>
      <c r="CW5" s="149"/>
      <c r="CX5" s="149">
        <f>CX6+CX7+CX8</f>
        <v>6274.0606314789347</v>
      </c>
      <c r="CY5" s="149"/>
      <c r="CZ5" s="149"/>
      <c r="DA5" s="149"/>
      <c r="DB5" s="149"/>
      <c r="DC5" s="149">
        <f>DC6+DC7+DC8</f>
        <v>6228.6387375218792</v>
      </c>
      <c r="DD5" s="149"/>
      <c r="DE5" s="149"/>
      <c r="DF5" s="149"/>
      <c r="DG5" s="149"/>
      <c r="DH5" s="149">
        <f>DH6+DH7+DH8</f>
        <v>6076.979891169196</v>
      </c>
      <c r="DJ5"/>
      <c r="DK5"/>
      <c r="DL5"/>
      <c r="DM5"/>
      <c r="DN5"/>
      <c r="DO5"/>
    </row>
    <row r="6" spans="1:122" s="147" customFormat="1" ht="12.75" hidden="1" customHeight="1" outlineLevel="1">
      <c r="A6" s="144"/>
      <c r="B6" s="127" t="s">
        <v>194</v>
      </c>
      <c r="C6" s="350">
        <v>49.6</v>
      </c>
      <c r="D6" s="357">
        <v>60.7</v>
      </c>
      <c r="E6" s="357">
        <v>68.5</v>
      </c>
      <c r="F6" s="350">
        <v>68.2</v>
      </c>
      <c r="G6" s="351">
        <v>247.2</v>
      </c>
      <c r="H6" s="352">
        <v>81.757999999999996</v>
      </c>
      <c r="I6" s="352">
        <v>98.575999999999993</v>
      </c>
      <c r="J6" s="352">
        <v>89.343999999999994</v>
      </c>
      <c r="K6" s="350">
        <v>82.137</v>
      </c>
      <c r="L6" s="148">
        <f>SUM(H6:K6)</f>
        <v>351.815</v>
      </c>
      <c r="M6" s="352">
        <v>85.328999999999994</v>
      </c>
      <c r="N6" s="352">
        <v>84.445999999999998</v>
      </c>
      <c r="O6" s="352">
        <v>79.802000000000007</v>
      </c>
      <c r="P6" s="350">
        <v>77.031999999999996</v>
      </c>
      <c r="Q6" s="148">
        <f>SUM(M6:P6)</f>
        <v>326.60899999999998</v>
      </c>
      <c r="R6" s="350">
        <v>85.004999999999995</v>
      </c>
      <c r="S6" s="350">
        <v>88.988</v>
      </c>
      <c r="T6" s="350">
        <v>145.042</v>
      </c>
      <c r="U6" s="350">
        <v>104.779</v>
      </c>
      <c r="V6" s="148">
        <f>SUM(R6:U6)</f>
        <v>423.81399999999996</v>
      </c>
      <c r="W6" s="350">
        <v>99.272999999999996</v>
      </c>
      <c r="X6" s="350">
        <v>85.528999999999996</v>
      </c>
      <c r="Y6" s="350">
        <v>134.35900000000001</v>
      </c>
      <c r="Z6" s="350">
        <v>110.95</v>
      </c>
      <c r="AA6" s="148">
        <f>SUM(W6:Z6)</f>
        <v>430.11099999999999</v>
      </c>
      <c r="AB6" s="350">
        <v>130.50800000000001</v>
      </c>
      <c r="AC6" s="350">
        <v>142.595</v>
      </c>
      <c r="AD6" s="350">
        <v>132.92500000000001</v>
      </c>
      <c r="AE6" s="350">
        <v>135.27099999999999</v>
      </c>
      <c r="AF6" s="149">
        <f>SUM(AB6:AE6)</f>
        <v>541.29899999999998</v>
      </c>
      <c r="AG6" s="356">
        <f>REVS!AG33</f>
        <v>174.042</v>
      </c>
      <c r="AH6" s="356">
        <f>REVS!AH33</f>
        <v>195.10999999999999</v>
      </c>
      <c r="AI6" s="356">
        <f>REVS!AI33</f>
        <v>224.73500000000001</v>
      </c>
      <c r="AJ6" s="356">
        <f>REVS!AJ33</f>
        <v>164.98599999999999</v>
      </c>
      <c r="AK6" s="149">
        <f>REVS!AK33</f>
        <v>758.87300000000005</v>
      </c>
      <c r="AL6" s="356">
        <f>REVS!AL33</f>
        <v>219.69400000000002</v>
      </c>
      <c r="AM6" s="356">
        <f>REVS!AM33</f>
        <v>163.41400000000002</v>
      </c>
      <c r="AN6" s="356">
        <f>REVS!AN33</f>
        <v>144.392</v>
      </c>
      <c r="AO6" s="356">
        <f>REVS!AO33</f>
        <v>131.16500000000002</v>
      </c>
      <c r="AP6" s="970">
        <f>REVS!AP33</f>
        <v>658.66499999999996</v>
      </c>
      <c r="AQ6" s="929">
        <f>REVS!AQ33</f>
        <v>210.36699999999999</v>
      </c>
      <c r="AR6" s="929">
        <f>REVS!AR33</f>
        <v>222.12799999999999</v>
      </c>
      <c r="AS6" s="929">
        <f>REVS!AS33</f>
        <v>245.17500000000001</v>
      </c>
      <c r="AT6" s="929">
        <f>REVS!AT33</f>
        <v>199.52999999999997</v>
      </c>
      <c r="AU6" s="149">
        <f>REVS!AU33</f>
        <v>877.19999999999993</v>
      </c>
      <c r="AV6" s="929">
        <f>REVS!AV33</f>
        <v>217.53190354188104</v>
      </c>
      <c r="AW6" s="929">
        <f>REVS!AW33</f>
        <v>229.46582536514128</v>
      </c>
      <c r="AX6" s="929">
        <f>REVS!AX33</f>
        <v>241.20201854935112</v>
      </c>
      <c r="AY6" s="929">
        <f>REVS!AY33</f>
        <v>237.38267687106816</v>
      </c>
      <c r="AZ6" s="149">
        <f>REVS!AZ33</f>
        <v>925.58242432744169</v>
      </c>
      <c r="BA6" s="149"/>
      <c r="BB6" s="149"/>
      <c r="BC6" s="149"/>
      <c r="BD6" s="149"/>
      <c r="BE6" s="149">
        <f>REVS!BE33</f>
        <v>1116.6120319724469</v>
      </c>
      <c r="BF6" s="149"/>
      <c r="BG6" s="149"/>
      <c r="BH6" s="149"/>
      <c r="BI6" s="149"/>
      <c r="BJ6" s="149">
        <f>REVS!BJ33</f>
        <v>1662.7727073626274</v>
      </c>
      <c r="BK6" s="149"/>
      <c r="BL6" s="149"/>
      <c r="BM6" s="149"/>
      <c r="BN6" s="149"/>
      <c r="BO6" s="149">
        <f>REVS!BO33</f>
        <v>2311.3593070312259</v>
      </c>
      <c r="BP6" s="149"/>
      <c r="BQ6" s="149"/>
      <c r="BR6" s="149"/>
      <c r="BS6" s="149"/>
      <c r="BT6" s="149">
        <f>REVS!BT33</f>
        <v>2952.1234908230481</v>
      </c>
      <c r="BU6" s="149"/>
      <c r="BV6" s="149"/>
      <c r="BW6" s="149"/>
      <c r="BX6" s="149"/>
      <c r="BY6" s="149">
        <f>REVS!BY33</f>
        <v>3501.6442245223761</v>
      </c>
      <c r="BZ6" s="149"/>
      <c r="CA6" s="149"/>
      <c r="CB6" s="149"/>
      <c r="CC6" s="149"/>
      <c r="CD6" s="149">
        <f>REVS!CD33</f>
        <v>3932.2928490074</v>
      </c>
      <c r="CE6" s="149"/>
      <c r="CF6" s="149"/>
      <c r="CG6" s="149"/>
      <c r="CH6" s="149"/>
      <c r="CI6" s="149">
        <f>REVS!CI33</f>
        <v>4333.8615099258268</v>
      </c>
      <c r="CJ6" s="149"/>
      <c r="CK6" s="149"/>
      <c r="CL6" s="149"/>
      <c r="CM6" s="149"/>
      <c r="CN6" s="149">
        <f>REVS!CN33</f>
        <v>4603.0125557099391</v>
      </c>
      <c r="CO6" s="149"/>
      <c r="CP6" s="149"/>
      <c r="CQ6" s="149"/>
      <c r="CR6" s="149"/>
      <c r="CS6" s="149">
        <f>REVS!CS33</f>
        <v>4782.0098874587275</v>
      </c>
      <c r="CT6" s="149"/>
      <c r="CU6" s="149"/>
      <c r="CV6" s="149"/>
      <c r="CW6" s="149"/>
      <c r="CX6" s="149">
        <f>REVS!CX33</f>
        <v>5311.5043111479617</v>
      </c>
      <c r="CY6" s="149"/>
      <c r="CZ6" s="149"/>
      <c r="DA6" s="149"/>
      <c r="DB6" s="149"/>
      <c r="DC6" s="149">
        <f>REVS!DC33</f>
        <v>5350.9757558535648</v>
      </c>
      <c r="DD6" s="149"/>
      <c r="DE6" s="149"/>
      <c r="DF6" s="149"/>
      <c r="DG6" s="149"/>
      <c r="DH6" s="149">
        <f>REVS!DH33</f>
        <v>5292.9519048074235</v>
      </c>
      <c r="DJ6"/>
      <c r="DK6"/>
      <c r="DL6"/>
      <c r="DM6"/>
      <c r="DN6"/>
      <c r="DO6"/>
    </row>
    <row r="7" spans="1:122" s="147" customFormat="1" ht="12.75" hidden="1" customHeight="1" outlineLevel="1">
      <c r="A7" s="144"/>
      <c r="B7" s="127" t="s">
        <v>195</v>
      </c>
      <c r="C7" s="350">
        <v>10</v>
      </c>
      <c r="D7" s="357">
        <v>12.8</v>
      </c>
      <c r="E7" s="357">
        <f>20+12.2</f>
        <v>32.200000000000003</v>
      </c>
      <c r="F7" s="350">
        <v>12.4</v>
      </c>
      <c r="G7" s="351">
        <v>67.3</v>
      </c>
      <c r="H7" s="352"/>
      <c r="I7" s="352"/>
      <c r="J7" s="352"/>
      <c r="K7" s="350">
        <v>34.909999999999997</v>
      </c>
      <c r="L7" s="148">
        <f>SUM(H7:K7)</f>
        <v>34.909999999999997</v>
      </c>
      <c r="M7" s="352">
        <v>12.481</v>
      </c>
      <c r="N7" s="352">
        <v>11.122999999999999</v>
      </c>
      <c r="O7" s="352">
        <v>10.093999999999999</v>
      </c>
      <c r="P7" s="350">
        <v>9.3740000000000006</v>
      </c>
      <c r="Q7" s="148">
        <f>SUM(M7:P7)</f>
        <v>43.072000000000003</v>
      </c>
      <c r="R7" s="350">
        <v>12.483000000000001</v>
      </c>
      <c r="S7" s="350">
        <v>9.1240000000000006</v>
      </c>
      <c r="T7" s="350">
        <v>26.701000000000001</v>
      </c>
      <c r="U7" s="350">
        <v>21.791</v>
      </c>
      <c r="V7" s="148">
        <f>SUM(R7:U7)</f>
        <v>70.099000000000004</v>
      </c>
      <c r="W7" s="358">
        <v>14.907</v>
      </c>
      <c r="X7" s="358">
        <v>31.103999999999999</v>
      </c>
      <c r="Y7" s="358">
        <v>88.582999999999998</v>
      </c>
      <c r="Z7" s="358">
        <v>85.694999999999993</v>
      </c>
      <c r="AA7" s="148">
        <f>SUM(W7:Z7)</f>
        <v>220.28899999999999</v>
      </c>
      <c r="AB7" s="358">
        <v>125.312</v>
      </c>
      <c r="AC7" s="358">
        <v>97.295000000000002</v>
      </c>
      <c r="AD7" s="358">
        <v>135.85300000000001</v>
      </c>
      <c r="AE7" s="358">
        <v>137.095</v>
      </c>
      <c r="AF7" s="149">
        <f>SUM(AB7:AE7)</f>
        <v>495.55500000000006</v>
      </c>
      <c r="AG7" s="353">
        <f>REVS!AG40</f>
        <v>123.846</v>
      </c>
      <c r="AH7" s="353">
        <f>REVS!AH40</f>
        <v>134.23699999999999</v>
      </c>
      <c r="AI7" s="353">
        <f>REVS!AI40</f>
        <v>157.596</v>
      </c>
      <c r="AJ7" s="353">
        <f>REVS!AJ40</f>
        <v>164.809</v>
      </c>
      <c r="AK7" s="149">
        <f>REVS!AK40</f>
        <v>580.48800000000006</v>
      </c>
      <c r="AL7" s="353">
        <f>REVS!AL40</f>
        <v>179.59200000000001</v>
      </c>
      <c r="AM7" s="353">
        <f>REVS!AM40</f>
        <v>191.89599999999999</v>
      </c>
      <c r="AN7" s="353">
        <f>REVS!AN40</f>
        <v>191.298</v>
      </c>
      <c r="AO7" s="353">
        <f>REVS!AO40</f>
        <v>181.48399999999998</v>
      </c>
      <c r="AP7" s="149">
        <f>REVS!AP40</f>
        <v>744.27</v>
      </c>
      <c r="AQ7" s="929">
        <f>REVS!AQ40</f>
        <v>193.93899999999999</v>
      </c>
      <c r="AR7" s="929">
        <f>REVS!AR40</f>
        <v>210.35500000000002</v>
      </c>
      <c r="AS7" s="929">
        <f>REVS!AS40</f>
        <v>236.625</v>
      </c>
      <c r="AT7" s="929">
        <f>REVS!AT40</f>
        <v>297.18099999999998</v>
      </c>
      <c r="AU7" s="149">
        <f>REVS!AU40</f>
        <v>938.1</v>
      </c>
      <c r="AV7" s="929">
        <f>REVS!AV40</f>
        <v>191.09677980896251</v>
      </c>
      <c r="AW7" s="929">
        <f>REVS!AW40</f>
        <v>208.41456946165957</v>
      </c>
      <c r="AX7" s="929">
        <f>REVS!AX40</f>
        <v>225.30538736523664</v>
      </c>
      <c r="AY7" s="929">
        <f>REVS!AY40</f>
        <v>258.37346278386303</v>
      </c>
      <c r="AZ7" s="149">
        <f>REVS!AZ40</f>
        <v>883.19019941972169</v>
      </c>
      <c r="BA7" s="149"/>
      <c r="BB7" s="149"/>
      <c r="BC7" s="149"/>
      <c r="BD7" s="149"/>
      <c r="BE7" s="149">
        <f>REVS!BE40</f>
        <v>986.82039559141833</v>
      </c>
      <c r="BF7" s="149"/>
      <c r="BG7" s="149"/>
      <c r="BH7" s="149"/>
      <c r="BI7" s="149"/>
      <c r="BJ7" s="149">
        <f>REVS!BJ40</f>
        <v>978.76846736991729</v>
      </c>
      <c r="BK7" s="149"/>
      <c r="BL7" s="149"/>
      <c r="BM7" s="149"/>
      <c r="BN7" s="149"/>
      <c r="BO7" s="149">
        <f>REVS!BO40</f>
        <v>963.76817115402775</v>
      </c>
      <c r="BP7" s="149"/>
      <c r="BQ7" s="149"/>
      <c r="BR7" s="149"/>
      <c r="BS7" s="149"/>
      <c r="BT7" s="149">
        <f>REVS!BT40</f>
        <v>969.36245167322477</v>
      </c>
      <c r="BU7" s="149"/>
      <c r="BV7" s="149"/>
      <c r="BW7" s="149"/>
      <c r="BX7" s="149"/>
      <c r="BY7" s="149">
        <f>REVS!BY40</f>
        <v>986.05719836335334</v>
      </c>
      <c r="BZ7" s="149"/>
      <c r="CA7" s="149"/>
      <c r="CB7" s="149"/>
      <c r="CC7" s="149"/>
      <c r="CD7" s="149">
        <f>REVS!CD40</f>
        <v>985.461194218777</v>
      </c>
      <c r="CE7" s="149"/>
      <c r="CF7" s="149"/>
      <c r="CG7" s="149"/>
      <c r="CH7" s="149"/>
      <c r="CI7" s="149">
        <f>REVS!CI40</f>
        <v>1030.7419104159053</v>
      </c>
      <c r="CJ7" s="149"/>
      <c r="CK7" s="149"/>
      <c r="CL7" s="149"/>
      <c r="CM7" s="149"/>
      <c r="CN7" s="149">
        <f>REVS!CN40</f>
        <v>1051.6521592445877</v>
      </c>
      <c r="CO7" s="149"/>
      <c r="CP7" s="149"/>
      <c r="CQ7" s="149"/>
      <c r="CR7" s="149"/>
      <c r="CS7" s="149">
        <f>REVS!CS40</f>
        <v>959.40595281494757</v>
      </c>
      <c r="CT7" s="149"/>
      <c r="CU7" s="149"/>
      <c r="CV7" s="149"/>
      <c r="CW7" s="149"/>
      <c r="CX7" s="149">
        <f>REVS!CX40</f>
        <v>895.63632033097315</v>
      </c>
      <c r="CY7" s="149"/>
      <c r="CZ7" s="149"/>
      <c r="DA7" s="149"/>
      <c r="DB7" s="149"/>
      <c r="DC7" s="149">
        <f>REVS!DC40</f>
        <v>821.00298166831419</v>
      </c>
      <c r="DD7" s="149"/>
      <c r="DE7" s="149"/>
      <c r="DF7" s="149"/>
      <c r="DG7" s="149"/>
      <c r="DH7" s="149">
        <f>REVS!DH40</f>
        <v>732.49798636177252</v>
      </c>
      <c r="DJ7"/>
      <c r="DK7"/>
      <c r="DL7"/>
      <c r="DM7"/>
      <c r="DN7"/>
      <c r="DO7"/>
    </row>
    <row r="8" spans="1:122" s="147" customFormat="1" ht="12.75" hidden="1" customHeight="1" outlineLevel="1">
      <c r="A8" s="144"/>
      <c r="B8" s="127" t="s">
        <v>853</v>
      </c>
      <c r="C8" s="350"/>
      <c r="D8" s="357"/>
      <c r="E8" s="357"/>
      <c r="F8" s="350"/>
      <c r="G8" s="351"/>
      <c r="H8" s="352"/>
      <c r="I8" s="352"/>
      <c r="J8" s="352"/>
      <c r="K8" s="350"/>
      <c r="L8" s="148"/>
      <c r="M8" s="352"/>
      <c r="N8" s="352"/>
      <c r="O8" s="352"/>
      <c r="P8" s="350"/>
      <c r="Q8" s="148"/>
      <c r="R8" s="350"/>
      <c r="S8" s="350"/>
      <c r="T8" s="350"/>
      <c r="U8" s="350"/>
      <c r="V8" s="148"/>
      <c r="W8" s="358"/>
      <c r="X8" s="358"/>
      <c r="Y8" s="358"/>
      <c r="Z8" s="358"/>
      <c r="AA8" s="148"/>
      <c r="AB8" s="358"/>
      <c r="AC8" s="358"/>
      <c r="AD8" s="358"/>
      <c r="AE8" s="358"/>
      <c r="AF8" s="149"/>
      <c r="AG8" s="353"/>
      <c r="AH8" s="353"/>
      <c r="AI8" s="353"/>
      <c r="AJ8" s="353"/>
      <c r="AK8" s="149"/>
      <c r="AL8" s="353"/>
      <c r="AM8" s="353"/>
      <c r="AN8" s="353"/>
      <c r="AO8" s="353"/>
      <c r="AP8" s="149"/>
      <c r="AQ8" s="929">
        <f>REVS!AQ46</f>
        <v>33.1</v>
      </c>
      <c r="AR8" s="929">
        <f>REVS!AR46</f>
        <v>67.7</v>
      </c>
      <c r="AS8" s="929">
        <f>REVS!AS46</f>
        <v>40.236999999999995</v>
      </c>
      <c r="AT8" s="929">
        <f>REVS!AT46</f>
        <v>80.462999999999994</v>
      </c>
      <c r="AU8" s="149">
        <f>REVS!AU46</f>
        <v>221.5</v>
      </c>
      <c r="AV8" s="929">
        <f>REVS!AV46</f>
        <v>40.357142857142861</v>
      </c>
      <c r="AW8" s="929">
        <f>REVS!AW46</f>
        <v>57.875</v>
      </c>
      <c r="AX8" s="929">
        <f>REVS!AX46</f>
        <v>60.568750000000009</v>
      </c>
      <c r="AY8" s="929">
        <f>REVS!AY46</f>
        <v>104.88482142857144</v>
      </c>
      <c r="AZ8" s="149">
        <f>REVS!AZ46</f>
        <v>263.68571428571431</v>
      </c>
      <c r="BA8" s="149"/>
      <c r="BB8" s="149"/>
      <c r="BC8" s="149"/>
      <c r="BD8" s="149"/>
      <c r="BE8" s="149">
        <f>REVS!BE46</f>
        <v>268.05714285714282</v>
      </c>
      <c r="BF8" s="149"/>
      <c r="BG8" s="149"/>
      <c r="BH8" s="149"/>
      <c r="BI8" s="149"/>
      <c r="BJ8" s="149">
        <f>REVS!BJ46</f>
        <v>245.40799999999999</v>
      </c>
      <c r="BK8" s="149"/>
      <c r="BL8" s="149"/>
      <c r="BM8" s="149"/>
      <c r="BN8" s="149"/>
      <c r="BO8" s="149">
        <f>REVS!BO46</f>
        <v>87.44</v>
      </c>
      <c r="BP8" s="149"/>
      <c r="BQ8" s="149"/>
      <c r="BR8" s="149"/>
      <c r="BS8" s="149"/>
      <c r="BT8" s="149">
        <f>REVS!BT46</f>
        <v>87.44</v>
      </c>
      <c r="BU8" s="149"/>
      <c r="BV8" s="149"/>
      <c r="BW8" s="149"/>
      <c r="BX8" s="149"/>
      <c r="BY8" s="149">
        <f>REVS!BY46</f>
        <v>87.44</v>
      </c>
      <c r="BZ8" s="149"/>
      <c r="CA8" s="149"/>
      <c r="CB8" s="149"/>
      <c r="CC8" s="149"/>
      <c r="CD8" s="149">
        <f>REVS!CD46</f>
        <v>87.44</v>
      </c>
      <c r="CE8" s="149"/>
      <c r="CF8" s="149"/>
      <c r="CG8" s="149"/>
      <c r="CH8" s="149"/>
      <c r="CI8" s="149">
        <f>REVS!CI46</f>
        <v>87.44</v>
      </c>
      <c r="CJ8" s="149"/>
      <c r="CK8" s="149"/>
      <c r="CL8" s="149"/>
      <c r="CM8" s="149"/>
      <c r="CN8" s="149">
        <f>REVS!CN46</f>
        <v>87.44</v>
      </c>
      <c r="CO8" s="149"/>
      <c r="CP8" s="149"/>
      <c r="CQ8" s="149"/>
      <c r="CR8" s="149"/>
      <c r="CS8" s="149">
        <f>REVS!CS46</f>
        <v>87.44</v>
      </c>
      <c r="CT8" s="149"/>
      <c r="CU8" s="149"/>
      <c r="CV8" s="149"/>
      <c r="CW8" s="149"/>
      <c r="CX8" s="149">
        <f>REVS!CX46</f>
        <v>66.92</v>
      </c>
      <c r="CY8" s="149"/>
      <c r="CZ8" s="149"/>
      <c r="DA8" s="149"/>
      <c r="DB8" s="149"/>
      <c r="DC8" s="149">
        <f>REVS!DC46</f>
        <v>56.66</v>
      </c>
      <c r="DD8" s="149"/>
      <c r="DE8" s="149"/>
      <c r="DF8" s="149"/>
      <c r="DG8" s="149"/>
      <c r="DH8" s="149">
        <f>REVS!DH46</f>
        <v>51.53</v>
      </c>
      <c r="DJ8"/>
      <c r="DK8"/>
      <c r="DL8"/>
      <c r="DM8"/>
      <c r="DN8"/>
      <c r="DO8"/>
    </row>
    <row r="9" spans="1:122" s="147" customFormat="1" ht="12.75" customHeight="1" collapsed="1">
      <c r="A9" s="144"/>
      <c r="B9" s="128" t="s">
        <v>196</v>
      </c>
      <c r="C9" s="350">
        <v>10</v>
      </c>
      <c r="D9" s="350">
        <v>10</v>
      </c>
      <c r="E9" s="350">
        <v>10</v>
      </c>
      <c r="F9" s="350">
        <v>10.013</v>
      </c>
      <c r="G9" s="351">
        <v>40.012999999999998</v>
      </c>
      <c r="H9" s="359">
        <v>10.038</v>
      </c>
      <c r="I9" s="359">
        <v>10.037000000000001</v>
      </c>
      <c r="J9" s="359">
        <v>10.037000000000001</v>
      </c>
      <c r="K9" s="359">
        <v>10.038</v>
      </c>
      <c r="L9" s="148">
        <f>SUM(H9:K9)</f>
        <v>40.150000000000006</v>
      </c>
      <c r="M9" s="359">
        <v>7.8449999999999998</v>
      </c>
      <c r="N9" s="359">
        <v>5.2279999999999998</v>
      </c>
      <c r="O9" s="359">
        <v>5.8929999999999998</v>
      </c>
      <c r="P9" s="359">
        <v>5.8920000000000003</v>
      </c>
      <c r="Q9" s="148">
        <f>SUM(M9:P9)</f>
        <v>24.858000000000001</v>
      </c>
      <c r="R9" s="359">
        <v>5.8929999999999998</v>
      </c>
      <c r="S9" s="359">
        <v>5.8929999999999998</v>
      </c>
      <c r="T9" s="359">
        <v>5.8929999999999998</v>
      </c>
      <c r="U9" s="359">
        <v>5.8920000000000003</v>
      </c>
      <c r="V9" s="148">
        <f>SUM(R9:U9)</f>
        <v>23.570999999999998</v>
      </c>
      <c r="W9" s="350">
        <v>5.8929999999999998</v>
      </c>
      <c r="X9" s="350">
        <v>5.8929999999999998</v>
      </c>
      <c r="Y9" s="350">
        <v>5.8929999999999998</v>
      </c>
      <c r="Z9" s="350">
        <f>7.679-Z10</f>
        <v>6.7789999999999999</v>
      </c>
      <c r="AA9" s="148">
        <f>SUM(W9:Z9)</f>
        <v>24.457999999999998</v>
      </c>
      <c r="AB9" s="350">
        <f>7.542-AB10</f>
        <v>6.5419999999999998</v>
      </c>
      <c r="AC9" s="350">
        <f>7.788-AC10</f>
        <v>5.8879999999999999</v>
      </c>
      <c r="AD9" s="350">
        <f>8.166-AD10</f>
        <v>7.266</v>
      </c>
      <c r="AE9" s="350">
        <f>8.445-AE10</f>
        <v>7.2450000000000001</v>
      </c>
      <c r="AF9" s="149">
        <f>SUM(AB9:AE9)</f>
        <v>26.940999999999999</v>
      </c>
      <c r="AG9" s="356">
        <f>REVS!AG50</f>
        <v>26.587</v>
      </c>
      <c r="AH9" s="356">
        <f>REVS!AH50</f>
        <v>10.201000000000001</v>
      </c>
      <c r="AI9" s="356">
        <f>REVS!AI50</f>
        <v>16.279</v>
      </c>
      <c r="AJ9" s="356">
        <f>REVS!AJ50</f>
        <v>16.821999999999999</v>
      </c>
      <c r="AK9" s="149">
        <f>REVS!AK50</f>
        <v>69.888999999999996</v>
      </c>
      <c r="AL9" s="356">
        <f>REVS!AL50</f>
        <v>16.131</v>
      </c>
      <c r="AM9" s="356">
        <f>REVS!AM50</f>
        <v>21.85</v>
      </c>
      <c r="AN9" s="356">
        <f>REVS!AN50</f>
        <v>25.713999999999999</v>
      </c>
      <c r="AO9" s="356">
        <f>REVS!AO50</f>
        <v>50.406999999999996</v>
      </c>
      <c r="AP9" s="149">
        <f>REVS!AP50</f>
        <v>114.102</v>
      </c>
      <c r="AQ9" s="929">
        <f>REVS!AQ50</f>
        <v>22.099999999999998</v>
      </c>
      <c r="AR9" s="929">
        <f>REVS!AR50</f>
        <v>44.5</v>
      </c>
      <c r="AS9" s="929">
        <f>REVS!AS50</f>
        <v>20</v>
      </c>
      <c r="AT9" s="929">
        <f>REVS!AT50</f>
        <v>25.200000000000003</v>
      </c>
      <c r="AU9" s="149">
        <f>REVS!AU50</f>
        <v>111.8</v>
      </c>
      <c r="AV9" s="929">
        <f>REVS!AV50</f>
        <v>15</v>
      </c>
      <c r="AW9" s="929">
        <f>REVS!AW50</f>
        <v>17.25</v>
      </c>
      <c r="AX9" s="929">
        <f>REVS!AX50</f>
        <v>19.837499999999999</v>
      </c>
      <c r="AY9" s="929">
        <f>REVS!AY50</f>
        <v>21.950105900000004</v>
      </c>
      <c r="AZ9" s="149">
        <f>REVS!AZ50</f>
        <v>74.037605900000003</v>
      </c>
      <c r="BA9" s="149"/>
      <c r="BB9" s="149"/>
      <c r="BC9" s="149"/>
      <c r="BD9" s="149"/>
      <c r="BE9" s="149">
        <f>REVS!BE50</f>
        <v>75.239486194999998</v>
      </c>
      <c r="BF9" s="149"/>
      <c r="BG9" s="149"/>
      <c r="BH9" s="149"/>
      <c r="BI9" s="149"/>
      <c r="BJ9" s="149">
        <f>REVS!BJ50</f>
        <v>75.996670780849996</v>
      </c>
      <c r="BK9" s="149"/>
      <c r="BL9" s="149"/>
      <c r="BM9" s="149"/>
      <c r="BN9" s="149"/>
      <c r="BO9" s="147">
        <f>REVS!BO50</f>
        <v>75</v>
      </c>
      <c r="BT9" s="147">
        <f>REVS!BT50</f>
        <v>75</v>
      </c>
      <c r="BY9" s="147">
        <f>REVS!BY50</f>
        <v>75</v>
      </c>
      <c r="CD9" s="147">
        <f>REVS!CD50</f>
        <v>75</v>
      </c>
      <c r="CI9" s="147">
        <f>REVS!CI50</f>
        <v>75</v>
      </c>
      <c r="CN9" s="147">
        <f>REVS!CN50</f>
        <v>75</v>
      </c>
      <c r="CS9" s="147">
        <f>REVS!CS50</f>
        <v>75</v>
      </c>
      <c r="CX9" s="147">
        <f>REVS!CX50</f>
        <v>75</v>
      </c>
      <c r="DC9" s="147">
        <f>REVS!DC50</f>
        <v>75</v>
      </c>
      <c r="DH9" s="147">
        <f>REVS!DH50</f>
        <v>75</v>
      </c>
      <c r="DJ9"/>
      <c r="DK9"/>
      <c r="DL9"/>
      <c r="DM9"/>
      <c r="DN9"/>
      <c r="DO9"/>
    </row>
    <row r="10" spans="1:122" s="143" customFormat="1" ht="12.75" customHeight="1">
      <c r="A10" s="139"/>
      <c r="B10" s="128" t="s">
        <v>197</v>
      </c>
      <c r="C10" s="359">
        <v>1.5</v>
      </c>
      <c r="D10" s="359">
        <v>2</v>
      </c>
      <c r="E10" s="359">
        <v>1.8</v>
      </c>
      <c r="F10" s="359">
        <v>1.2050000000000001</v>
      </c>
      <c r="G10" s="360">
        <v>6.4340000000000002</v>
      </c>
      <c r="H10" s="359">
        <v>1.8859999999999999</v>
      </c>
      <c r="I10" s="359">
        <v>2.0760000000000001</v>
      </c>
      <c r="J10" s="359">
        <v>1.6619999999999999</v>
      </c>
      <c r="K10" s="359">
        <v>1.321</v>
      </c>
      <c r="L10" s="148">
        <f>SUM(H10:K10)</f>
        <v>6.9449999999999994</v>
      </c>
      <c r="M10" s="359">
        <v>2.1219999999999999</v>
      </c>
      <c r="N10" s="359">
        <v>1.974</v>
      </c>
      <c r="O10" s="359">
        <v>1.5760000000000001</v>
      </c>
      <c r="P10" s="359">
        <v>0.92700000000000005</v>
      </c>
      <c r="Q10" s="148">
        <f>SUM(M10:P10)</f>
        <v>6.5990000000000002</v>
      </c>
      <c r="R10" s="359">
        <v>0.47699999999999998</v>
      </c>
      <c r="S10" s="359">
        <v>0.875</v>
      </c>
      <c r="T10" s="359">
        <v>0.879</v>
      </c>
      <c r="U10" s="359">
        <v>0.66900000000000004</v>
      </c>
      <c r="V10" s="148">
        <f>SUM(R10:U10)</f>
        <v>2.9</v>
      </c>
      <c r="W10" s="359">
        <v>0.85099999999999998</v>
      </c>
      <c r="X10" s="359">
        <v>1.2230000000000001</v>
      </c>
      <c r="Y10" s="359">
        <v>1.0740000000000001</v>
      </c>
      <c r="Z10" s="359">
        <v>0.9</v>
      </c>
      <c r="AA10" s="148">
        <f>SUM(W10:Z10)</f>
        <v>4.048</v>
      </c>
      <c r="AB10" s="359">
        <v>1</v>
      </c>
      <c r="AC10" s="359">
        <v>1.9</v>
      </c>
      <c r="AD10" s="359">
        <v>0.9</v>
      </c>
      <c r="AE10" s="359">
        <v>1.2</v>
      </c>
      <c r="AF10" s="158">
        <f>SUM(AB10:AE10)</f>
        <v>5</v>
      </c>
      <c r="AG10" s="356">
        <f>REVS!AG51</f>
        <v>1.25</v>
      </c>
      <c r="AH10" s="356">
        <f>REVS!AH51</f>
        <v>1.25</v>
      </c>
      <c r="AI10" s="356">
        <f>REVS!AI51</f>
        <v>1.25</v>
      </c>
      <c r="AJ10" s="356">
        <f>REVS!AJ51</f>
        <v>1.25</v>
      </c>
      <c r="AK10" s="157">
        <f>REVS!AK51</f>
        <v>5</v>
      </c>
      <c r="AL10" s="356">
        <f>REVS!AL51</f>
        <v>1.25</v>
      </c>
      <c r="AM10" s="356">
        <f>REVS!AM51</f>
        <v>1.25</v>
      </c>
      <c r="AN10" s="356">
        <f>REVS!AN51</f>
        <v>1.25</v>
      </c>
      <c r="AO10" s="356">
        <f>REVS!AO51</f>
        <v>1.25</v>
      </c>
      <c r="AP10" s="157">
        <f>REVS!AP51</f>
        <v>5</v>
      </c>
      <c r="AQ10" s="932">
        <f>REVS!AQ51</f>
        <v>1.3</v>
      </c>
      <c r="AR10" s="932">
        <f>REVS!AR51</f>
        <v>1.3</v>
      </c>
      <c r="AS10" s="932">
        <f>REVS!AS51</f>
        <v>1.3</v>
      </c>
      <c r="AT10" s="932">
        <f>REVS!AT51</f>
        <v>1.3</v>
      </c>
      <c r="AU10" s="157">
        <f>REVS!AU51</f>
        <v>5.2</v>
      </c>
      <c r="AV10" s="932">
        <f>REVS!AV51</f>
        <v>1.3</v>
      </c>
      <c r="AW10" s="932">
        <f>REVS!AW51</f>
        <v>1.3</v>
      </c>
      <c r="AX10" s="932">
        <f>REVS!AX51</f>
        <v>1.3</v>
      </c>
      <c r="AY10" s="932">
        <f>REVS!AY51</f>
        <v>1.2999999999999998</v>
      </c>
      <c r="AZ10" s="157">
        <f>REVS!AZ51</f>
        <v>5.2</v>
      </c>
      <c r="BA10" s="277"/>
      <c r="BB10" s="277"/>
      <c r="BC10" s="277"/>
      <c r="BD10" s="277"/>
      <c r="BE10" s="157">
        <f>REVS!BE51</f>
        <v>5.2</v>
      </c>
      <c r="BF10" s="277"/>
      <c r="BG10" s="278"/>
      <c r="BH10" s="278"/>
      <c r="BI10" s="278"/>
      <c r="BJ10" s="157">
        <f>REVS!BJ51</f>
        <v>5.2</v>
      </c>
      <c r="BK10" s="157"/>
      <c r="BL10" s="157"/>
      <c r="BM10" s="157"/>
      <c r="BN10" s="157"/>
      <c r="BO10" s="143">
        <f>REVS!BO51</f>
        <v>5.2</v>
      </c>
      <c r="BT10" s="143">
        <f>REVS!BT51</f>
        <v>5.2</v>
      </c>
      <c r="BY10" s="143">
        <f>REVS!BY51</f>
        <v>5.2</v>
      </c>
      <c r="CD10" s="143">
        <f>REVS!CD51</f>
        <v>5.2</v>
      </c>
      <c r="CI10" s="143">
        <f>REVS!CI51</f>
        <v>5.2</v>
      </c>
      <c r="CN10" s="143">
        <f>REVS!CN51</f>
        <v>5.2</v>
      </c>
      <c r="CS10" s="143">
        <f>REVS!CS51</f>
        <v>5.2</v>
      </c>
      <c r="CX10" s="143">
        <f>REVS!CX51</f>
        <v>5.2</v>
      </c>
      <c r="DC10" s="143">
        <f>REVS!DC51</f>
        <v>5.2</v>
      </c>
      <c r="DH10" s="143">
        <f>REVS!DH51</f>
        <v>5.2</v>
      </c>
      <c r="DJ10"/>
      <c r="DK10"/>
      <c r="DL10"/>
      <c r="DM10"/>
      <c r="DN10"/>
      <c r="DO10"/>
    </row>
    <row r="11" spans="1:122" s="154" customFormat="1" ht="12.75" customHeight="1">
      <c r="A11" s="152" t="s">
        <v>1</v>
      </c>
      <c r="B11" s="153" t="s">
        <v>0</v>
      </c>
      <c r="C11" s="362">
        <f>SUM(C4,C5,C9,C10)</f>
        <v>74.980999999999995</v>
      </c>
      <c r="D11" s="362">
        <f>SUM(D4,D5,D9,D10)</f>
        <v>90.031999999999996</v>
      </c>
      <c r="E11" s="362">
        <f>SUM(E4,E5,E9,E10)</f>
        <v>117.455</v>
      </c>
      <c r="F11" s="362">
        <f>SUM(F4,F5,F9,F10)</f>
        <v>96.8</v>
      </c>
      <c r="G11" s="363">
        <f t="shared" ref="G11:AE11" si="5">SUM(G4,G5,G9,G10)</f>
        <v>379.26799999999997</v>
      </c>
      <c r="H11" s="362">
        <f t="shared" si="5"/>
        <v>103.53399999999999</v>
      </c>
      <c r="I11" s="362">
        <f t="shared" si="5"/>
        <v>115.886</v>
      </c>
      <c r="J11" s="362">
        <f t="shared" si="5"/>
        <v>105.97900000000001</v>
      </c>
      <c r="K11" s="362">
        <f t="shared" si="5"/>
        <v>133.67500000000001</v>
      </c>
      <c r="L11" s="363">
        <f t="shared" si="5"/>
        <v>459.07400000000001</v>
      </c>
      <c r="M11" s="362">
        <f t="shared" si="5"/>
        <v>112.20399999999999</v>
      </c>
      <c r="N11" s="362">
        <f t="shared" si="5"/>
        <v>107.81</v>
      </c>
      <c r="O11" s="362">
        <f t="shared" si="5"/>
        <v>102.833</v>
      </c>
      <c r="P11" s="362">
        <f t="shared" si="5"/>
        <v>122.97699999999999</v>
      </c>
      <c r="Q11" s="363">
        <f t="shared" si="5"/>
        <v>445.82399999999996</v>
      </c>
      <c r="R11" s="362">
        <f t="shared" si="5"/>
        <v>231.78899999999999</v>
      </c>
      <c r="S11" s="362">
        <f t="shared" si="5"/>
        <v>304.39899999999994</v>
      </c>
      <c r="T11" s="362">
        <f t="shared" si="5"/>
        <v>427.68699999999995</v>
      </c>
      <c r="U11" s="362">
        <f t="shared" si="5"/>
        <v>414.60199999999998</v>
      </c>
      <c r="V11" s="363">
        <f t="shared" si="5"/>
        <v>1378.4769999999999</v>
      </c>
      <c r="W11" s="362">
        <f t="shared" si="5"/>
        <v>439.66399999999999</v>
      </c>
      <c r="X11" s="362">
        <f t="shared" si="5"/>
        <v>457.64199999999994</v>
      </c>
      <c r="Y11" s="362">
        <f t="shared" si="5"/>
        <v>597.02699999999993</v>
      </c>
      <c r="Z11" s="362">
        <f t="shared" si="5"/>
        <v>610.41199999999992</v>
      </c>
      <c r="AA11" s="363">
        <f>SUM(AA4,AA5,AA9,AA10)</f>
        <v>2104.7449999999999</v>
      </c>
      <c r="AB11" s="362">
        <f>SUM(AB4,AB5,AB9,AB10)</f>
        <v>625.74</v>
      </c>
      <c r="AC11" s="362">
        <f>SUM(AC4,AC5,AC9,AC10)</f>
        <v>665.7</v>
      </c>
      <c r="AD11" s="362">
        <f>SUM(AD4,AD5,AD9,AD10)</f>
        <v>725.78800000000001</v>
      </c>
      <c r="AE11" s="362">
        <f t="shared" si="5"/>
        <v>802.32900000000006</v>
      </c>
      <c r="AF11" s="363">
        <f>SUM(AF4,AF5,AF9,AF10)</f>
        <v>2819.5569999999998</v>
      </c>
      <c r="AG11" s="362">
        <f>SUM(AG4,AG5,AG9,AG10)</f>
        <v>870.298</v>
      </c>
      <c r="AH11" s="362">
        <f>SUM(AH4,AH5,AH9,AH10)</f>
        <v>998.61699999999996</v>
      </c>
      <c r="AI11" s="362">
        <f>SUM(AI4,AI5,AI9,AI10)</f>
        <v>1137.422</v>
      </c>
      <c r="AJ11" s="362">
        <f t="shared" ref="AJ11:AL11" si="6">SUM(AJ4,AJ5,AJ9,AJ10)</f>
        <v>1097.3909999999998</v>
      </c>
      <c r="AK11" s="363">
        <f>SUM(AK4,AK5,AK9,AK10)</f>
        <v>4103.7280000000001</v>
      </c>
      <c r="AL11" s="362">
        <f t="shared" si="6"/>
        <v>1200.8490000000002</v>
      </c>
      <c r="AM11" s="362">
        <f t="shared" ref="AM11:AT11" si="7">SUM(AM4,AM5,AM9,AM10)</f>
        <v>1212.6289999999999</v>
      </c>
      <c r="AN11" s="362">
        <f t="shared" si="7"/>
        <v>1220.1219999999998</v>
      </c>
      <c r="AO11" s="362">
        <f t="shared" si="7"/>
        <v>1226.827</v>
      </c>
      <c r="AP11" s="363">
        <f>SUM(AP4,AP5,AP9,AP10)</f>
        <v>4860.4269999999997</v>
      </c>
      <c r="AQ11" s="930">
        <f t="shared" si="7"/>
        <v>1319.0509999999999</v>
      </c>
      <c r="AR11" s="930">
        <f t="shared" si="7"/>
        <v>1470.116</v>
      </c>
      <c r="AS11" s="930">
        <f t="shared" si="7"/>
        <v>1500.704</v>
      </c>
      <c r="AT11" s="930">
        <f t="shared" si="7"/>
        <v>1582.674</v>
      </c>
      <c r="AU11" s="363">
        <f>SUM(AU4,AU5,AU9,AU10)</f>
        <v>5872.5450000000001</v>
      </c>
      <c r="AV11" s="930">
        <f t="shared" ref="AV11:AY11" si="8">SUM(AV4,AV5,AV9,AV10)</f>
        <v>1383.7858262079865</v>
      </c>
      <c r="AW11" s="930">
        <f t="shared" si="8"/>
        <v>1498.5511992964205</v>
      </c>
      <c r="AX11" s="930">
        <f t="shared" si="8"/>
        <v>1578.3149027702868</v>
      </c>
      <c r="AY11" s="930">
        <f t="shared" si="8"/>
        <v>1748.2177147251775</v>
      </c>
      <c r="AZ11" s="363">
        <f>SUM(AZ4,AZ5,AZ9,AZ10)</f>
        <v>6208.8696429998708</v>
      </c>
      <c r="BA11" s="153">
        <f t="shared" ref="BA11:BI11" si="9">BA10</f>
        <v>0</v>
      </c>
      <c r="BB11" s="153">
        <f t="shared" si="9"/>
        <v>0</v>
      </c>
      <c r="BC11" s="153">
        <f t="shared" si="9"/>
        <v>0</v>
      </c>
      <c r="BD11" s="153">
        <f t="shared" si="9"/>
        <v>0</v>
      </c>
      <c r="BE11" s="363">
        <f>SUM(BE4,BE5,BE9,BE10)</f>
        <v>6586.3881910779664</v>
      </c>
      <c r="BF11" s="153">
        <f t="shared" si="9"/>
        <v>0</v>
      </c>
      <c r="BG11" s="153">
        <f t="shared" si="9"/>
        <v>0</v>
      </c>
      <c r="BH11" s="153">
        <f t="shared" si="9"/>
        <v>0</v>
      </c>
      <c r="BI11" s="153">
        <f t="shared" si="9"/>
        <v>0</v>
      </c>
      <c r="BJ11" s="363">
        <f>SUM(BJ4,BJ5,BJ9,BJ10)</f>
        <v>7355.5650095406054</v>
      </c>
      <c r="BK11" s="1013"/>
      <c r="BL11" s="1013"/>
      <c r="BM11" s="1013"/>
      <c r="BN11" s="1013"/>
      <c r="BO11" s="363">
        <f>SUM(BO4,BO5,BO9,BO10)</f>
        <v>7907.2175928118804</v>
      </c>
      <c r="BT11" s="363">
        <f>SUM(BT4,BT5,BT9,BT10)</f>
        <v>8584.4602968607178</v>
      </c>
      <c r="BY11" s="363">
        <f>SUM(BY4,BY5,BY9,BY10)</f>
        <v>9110.5954639288284</v>
      </c>
      <c r="CD11" s="363">
        <f>SUM(CD4,CD5,CD9,CD10)</f>
        <v>9578.6272112438637</v>
      </c>
      <c r="CI11" s="363">
        <f>SUM(CI4,CI5,CI9,CI10)</f>
        <v>10051.211119278447</v>
      </c>
      <c r="CN11" s="363">
        <f>SUM(CN4,CN5,CN9,CN10)</f>
        <v>10063.104028786147</v>
      </c>
      <c r="CS11" s="363">
        <f>SUM(CS4,CS5,CS9,CS10)</f>
        <v>9888.248631976774</v>
      </c>
      <c r="CX11" s="363">
        <f>SUM(CX4,CX5,CX9,CX10)</f>
        <v>10021.581589117508</v>
      </c>
      <c r="DC11" s="363">
        <f>SUM(DC4,DC5,DC9,DC10)</f>
        <v>9608.6052006285609</v>
      </c>
      <c r="DH11" s="363">
        <f>SUM(DH4,DH5,DH9,DH10)</f>
        <v>9761.9068035321106</v>
      </c>
      <c r="DJ11"/>
      <c r="DK11"/>
      <c r="DL11"/>
      <c r="DM11"/>
      <c r="DN11"/>
      <c r="DO11"/>
    </row>
    <row r="12" spans="1:122" ht="12.75" customHeight="1">
      <c r="A12" s="139"/>
      <c r="B12" s="846" t="s">
        <v>5</v>
      </c>
      <c r="C12" s="849"/>
      <c r="D12" s="849"/>
      <c r="E12" s="849"/>
      <c r="F12" s="849"/>
      <c r="G12" s="849"/>
      <c r="H12" s="849"/>
      <c r="I12" s="849"/>
      <c r="J12" s="849"/>
      <c r="K12" s="849"/>
      <c r="L12" s="849"/>
      <c r="M12" s="849"/>
      <c r="N12" s="849"/>
      <c r="O12" s="849"/>
      <c r="P12" s="849"/>
      <c r="Q12" s="849"/>
      <c r="R12" s="849"/>
      <c r="S12" s="849"/>
      <c r="T12" s="849"/>
      <c r="U12" s="849"/>
      <c r="V12" s="849"/>
      <c r="W12" s="849"/>
      <c r="X12" s="849"/>
      <c r="Y12" s="849"/>
      <c r="Z12" s="849"/>
      <c r="AA12" s="849"/>
      <c r="AB12" s="850"/>
      <c r="AC12" s="850"/>
      <c r="AD12" s="850"/>
      <c r="AE12" s="850"/>
      <c r="AF12" s="850"/>
      <c r="AG12" s="850"/>
      <c r="AH12" s="850"/>
      <c r="AI12" s="850"/>
      <c r="AJ12" s="850"/>
      <c r="AK12" s="850"/>
      <c r="AL12" s="850"/>
      <c r="AM12" s="850"/>
      <c r="AN12" s="850"/>
      <c r="AO12" s="850"/>
      <c r="AP12" s="850"/>
      <c r="AQ12" s="850"/>
      <c r="AR12" s="850"/>
      <c r="AS12" s="850"/>
      <c r="AT12" s="850"/>
      <c r="AU12" s="850"/>
      <c r="AV12" s="850" t="e">
        <f ca="1">_xll.TR($DR$1,"TR.RevenueMean","Period=#1 Curn=#2 Scale=6 Null=-",,LEFT(AV2,1)&amp;"CQ20"&amp;MID(AV2,3,2),$DR$2)</f>
        <v>#NAME?</v>
      </c>
      <c r="AW12" s="850" t="e">
        <f ca="1">_xll.TR($DR$1,"TR.RevenueMean","Period=#1 Curn=#2 Scale=6 Null=-",,LEFT(AW2,1)&amp;"CQ20"&amp;MID(AW2,3,2),$DR$2)</f>
        <v>#NAME?</v>
      </c>
      <c r="AX12" s="850" t="e">
        <f ca="1">_xll.TR($DR$1,"TR.RevenueMean","Period=#1 Curn=#2 Scale=6 Null=-",,LEFT(AX2,1)&amp;"CQ20"&amp;MID(AX2,3,2),$DR$2)</f>
        <v>#NAME?</v>
      </c>
      <c r="AY12" s="850" t="e">
        <f ca="1">_xll.TR($DR$1,"TR.RevenueMean","Period=#1 Curn=#2 Scale=6 Null=-",,LEFT(AY2,1)&amp;"CQ20"&amp;MID(AY2,3,2),$DR$2)</f>
        <v>#NAME?</v>
      </c>
      <c r="AZ12" s="850" t="e">
        <f ca="1">_xll.TR($DR$1,"Avail(TR.RevenueMean(Methodology=WeightedAnnual),TR.RevenueMean(Methodology=InterimSum))","Period=#1 Curn=#2 Scale=6 Null=-",,"CY"&amp;LEFT(AZ2,4),$DR$2)</f>
        <v>#NAME?</v>
      </c>
      <c r="BA12" s="364"/>
      <c r="BB12" s="364"/>
      <c r="BC12" s="364"/>
      <c r="BD12" s="364"/>
      <c r="BE12" s="850" t="e">
        <f ca="1">_xll.TR($DR$1,"Avail(TR.RevenueMean(Methodology=WeightedAnnual),TR.RevenueMean(Methodology=InterimSum))","Period=#1 Curn=#2 Scale=6 Null=-",,"CY"&amp;LEFT(BE2,4),$DR$2)</f>
        <v>#NAME?</v>
      </c>
      <c r="BF12" s="364"/>
      <c r="BG12" s="365"/>
      <c r="BH12" s="365"/>
      <c r="BI12" s="365"/>
      <c r="BJ12" s="850" t="e">
        <f ca="1">_xll.TR($DR$1,"Avail(TR.RevenueMean(Methodology=WeightedAnnual),TR.RevenueMean(Methodology=InterimSum))","Period=#1 Curn=#2 Scale=6 Null=-",,"CY"&amp;LEFT(BJ2,4),$DR$2)</f>
        <v>#NAME?</v>
      </c>
      <c r="BK12" s="365"/>
      <c r="BL12" s="365"/>
      <c r="BM12" s="365"/>
      <c r="BN12" s="365"/>
      <c r="BO12" s="365"/>
      <c r="BT12" s="365"/>
      <c r="BY12" s="365"/>
      <c r="CD12" s="365"/>
      <c r="CI12" s="365"/>
      <c r="CN12" s="365"/>
      <c r="CS12" s="365"/>
      <c r="CX12" s="365"/>
      <c r="DC12" s="365"/>
      <c r="DH12" s="365"/>
    </row>
    <row r="13" spans="1:122" s="143" customFormat="1" ht="12.75" customHeight="1">
      <c r="A13" s="139"/>
      <c r="B13" s="129" t="s">
        <v>6</v>
      </c>
      <c r="C13" s="359">
        <v>0.39200000000000002</v>
      </c>
      <c r="D13" s="359">
        <v>0.435</v>
      </c>
      <c r="E13" s="359">
        <v>0.47199999999999998</v>
      </c>
      <c r="F13" s="359">
        <v>0.38700000000000001</v>
      </c>
      <c r="G13" s="360">
        <v>1.6859999999999999</v>
      </c>
      <c r="H13" s="359">
        <v>0.71699999999999997</v>
      </c>
      <c r="I13" s="359">
        <v>0.40500000000000003</v>
      </c>
      <c r="J13" s="359">
        <v>0.372</v>
      </c>
      <c r="K13" s="359">
        <v>0.59899999999999998</v>
      </c>
      <c r="L13" s="151">
        <f>K13+J13+I13+H13</f>
        <v>2.093</v>
      </c>
      <c r="M13" s="359">
        <v>0.38200000000000001</v>
      </c>
      <c r="N13" s="359">
        <v>0.39500000000000002</v>
      </c>
      <c r="O13" s="359">
        <v>0.45</v>
      </c>
      <c r="P13" s="359">
        <v>2.9889999999999999</v>
      </c>
      <c r="Q13" s="151">
        <f>SUM(M13:P13)</f>
        <v>4.2160000000000002</v>
      </c>
      <c r="R13" s="361">
        <f>12.298-R55</f>
        <v>12.186999999999999</v>
      </c>
      <c r="S13" s="361">
        <f>21.843-S55</f>
        <v>21.451999999999998</v>
      </c>
      <c r="T13" s="361">
        <f>20.145-T55</f>
        <v>19.995000000000001</v>
      </c>
      <c r="U13" s="361">
        <f>30.169-U55</f>
        <v>29.747</v>
      </c>
      <c r="V13" s="151">
        <f>SUM(R13:U13)</f>
        <v>83.381</v>
      </c>
      <c r="W13" s="361">
        <f>29.055-W55-W14</f>
        <v>27.537999999999997</v>
      </c>
      <c r="X13" s="361">
        <f>27.283-X55</f>
        <v>26.907</v>
      </c>
      <c r="Y13" s="361">
        <f>28.253-Y55</f>
        <v>27.88</v>
      </c>
      <c r="Z13" s="361">
        <f>34.491-Z55</f>
        <v>33.81</v>
      </c>
      <c r="AA13" s="156">
        <f>SUM(W13:Z13)</f>
        <v>116.13499999999999</v>
      </c>
      <c r="AB13" s="359">
        <f>27.473-AB55</f>
        <v>26.956</v>
      </c>
      <c r="AC13" s="359">
        <f>29.945-AC55</f>
        <v>29.414000000000001</v>
      </c>
      <c r="AD13" s="359">
        <f>33.655-AD55</f>
        <v>32.758000000000003</v>
      </c>
      <c r="AE13" s="359">
        <f>37.957-AE55</f>
        <v>37.213000000000001</v>
      </c>
      <c r="AF13" s="156">
        <f>SUM(AB13:AE13)</f>
        <v>126.34100000000001</v>
      </c>
      <c r="AG13" s="359">
        <f>42.57-AG55</f>
        <v>40.488</v>
      </c>
      <c r="AH13" s="359">
        <f>60.855-AH55</f>
        <v>58.802</v>
      </c>
      <c r="AI13" s="359">
        <f>67.199-AI55</f>
        <v>64.628</v>
      </c>
      <c r="AJ13" s="359">
        <f>71.078-AJ55</f>
        <v>67.469000000000008</v>
      </c>
      <c r="AK13" s="156">
        <f>SUM(AG13:AJ13)</f>
        <v>231.387</v>
      </c>
      <c r="AL13" s="359">
        <f>78.942-AL55</f>
        <v>74.875999999999991</v>
      </c>
      <c r="AM13" s="359">
        <f>41.247-AM55</f>
        <v>36.603000000000002</v>
      </c>
      <c r="AN13" s="359">
        <f>29.901-AN55</f>
        <v>28.463000000000001</v>
      </c>
      <c r="AO13" s="359">
        <f>44.534-AO55</f>
        <v>39.034999999999997</v>
      </c>
      <c r="AP13" s="156">
        <f>SUM(AL13:AO13)</f>
        <v>178.97699999999998</v>
      </c>
      <c r="AQ13" s="973">
        <f>61.253-AQ55</f>
        <v>54.798999999999999</v>
      </c>
      <c r="AR13" s="973">
        <f>42.133-AR55</f>
        <v>35.111000000000004</v>
      </c>
      <c r="AS13" s="973">
        <f>46.388-AS55</f>
        <v>39.085999999999999</v>
      </c>
      <c r="AT13" s="973">
        <f>52.733-AT55</f>
        <v>46.506999999999998</v>
      </c>
      <c r="AU13" s="156">
        <f>Eylea!AK11+REVS!AU6*0.08</f>
        <v>175.50299999999999</v>
      </c>
      <c r="AV13" s="933">
        <v>40</v>
      </c>
      <c r="AW13" s="933">
        <v>45</v>
      </c>
      <c r="AX13" s="933">
        <v>65</v>
      </c>
      <c r="AY13" s="933">
        <f>AZ13-SUM(AV13:AX13)</f>
        <v>88.5206777725856</v>
      </c>
      <c r="AZ13" s="156">
        <f>Eylea!AP11+REVS!AZ6*0.08+IO_Antibodies!Q32</f>
        <v>238.5206777725856</v>
      </c>
      <c r="BA13" s="145"/>
      <c r="BB13" s="145"/>
      <c r="BC13" s="145"/>
      <c r="BD13" s="145"/>
      <c r="BE13" s="156">
        <f>Eylea!AU11+REVS!BE6*0.08+IO_Antibodies!V32</f>
        <v>315.19218610114854</v>
      </c>
      <c r="BF13" s="145"/>
      <c r="BG13" s="147"/>
      <c r="BH13" s="147"/>
      <c r="BI13" s="147"/>
      <c r="BJ13" s="156">
        <f>Eylea!AZ11+REVS!BJ6*0.08+IO_Antibodies!AA32</f>
        <v>501.15183467713547</v>
      </c>
      <c r="BK13" s="156"/>
      <c r="BL13" s="156"/>
      <c r="BM13" s="156"/>
      <c r="BN13" s="156"/>
      <c r="BO13" s="156">
        <f>Eylea!BE11+REVS!BO6*0.08+IO_Antibodies!AF32</f>
        <v>543.98078385894405</v>
      </c>
      <c r="BP13" s="156"/>
      <c r="BQ13" s="156"/>
      <c r="BR13" s="156"/>
      <c r="BS13" s="156"/>
      <c r="BT13" s="156">
        <f>Eylea!BJ11+REVS!BT6*0.08+IO_Antibodies!AK32</f>
        <v>552.06897776894812</v>
      </c>
      <c r="BU13" s="156"/>
      <c r="BV13" s="156"/>
      <c r="BW13" s="156"/>
      <c r="BX13" s="156"/>
      <c r="BY13" s="156">
        <f>Eylea!BO11+REVS!BY6*0.08+IO_Antibodies!AP32</f>
        <v>556.95575973666951</v>
      </c>
      <c r="BZ13" s="156"/>
      <c r="CA13" s="156"/>
      <c r="CB13" s="156"/>
      <c r="CC13" s="156"/>
      <c r="CD13" s="156">
        <f>Eylea!BT11+REVS!CD6*0.08+IO_Antibodies!AU32</f>
        <v>565.65420262174041</v>
      </c>
      <c r="CE13" s="156"/>
      <c r="CF13" s="156"/>
      <c r="CG13" s="156"/>
      <c r="CH13" s="156"/>
      <c r="CI13" s="156">
        <f>Eylea!BY11+REVS!CI6*0.08+IO_Antibodies!AZ32</f>
        <v>573.91838582315324</v>
      </c>
      <c r="CJ13" s="156"/>
      <c r="CK13" s="156"/>
      <c r="CL13" s="156"/>
      <c r="CM13" s="156"/>
      <c r="CN13" s="156">
        <f>Eylea!CD11+REVS!CN6*0.08+IO_Antibodies!BE32</f>
        <v>568.02985110789405</v>
      </c>
      <c r="CO13" s="156"/>
      <c r="CP13" s="156"/>
      <c r="CQ13" s="156"/>
      <c r="CR13" s="156"/>
      <c r="CS13" s="156">
        <f>Eylea!CI11+REVS!CS6*0.08+IO_Antibodies!BJ32</f>
        <v>563.06729097033599</v>
      </c>
      <c r="CT13" s="156"/>
      <c r="CU13" s="156"/>
      <c r="CV13" s="156"/>
      <c r="CW13" s="156"/>
      <c r="CX13" s="156">
        <f>Eylea!CN11+REVS!CX6*0.08+IO_Antibodies!BO32</f>
        <v>555.88949919721392</v>
      </c>
      <c r="CY13" s="156"/>
      <c r="CZ13" s="156"/>
      <c r="DA13" s="156"/>
      <c r="DB13" s="156"/>
      <c r="DC13" s="156">
        <f>Eylea!CS11+REVS!DC6*0.08+IO_Antibodies!BT32</f>
        <v>546.2443499348301</v>
      </c>
      <c r="DD13" s="156"/>
      <c r="DE13" s="156"/>
      <c r="DF13" s="156"/>
      <c r="DG13" s="156"/>
      <c r="DH13" s="156">
        <f>Eylea!CX11+REVS!DH6*0.08+IO_Antibodies!BY32</f>
        <v>568.39239500095027</v>
      </c>
      <c r="DJ13"/>
      <c r="DK13"/>
      <c r="DL13"/>
      <c r="DM13"/>
      <c r="DN13"/>
      <c r="DO13"/>
    </row>
    <row r="14" spans="1:122" s="143" customFormat="1" ht="12.75" customHeight="1">
      <c r="A14" s="139"/>
      <c r="B14" s="129" t="s">
        <v>596</v>
      </c>
      <c r="C14" s="366"/>
      <c r="D14" s="366"/>
      <c r="E14" s="366"/>
      <c r="F14" s="366"/>
      <c r="G14" s="151"/>
      <c r="H14" s="366"/>
      <c r="I14" s="366"/>
      <c r="J14" s="366"/>
      <c r="K14" s="366"/>
      <c r="L14" s="151"/>
      <c r="M14" s="366"/>
      <c r="N14" s="366"/>
      <c r="O14" s="366"/>
      <c r="P14" s="366"/>
      <c r="Q14" s="151"/>
      <c r="R14" s="361"/>
      <c r="S14" s="361"/>
      <c r="T14" s="361"/>
      <c r="U14" s="361"/>
      <c r="V14" s="151"/>
      <c r="W14" s="359">
        <f>13.364-X14</f>
        <v>1.0340000000000007</v>
      </c>
      <c r="X14" s="359">
        <v>12.33</v>
      </c>
      <c r="Y14" s="359">
        <v>10.32</v>
      </c>
      <c r="Z14" s="359">
        <v>13.622999999999999</v>
      </c>
      <c r="AA14" s="156">
        <f>SUM(W14:Z14)</f>
        <v>37.307000000000002</v>
      </c>
      <c r="AB14" s="359">
        <v>16.099</v>
      </c>
      <c r="AC14" s="359">
        <v>16.434000000000001</v>
      </c>
      <c r="AD14" s="359">
        <v>21.937999999999999</v>
      </c>
      <c r="AE14" s="359">
        <v>21.516999999999999</v>
      </c>
      <c r="AF14" s="156">
        <f>SUM(AB14:AE14)</f>
        <v>75.988</v>
      </c>
      <c r="AG14" s="359">
        <v>41.384999999999998</v>
      </c>
      <c r="AH14" s="359">
        <v>27.984999999999999</v>
      </c>
      <c r="AI14" s="359">
        <v>41.884</v>
      </c>
      <c r="AJ14" s="359">
        <v>39.753</v>
      </c>
      <c r="AK14" s="156">
        <f>SUM(AG14:AJ14)</f>
        <v>151.00700000000001</v>
      </c>
      <c r="AL14" s="359">
        <f>32.81</f>
        <v>32.81</v>
      </c>
      <c r="AM14" s="359">
        <f>27.786</f>
        <v>27.786000000000001</v>
      </c>
      <c r="AN14" s="359">
        <f>14.327</f>
        <v>14.327</v>
      </c>
      <c r="AO14" s="359">
        <f>30.147</f>
        <v>30.146999999999998</v>
      </c>
      <c r="AP14" s="156">
        <f>SUM(AL14:AO14)</f>
        <v>105.07</v>
      </c>
      <c r="AQ14" s="973">
        <f>22.915</f>
        <v>22.914999999999999</v>
      </c>
      <c r="AR14" s="973">
        <f>60.788</f>
        <v>60.787999999999997</v>
      </c>
      <c r="AS14" s="973">
        <f>57.844</f>
        <v>57.844000000000001</v>
      </c>
      <c r="AT14" s="973">
        <v>53.006999999999998</v>
      </c>
      <c r="AU14" s="156">
        <f>SUM(AQ14:AT14)</f>
        <v>194.554</v>
      </c>
      <c r="AV14" s="933">
        <v>30</v>
      </c>
      <c r="AW14" s="933">
        <f>AV14*1.025</f>
        <v>30.749999999999996</v>
      </c>
      <c r="AX14" s="933">
        <f>AW14*1.025</f>
        <v>31.518749999999994</v>
      </c>
      <c r="AY14" s="933">
        <f>AZ14-SUM(AV14:AX14)</f>
        <v>39.248190977170069</v>
      </c>
      <c r="AZ14" s="156">
        <f>Eylea!AP107+Zaltrap!AK29+65</f>
        <v>131.51694097717007</v>
      </c>
      <c r="BA14" s="145"/>
      <c r="BB14" s="145"/>
      <c r="BC14" s="145"/>
      <c r="BD14" s="145"/>
      <c r="BE14" s="156">
        <f>Eylea!AU107+Zaltrap!AP29</f>
        <v>87.969680664684788</v>
      </c>
      <c r="BF14" s="145"/>
      <c r="BG14" s="147"/>
      <c r="BH14" s="147"/>
      <c r="BI14" s="147"/>
      <c r="BJ14" s="156">
        <f>Eylea!AZ107+Zaltrap!AU29</f>
        <v>114.41030447155022</v>
      </c>
      <c r="BK14" s="156"/>
      <c r="BL14" s="156"/>
      <c r="BM14" s="156"/>
      <c r="BN14" s="156"/>
      <c r="BO14" s="156">
        <f>Eylea!BE107</f>
        <v>143.42946634328939</v>
      </c>
      <c r="BP14" s="156"/>
      <c r="BQ14" s="156"/>
      <c r="BR14" s="156"/>
      <c r="BS14" s="156"/>
      <c r="BT14" s="156">
        <f>Eylea!BJ107</f>
        <v>179.01849997639522</v>
      </c>
      <c r="BU14" s="156"/>
      <c r="BV14" s="156"/>
      <c r="BW14" s="156"/>
      <c r="BX14" s="156"/>
      <c r="BY14" s="156">
        <f>Eylea!BO107</f>
        <v>209.91639229524264</v>
      </c>
      <c r="BZ14" s="156"/>
      <c r="CA14" s="156"/>
      <c r="CB14" s="156"/>
      <c r="CC14" s="156"/>
      <c r="CD14" s="156">
        <f>Eylea!BT107</f>
        <v>237.90766600788936</v>
      </c>
      <c r="CE14" s="156"/>
      <c r="CF14" s="156"/>
      <c r="CG14" s="156"/>
      <c r="CH14" s="156"/>
      <c r="CI14" s="156">
        <f>Eylea!BY107</f>
        <v>262.48705194491288</v>
      </c>
      <c r="CJ14" s="156"/>
      <c r="CK14" s="156"/>
      <c r="CL14" s="156"/>
      <c r="CM14" s="156"/>
      <c r="CN14" s="156">
        <f>Eylea!CD107</f>
        <v>280.23331173472974</v>
      </c>
      <c r="CO14" s="156"/>
      <c r="CP14" s="156"/>
      <c r="CQ14" s="156"/>
      <c r="CR14" s="156"/>
      <c r="CS14" s="156">
        <f>Eylea!CI107</f>
        <v>286.34329455639318</v>
      </c>
      <c r="CT14" s="156"/>
      <c r="CU14" s="156"/>
      <c r="CV14" s="156"/>
      <c r="CW14" s="156"/>
      <c r="CX14" s="156">
        <f>Eylea!CN107</f>
        <v>288.86555537558104</v>
      </c>
      <c r="CY14" s="156"/>
      <c r="CZ14" s="156"/>
      <c r="DA14" s="156"/>
      <c r="DB14" s="156"/>
      <c r="DC14" s="156">
        <f>Eylea!CS107</f>
        <v>288.5109764981413</v>
      </c>
      <c r="DD14" s="156"/>
      <c r="DE14" s="156"/>
      <c r="DF14" s="156"/>
      <c r="DG14" s="156"/>
      <c r="DH14" s="156">
        <f>Eylea!CX107</f>
        <v>282.32565840242899</v>
      </c>
      <c r="DJ14"/>
      <c r="DK14"/>
      <c r="DL14"/>
      <c r="DM14"/>
      <c r="DN14"/>
      <c r="DO14"/>
    </row>
    <row r="15" spans="1:122" s="143" customFormat="1" ht="12.75" customHeight="1">
      <c r="A15" s="139" t="s">
        <v>1</v>
      </c>
      <c r="B15" s="129" t="s">
        <v>7</v>
      </c>
      <c r="C15" s="361">
        <f t="shared" ref="C15:U15" si="10">C11-C13</f>
        <v>74.588999999999999</v>
      </c>
      <c r="D15" s="361">
        <f t="shared" si="10"/>
        <v>89.596999999999994</v>
      </c>
      <c r="E15" s="361">
        <f t="shared" si="10"/>
        <v>116.983</v>
      </c>
      <c r="F15" s="361">
        <f t="shared" si="10"/>
        <v>96.412999999999997</v>
      </c>
      <c r="G15" s="151">
        <f t="shared" si="10"/>
        <v>377.58199999999999</v>
      </c>
      <c r="H15" s="361">
        <f t="shared" si="10"/>
        <v>102.81699999999999</v>
      </c>
      <c r="I15" s="361">
        <f t="shared" si="10"/>
        <v>115.48099999999999</v>
      </c>
      <c r="J15" s="361">
        <f t="shared" si="10"/>
        <v>105.60700000000001</v>
      </c>
      <c r="K15" s="361">
        <f t="shared" si="10"/>
        <v>133.07600000000002</v>
      </c>
      <c r="L15" s="151">
        <f t="shared" si="10"/>
        <v>456.98099999999999</v>
      </c>
      <c r="M15" s="361">
        <f t="shared" si="10"/>
        <v>111.82199999999999</v>
      </c>
      <c r="N15" s="361">
        <f t="shared" si="10"/>
        <v>107.41500000000001</v>
      </c>
      <c r="O15" s="361">
        <f t="shared" si="10"/>
        <v>102.383</v>
      </c>
      <c r="P15" s="361">
        <f t="shared" si="10"/>
        <v>119.98799999999999</v>
      </c>
      <c r="Q15" s="151">
        <f t="shared" si="10"/>
        <v>441.60799999999995</v>
      </c>
      <c r="R15" s="361">
        <f t="shared" si="10"/>
        <v>219.60199999999998</v>
      </c>
      <c r="S15" s="361">
        <f t="shared" si="10"/>
        <v>282.94699999999995</v>
      </c>
      <c r="T15" s="361">
        <f t="shared" si="10"/>
        <v>407.69199999999995</v>
      </c>
      <c r="U15" s="361">
        <f t="shared" si="10"/>
        <v>384.85499999999996</v>
      </c>
      <c r="V15" s="157">
        <f>SUM(R15:U15)</f>
        <v>1295.0959999999998</v>
      </c>
      <c r="W15" s="367">
        <f>W11-W13-W14</f>
        <v>411.09199999999998</v>
      </c>
      <c r="X15" s="367">
        <f>X11-X13-X14</f>
        <v>418.40499999999997</v>
      </c>
      <c r="Y15" s="367">
        <f t="shared" ref="Y15:AA15" si="11">Y11-Y13-Y14</f>
        <v>558.82699999999988</v>
      </c>
      <c r="Z15" s="367">
        <f t="shared" si="11"/>
        <v>562.97899999999981</v>
      </c>
      <c r="AA15" s="158">
        <f t="shared" si="11"/>
        <v>1951.3029999999999</v>
      </c>
      <c r="AB15" s="367">
        <f t="shared" ref="AB15:AI15" si="12">AB11-AB13-AB14</f>
        <v>582.68499999999995</v>
      </c>
      <c r="AC15" s="367">
        <f t="shared" si="12"/>
        <v>619.85200000000009</v>
      </c>
      <c r="AD15" s="367">
        <f t="shared" si="12"/>
        <v>671.09199999999998</v>
      </c>
      <c r="AE15" s="367">
        <f t="shared" si="12"/>
        <v>743.59900000000005</v>
      </c>
      <c r="AF15" s="158">
        <f t="shared" si="12"/>
        <v>2617.2280000000001</v>
      </c>
      <c r="AG15" s="367">
        <f t="shared" si="12"/>
        <v>788.42499999999995</v>
      </c>
      <c r="AH15" s="367">
        <f t="shared" si="12"/>
        <v>911.82999999999993</v>
      </c>
      <c r="AI15" s="367">
        <f t="shared" si="12"/>
        <v>1030.9100000000001</v>
      </c>
      <c r="AJ15" s="367">
        <f t="shared" ref="AJ15:AO15" si="13">AJ11-AJ13-AJ14</f>
        <v>990.16899999999976</v>
      </c>
      <c r="AK15" s="158">
        <f>AK11-AK13-AK14</f>
        <v>3721.3339999999998</v>
      </c>
      <c r="AL15" s="367">
        <f t="shared" si="13"/>
        <v>1093.1630000000002</v>
      </c>
      <c r="AM15" s="367">
        <f t="shared" si="13"/>
        <v>1148.2399999999998</v>
      </c>
      <c r="AN15" s="367">
        <f t="shared" si="13"/>
        <v>1177.3319999999999</v>
      </c>
      <c r="AO15" s="367">
        <f t="shared" si="13"/>
        <v>1157.645</v>
      </c>
      <c r="AP15" s="158">
        <f>AP11-AP13-AP14</f>
        <v>4576.38</v>
      </c>
      <c r="AQ15" s="932">
        <f t="shared" ref="AQ15:AT15" si="14">AQ11-AQ13-AQ14</f>
        <v>1241.337</v>
      </c>
      <c r="AR15" s="932">
        <f t="shared" si="14"/>
        <v>1374.2169999999999</v>
      </c>
      <c r="AS15" s="932">
        <f t="shared" si="14"/>
        <v>1403.7739999999999</v>
      </c>
      <c r="AT15" s="932">
        <f t="shared" si="14"/>
        <v>1483.1599999999999</v>
      </c>
      <c r="AU15" s="158">
        <f>AU11-AU13-AU14</f>
        <v>5502.4880000000003</v>
      </c>
      <c r="AV15" s="932">
        <f t="shared" ref="AV15:AY15" si="15">AV11-AV13-AV14</f>
        <v>1313.7858262079865</v>
      </c>
      <c r="AW15" s="932">
        <f t="shared" si="15"/>
        <v>1422.8011992964205</v>
      </c>
      <c r="AX15" s="932">
        <f t="shared" si="15"/>
        <v>1481.7961527702869</v>
      </c>
      <c r="AY15" s="932">
        <f t="shared" si="15"/>
        <v>1620.448845975422</v>
      </c>
      <c r="AZ15" s="158">
        <f>AZ11-AZ13-AZ14</f>
        <v>5838.8320242501159</v>
      </c>
      <c r="BA15" s="158"/>
      <c r="BB15" s="158"/>
      <c r="BC15" s="158"/>
      <c r="BD15" s="158"/>
      <c r="BE15" s="158">
        <f>BE11-BE13-BE14</f>
        <v>6183.2263243121333</v>
      </c>
      <c r="BF15" s="158"/>
      <c r="BG15" s="159"/>
      <c r="BH15" s="159"/>
      <c r="BI15" s="159"/>
      <c r="BJ15" s="158">
        <f>BJ11-BJ13-BJ14</f>
        <v>6740.0028703919197</v>
      </c>
      <c r="BK15" s="158"/>
      <c r="BL15" s="158"/>
      <c r="BM15" s="158"/>
      <c r="BN15" s="158"/>
      <c r="BO15" s="158">
        <f>BO11-BO13-BO14</f>
        <v>7219.8073426096471</v>
      </c>
      <c r="BP15" s="158"/>
      <c r="BQ15" s="158"/>
      <c r="BR15" s="158"/>
      <c r="BS15" s="158"/>
      <c r="BT15" s="158">
        <f>BT11-BT13-BT14</f>
        <v>7853.372819115375</v>
      </c>
      <c r="BU15" s="158"/>
      <c r="BV15" s="158"/>
      <c r="BW15" s="158"/>
      <c r="BX15" s="158"/>
      <c r="BY15" s="158">
        <f>BY11-BY13-BY14</f>
        <v>8343.7233118969161</v>
      </c>
      <c r="BZ15" s="158"/>
      <c r="CA15" s="158"/>
      <c r="CB15" s="158"/>
      <c r="CC15" s="158"/>
      <c r="CD15" s="158">
        <f>CD11-CD13-CD14</f>
        <v>8775.0653426142326</v>
      </c>
      <c r="CE15" s="158"/>
      <c r="CF15" s="158"/>
      <c r="CG15" s="158"/>
      <c r="CH15" s="158"/>
      <c r="CI15" s="158">
        <f>CI11-CI13-CI14</f>
        <v>9214.805681510381</v>
      </c>
      <c r="CJ15" s="158"/>
      <c r="CK15" s="158"/>
      <c r="CL15" s="158"/>
      <c r="CM15" s="158"/>
      <c r="CN15" s="158">
        <f>CN11-CN13-CN14</f>
        <v>9214.8408659435227</v>
      </c>
      <c r="CO15" s="158"/>
      <c r="CP15" s="158"/>
      <c r="CQ15" s="158"/>
      <c r="CR15" s="158"/>
      <c r="CS15" s="158">
        <f>CS11-CS13-CS14</f>
        <v>9038.838046450046</v>
      </c>
      <c r="CT15" s="158"/>
      <c r="CU15" s="158"/>
      <c r="CV15" s="158"/>
      <c r="CW15" s="158"/>
      <c r="CX15" s="158">
        <f>CX11-CX13-CX14</f>
        <v>9176.8265345447126</v>
      </c>
      <c r="CY15" s="158"/>
      <c r="CZ15" s="158"/>
      <c r="DA15" s="158"/>
      <c r="DB15" s="158"/>
      <c r="DC15" s="158">
        <f>DC11-DC13-DC14</f>
        <v>8773.84987419559</v>
      </c>
      <c r="DD15" s="158"/>
      <c r="DE15" s="158"/>
      <c r="DF15" s="158"/>
      <c r="DG15" s="158"/>
      <c r="DH15" s="158">
        <f>DH11-DH13-DH14</f>
        <v>8911.188750128731</v>
      </c>
      <c r="DJ15"/>
      <c r="DK15"/>
      <c r="DL15"/>
      <c r="DM15"/>
      <c r="DN15"/>
      <c r="DO15"/>
    </row>
    <row r="16" spans="1:122" s="143" customFormat="1" ht="12.75" customHeight="1">
      <c r="A16" s="139"/>
      <c r="B16" s="129"/>
      <c r="C16" s="368"/>
      <c r="D16" s="368"/>
      <c r="E16" s="368"/>
      <c r="F16" s="368"/>
      <c r="G16" s="151"/>
      <c r="H16" s="368"/>
      <c r="I16" s="368"/>
      <c r="J16" s="368"/>
      <c r="K16" s="368"/>
      <c r="L16" s="151"/>
      <c r="M16" s="368"/>
      <c r="N16" s="368"/>
      <c r="O16" s="368"/>
      <c r="P16" s="368"/>
      <c r="Q16" s="129"/>
      <c r="R16" s="368"/>
      <c r="S16" s="368"/>
      <c r="T16" s="368"/>
      <c r="U16" s="368"/>
      <c r="V16" s="129"/>
      <c r="W16" s="368"/>
      <c r="X16" s="368"/>
      <c r="Y16" s="368"/>
      <c r="Z16" s="368"/>
      <c r="AA16" s="129"/>
      <c r="AB16" s="368"/>
      <c r="AC16" s="368"/>
      <c r="AD16" s="368"/>
      <c r="AE16" s="368"/>
      <c r="AF16" s="129"/>
      <c r="AG16" s="368"/>
      <c r="AH16" s="368"/>
      <c r="AI16" s="361"/>
      <c r="AJ16" s="361"/>
      <c r="AK16" s="879"/>
      <c r="AL16" s="367"/>
      <c r="AM16" s="368"/>
      <c r="AN16" s="368"/>
      <c r="AO16" s="368"/>
      <c r="AP16" s="151"/>
      <c r="AQ16" s="931"/>
      <c r="AR16" s="931"/>
      <c r="AS16" s="931"/>
      <c r="AT16" s="931"/>
      <c r="AU16" s="869"/>
      <c r="AV16" s="931"/>
      <c r="AW16" s="931"/>
      <c r="AX16" s="931"/>
      <c r="AY16" s="931"/>
      <c r="AZ16" s="869"/>
      <c r="BA16" s="869"/>
      <c r="BB16" s="869"/>
      <c r="BC16" s="869"/>
      <c r="BD16" s="869"/>
      <c r="BE16" s="869"/>
      <c r="BF16" s="869"/>
      <c r="BG16" s="870"/>
      <c r="BH16" s="870"/>
      <c r="BI16" s="870"/>
      <c r="BJ16" s="870"/>
      <c r="BK16" s="870"/>
      <c r="BL16" s="870"/>
      <c r="BM16" s="870"/>
      <c r="BN16" s="870"/>
      <c r="DJ16"/>
      <c r="DK16"/>
      <c r="DL16"/>
      <c r="DM16"/>
      <c r="DN16"/>
      <c r="DO16"/>
    </row>
    <row r="17" spans="1:119" s="143" customFormat="1" ht="12.75" hidden="1" customHeight="1" outlineLevel="1">
      <c r="A17" s="139"/>
      <c r="B17" s="130" t="s">
        <v>841</v>
      </c>
      <c r="C17" s="368"/>
      <c r="D17" s="368"/>
      <c r="E17" s="368"/>
      <c r="F17" s="368"/>
      <c r="G17" s="151"/>
      <c r="H17" s="368"/>
      <c r="I17" s="368"/>
      <c r="J17" s="368"/>
      <c r="K17" s="368"/>
      <c r="L17" s="151"/>
      <c r="M17" s="368"/>
      <c r="N17" s="368"/>
      <c r="O17" s="368"/>
      <c r="P17" s="368"/>
      <c r="Q17" s="129"/>
      <c r="R17" s="368"/>
      <c r="S17" s="368"/>
      <c r="T17" s="368"/>
      <c r="U17" s="368"/>
      <c r="V17" s="129"/>
      <c r="W17" s="368"/>
      <c r="X17" s="368"/>
      <c r="Y17" s="368"/>
      <c r="Z17" s="368"/>
      <c r="AA17" s="129"/>
      <c r="AB17" s="368"/>
      <c r="AC17" s="820"/>
      <c r="AD17" s="820"/>
      <c r="AE17" s="820"/>
      <c r="AF17" s="129"/>
      <c r="AG17" s="361">
        <f>REVS!AG20</f>
        <v>8.4580000000000002</v>
      </c>
      <c r="AH17" s="361">
        <f>REVS!AH20</f>
        <v>27.346</v>
      </c>
      <c r="AI17" s="361">
        <f>REVS!AI20</f>
        <v>53.341000000000001</v>
      </c>
      <c r="AJ17" s="361">
        <f>REVS!AJ20</f>
        <v>68.204999999999998</v>
      </c>
      <c r="AK17" s="151">
        <f>SUM(AG17:AJ17)</f>
        <v>157.35000000000002</v>
      </c>
      <c r="AL17" s="361">
        <f>REVS!AL20</f>
        <v>73.274000000000001</v>
      </c>
      <c r="AM17" s="361">
        <f>REVS!AM20</f>
        <v>85.885000000000005</v>
      </c>
      <c r="AN17" s="361">
        <f>REVS!AN20</f>
        <v>65.703000000000003</v>
      </c>
      <c r="AO17" s="361">
        <f>REVS!AO20</f>
        <v>97.287000000000006</v>
      </c>
      <c r="AP17" s="151">
        <f>SUM(AL17:AO17)</f>
        <v>322.149</v>
      </c>
      <c r="AQ17" s="933">
        <f>REVS!AQ20</f>
        <v>73.558999999999997</v>
      </c>
      <c r="AR17" s="933">
        <f>REVS!AR20</f>
        <v>87.103999999999999</v>
      </c>
      <c r="AS17" s="933">
        <f>REVS!AS20</f>
        <v>90.338999999999999</v>
      </c>
      <c r="AT17" s="933">
        <f>(Antibodies!V11+Antibodies!V28)/2</f>
        <v>172.39354589371985</v>
      </c>
      <c r="AU17" s="151">
        <f>SUM(AQ17:AT17)</f>
        <v>423.39554589371983</v>
      </c>
      <c r="AV17" s="933">
        <f>(Antibodies!X11+Antibodies!X28)/2</f>
        <v>111.25</v>
      </c>
      <c r="AW17" s="933">
        <f>(Antibodies!Y11+Antibodies!Y28)/2</f>
        <v>116.8125</v>
      </c>
      <c r="AX17" s="933">
        <f>(Antibodies!Z11+Antibodies!Z28)/2</f>
        <v>122.65312499999999</v>
      </c>
      <c r="AY17" s="933">
        <f>(Antibodies!AA11+Antibodies!AA28)/2</f>
        <v>156.204375</v>
      </c>
      <c r="AZ17" s="151">
        <f>(Antibodies!AB11+Antibodies!AB28)/2</f>
        <v>506.92</v>
      </c>
      <c r="BA17" s="129"/>
      <c r="BB17" s="129"/>
      <c r="BC17" s="129"/>
      <c r="BD17" s="129"/>
      <c r="BE17" s="151">
        <f>(Antibodies!AG11+Antibodies!AG28)/2</f>
        <v>541.01600000000008</v>
      </c>
      <c r="BF17" s="129"/>
      <c r="BJ17" s="151">
        <f>(Antibodies!AL11+Antibodies!AL28)/2</f>
        <v>510.9769</v>
      </c>
      <c r="BK17" s="151"/>
      <c r="BL17" s="151"/>
      <c r="BM17" s="151"/>
      <c r="BN17" s="151"/>
      <c r="BO17" s="151">
        <f>(Antibodies!AQ11+Antibodies!AQ28)/2</f>
        <v>523.7513224999999</v>
      </c>
      <c r="BT17" s="151">
        <f>(Antibodies!AV11+Antibodies!AV28)/2</f>
        <v>531.78897274999986</v>
      </c>
      <c r="BY17" s="151">
        <f>(Antibodies!BA11+Antibodies!BA28)/2</f>
        <v>540.02756425624989</v>
      </c>
      <c r="CD17" s="151">
        <f>(Antibodies!BF11+Antibodies!BF28)/2</f>
        <v>548.47212055015609</v>
      </c>
      <c r="CI17" s="151">
        <f>(Antibodies!BK11+Antibodies!BK28)/2</f>
        <v>557.12779075140998</v>
      </c>
      <c r="CN17" s="151">
        <f>(Antibodies!BP11+Antibodies!BP28)/2</f>
        <v>565.99985270769514</v>
      </c>
      <c r="CS17" s="151">
        <f>(Antibodies!BU11+Antibodies!BU28)/2</f>
        <v>575.09371621288756</v>
      </c>
      <c r="CX17" s="151">
        <f>(Antibodies!BZ11+Antibodies!BZ28)/2</f>
        <v>584.41492630570963</v>
      </c>
      <c r="DC17" s="151">
        <f>(Antibodies!CE11+Antibodies!CE28)/2</f>
        <v>593.96916665085234</v>
      </c>
      <c r="DH17" s="151">
        <f>(Antibodies!CJ11+Antibodies!CJ28)/2</f>
        <v>603.76226300462361</v>
      </c>
      <c r="DJ17"/>
      <c r="DK17"/>
      <c r="DL17"/>
      <c r="DM17"/>
      <c r="DN17"/>
      <c r="DO17"/>
    </row>
    <row r="18" spans="1:119" s="143" customFormat="1" ht="12.75" hidden="1" customHeight="1" outlineLevel="1">
      <c r="A18" s="139"/>
      <c r="B18" s="130" t="s">
        <v>896</v>
      </c>
      <c r="C18" s="368"/>
      <c r="D18" s="368"/>
      <c r="E18" s="368"/>
      <c r="F18" s="368"/>
      <c r="G18" s="151"/>
      <c r="H18" s="368"/>
      <c r="I18" s="368"/>
      <c r="J18" s="368"/>
      <c r="K18" s="368"/>
      <c r="L18" s="151"/>
      <c r="M18" s="368"/>
      <c r="N18" s="368"/>
      <c r="O18" s="368"/>
      <c r="P18" s="368"/>
      <c r="Q18" s="129"/>
      <c r="R18" s="368"/>
      <c r="S18" s="368"/>
      <c r="T18" s="368"/>
      <c r="U18" s="368"/>
      <c r="V18" s="129"/>
      <c r="W18" s="368"/>
      <c r="X18" s="368"/>
      <c r="Y18" s="368"/>
      <c r="Z18" s="368"/>
      <c r="AA18" s="129"/>
      <c r="AB18" s="368"/>
      <c r="AC18" s="820"/>
      <c r="AD18" s="820"/>
      <c r="AE18" s="820"/>
      <c r="AF18" s="129"/>
      <c r="AG18" s="361"/>
      <c r="AH18" s="361"/>
      <c r="AI18" s="361"/>
      <c r="AJ18" s="361"/>
      <c r="AK18" s="151"/>
      <c r="AL18" s="361"/>
      <c r="AM18" s="361"/>
      <c r="AN18" s="361"/>
      <c r="AO18" s="361"/>
      <c r="AP18" s="151"/>
      <c r="AQ18" s="933"/>
      <c r="AR18" s="933"/>
      <c r="AS18" s="933"/>
      <c r="AT18" s="933"/>
      <c r="AU18" s="151"/>
      <c r="AV18" s="933">
        <f>IO_Antibodies!M33</f>
        <v>0</v>
      </c>
      <c r="AW18" s="933">
        <f>IO_Antibodies!N33</f>
        <v>2.5</v>
      </c>
      <c r="AX18" s="933">
        <f>IO_Antibodies!O33</f>
        <v>15</v>
      </c>
      <c r="AY18" s="933">
        <f>IO_Antibodies!P33</f>
        <v>32.5</v>
      </c>
      <c r="AZ18" s="151">
        <f>IO_Antibodies!Q33</f>
        <v>50</v>
      </c>
      <c r="BA18" s="129">
        <f>IO_Antibodies!R33</f>
        <v>0</v>
      </c>
      <c r="BB18" s="129">
        <f>IO_Antibodies!S33</f>
        <v>0</v>
      </c>
      <c r="BC18" s="129">
        <f>IO_Antibodies!T33</f>
        <v>0</v>
      </c>
      <c r="BD18" s="129">
        <f>IO_Antibodies!U33</f>
        <v>0</v>
      </c>
      <c r="BE18" s="151">
        <f>IO_Antibodies!V33</f>
        <v>62.5</v>
      </c>
      <c r="BF18" s="129">
        <f>IO_Antibodies!W33</f>
        <v>0</v>
      </c>
      <c r="BG18" s="143">
        <f>IO_Antibodies!X33</f>
        <v>0</v>
      </c>
      <c r="BH18" s="143">
        <f>IO_Antibodies!Y33</f>
        <v>0</v>
      </c>
      <c r="BI18" s="143">
        <f>IO_Antibodies!Z33</f>
        <v>0</v>
      </c>
      <c r="BJ18" s="151">
        <f>IO_Antibodies!AA33</f>
        <v>75</v>
      </c>
      <c r="BK18" s="151">
        <f>IO_Antibodies!AB33</f>
        <v>0</v>
      </c>
      <c r="BL18" s="151">
        <f>IO_Antibodies!AC33</f>
        <v>0</v>
      </c>
      <c r="BM18" s="151">
        <f>IO_Antibodies!AD33</f>
        <v>0</v>
      </c>
      <c r="BN18" s="151">
        <f>IO_Antibodies!AE33</f>
        <v>0</v>
      </c>
      <c r="BO18" s="151">
        <f>IO_Antibodies!AF33</f>
        <v>76.5</v>
      </c>
      <c r="BP18" s="143">
        <f>IO_Antibodies!AG33</f>
        <v>0</v>
      </c>
      <c r="BQ18" s="143">
        <f>IO_Antibodies!AH33</f>
        <v>0</v>
      </c>
      <c r="BR18" s="143">
        <f>IO_Antibodies!AI33</f>
        <v>0</v>
      </c>
      <c r="BS18" s="143">
        <f>IO_Antibodies!AJ33</f>
        <v>0</v>
      </c>
      <c r="BT18" s="151">
        <f>IO_Antibodies!AK33</f>
        <v>78.03</v>
      </c>
      <c r="BU18" s="143">
        <f>IO_Antibodies!AL33</f>
        <v>0</v>
      </c>
      <c r="BV18" s="143">
        <f>IO_Antibodies!AM33</f>
        <v>0</v>
      </c>
      <c r="BW18" s="143">
        <f>IO_Antibodies!AN33</f>
        <v>0</v>
      </c>
      <c r="BX18" s="143">
        <f>IO_Antibodies!AO33</f>
        <v>0</v>
      </c>
      <c r="BY18" s="151">
        <f>IO_Antibodies!AP33</f>
        <v>79.590600000000009</v>
      </c>
      <c r="BZ18" s="143">
        <f>IO_Antibodies!AQ33</f>
        <v>0</v>
      </c>
      <c r="CA18" s="143">
        <f>IO_Antibodies!AR33</f>
        <v>0</v>
      </c>
      <c r="CB18" s="143">
        <f>IO_Antibodies!AS33</f>
        <v>0</v>
      </c>
      <c r="CC18" s="143">
        <f>IO_Antibodies!AT33</f>
        <v>0</v>
      </c>
      <c r="CD18" s="151">
        <f>IO_Antibodies!AU33</f>
        <v>81.182412000000014</v>
      </c>
      <c r="CE18" s="143">
        <f>IO_Antibodies!AV33</f>
        <v>0</v>
      </c>
      <c r="CF18" s="143">
        <f>IO_Antibodies!AW33</f>
        <v>0</v>
      </c>
      <c r="CG18" s="143">
        <f>IO_Antibodies!AX33</f>
        <v>0</v>
      </c>
      <c r="CH18" s="143">
        <f>IO_Antibodies!AY33</f>
        <v>0</v>
      </c>
      <c r="CI18" s="151">
        <f>IO_Antibodies!AZ33</f>
        <v>82.806060240000022</v>
      </c>
      <c r="CJ18" s="143">
        <f>IO_Antibodies!BA33</f>
        <v>0</v>
      </c>
      <c r="CK18" s="143">
        <f>IO_Antibodies!BB33</f>
        <v>0</v>
      </c>
      <c r="CL18" s="143">
        <f>IO_Antibodies!BC33</f>
        <v>0</v>
      </c>
      <c r="CM18" s="143">
        <f>IO_Antibodies!BD33</f>
        <v>0</v>
      </c>
      <c r="CN18" s="151">
        <f>IO_Antibodies!BE33</f>
        <v>84.462181444800024</v>
      </c>
      <c r="CO18" s="143">
        <f>IO_Antibodies!BF33</f>
        <v>0</v>
      </c>
      <c r="CP18" s="143">
        <f>IO_Antibodies!BG33</f>
        <v>0</v>
      </c>
      <c r="CQ18" s="143">
        <f>IO_Antibodies!BH33</f>
        <v>0</v>
      </c>
      <c r="CR18" s="143">
        <f>IO_Antibodies!BI33</f>
        <v>0</v>
      </c>
      <c r="CS18" s="151">
        <f>IO_Antibodies!BJ33</f>
        <v>86.151425073696032</v>
      </c>
      <c r="CT18" s="143">
        <f>IO_Antibodies!BK33</f>
        <v>0</v>
      </c>
      <c r="CU18" s="143">
        <f>IO_Antibodies!BL33</f>
        <v>0</v>
      </c>
      <c r="CV18" s="143">
        <f>IO_Antibodies!BM33</f>
        <v>0</v>
      </c>
      <c r="CW18" s="143">
        <f>IO_Antibodies!BN33</f>
        <v>0</v>
      </c>
      <c r="CX18" s="151">
        <f>IO_Antibodies!BO33</f>
        <v>87.874453575169952</v>
      </c>
      <c r="CY18" s="143">
        <f>IO_Antibodies!BP33</f>
        <v>0</v>
      </c>
      <c r="CZ18" s="143">
        <f>IO_Antibodies!BQ33</f>
        <v>0</v>
      </c>
      <c r="DA18" s="143">
        <f>IO_Antibodies!BR33</f>
        <v>0</v>
      </c>
      <c r="DB18" s="143">
        <f>IO_Antibodies!BS33</f>
        <v>0</v>
      </c>
      <c r="DC18" s="151">
        <f>IO_Antibodies!BT33</f>
        <v>89.631942646673352</v>
      </c>
      <c r="DD18" s="143">
        <f>IO_Antibodies!BU33</f>
        <v>0</v>
      </c>
      <c r="DE18" s="143">
        <f>IO_Antibodies!BV33</f>
        <v>0</v>
      </c>
      <c r="DF18" s="143">
        <f>IO_Antibodies!BW33</f>
        <v>0</v>
      </c>
      <c r="DG18" s="143">
        <f>IO_Antibodies!BX33</f>
        <v>0</v>
      </c>
      <c r="DH18" s="151">
        <f>IO_Antibodies!BY33</f>
        <v>91.424581499606816</v>
      </c>
      <c r="DJ18"/>
      <c r="DK18"/>
      <c r="DL18"/>
      <c r="DM18"/>
      <c r="DN18"/>
      <c r="DO18"/>
    </row>
    <row r="19" spans="1:119" s="143" customFormat="1" ht="12.75" hidden="1" customHeight="1" outlineLevel="1">
      <c r="A19" s="139"/>
      <c r="B19" s="160" t="s">
        <v>221</v>
      </c>
      <c r="C19" s="368"/>
      <c r="D19" s="368"/>
      <c r="E19" s="368"/>
      <c r="F19" s="368"/>
      <c r="G19" s="150"/>
      <c r="H19" s="366"/>
      <c r="I19" s="366"/>
      <c r="J19" s="366"/>
      <c r="K19" s="368"/>
      <c r="L19" s="150"/>
      <c r="M19" s="366"/>
      <c r="N19" s="366"/>
      <c r="O19" s="366"/>
      <c r="P19" s="366"/>
      <c r="Q19" s="360">
        <f>Q21-Q20</f>
        <v>23.945999999999998</v>
      </c>
      <c r="R19" s="359">
        <v>21</v>
      </c>
      <c r="S19" s="359">
        <v>23</v>
      </c>
      <c r="T19" s="359">
        <v>25</v>
      </c>
      <c r="U19" s="359">
        <f>V19-R19-S19-T19</f>
        <v>29.006</v>
      </c>
      <c r="V19" s="360">
        <f t="shared" ref="V19:AA19" si="16">V21-V20</f>
        <v>98.006</v>
      </c>
      <c r="W19" s="369">
        <f t="shared" si="16"/>
        <v>31.473000000000006</v>
      </c>
      <c r="X19" s="369">
        <f t="shared" si="16"/>
        <v>35.918999999999997</v>
      </c>
      <c r="Y19" s="369">
        <f t="shared" si="16"/>
        <v>60.192999999999998</v>
      </c>
      <c r="Z19" s="369">
        <f t="shared" si="16"/>
        <v>41.012999999999991</v>
      </c>
      <c r="AA19" s="370">
        <f t="shared" si="16"/>
        <v>168.59799999999996</v>
      </c>
      <c r="AB19" s="369">
        <f>AB21-AB20</f>
        <v>46.262999999999991</v>
      </c>
      <c r="AC19" s="369">
        <f>AC21-AC20</f>
        <v>51.247</v>
      </c>
      <c r="AD19" s="369">
        <f>AD21-AD20</f>
        <v>57.22999999999999</v>
      </c>
      <c r="AE19" s="369">
        <f>AE21-AE20</f>
        <v>89.211999999999989</v>
      </c>
      <c r="AF19" s="156">
        <f>SUM(AB19:AE19)</f>
        <v>243.95199999999997</v>
      </c>
      <c r="AG19" s="361">
        <f>AG21-AG17-AG20</f>
        <v>73.358000000000018</v>
      </c>
      <c r="AH19" s="361">
        <f>AH21-AH17-AH20</f>
        <v>70.082999999999998</v>
      </c>
      <c r="AI19" s="361">
        <f>AI21-AI17-AI20</f>
        <v>70.170999999999992</v>
      </c>
      <c r="AJ19" s="361">
        <f>AJ21-AJ17-AJ20</f>
        <v>79.537000000000035</v>
      </c>
      <c r="AK19" s="151">
        <f>SUM(AG19:AJ19)</f>
        <v>293.14900000000006</v>
      </c>
      <c r="AL19" s="361">
        <f>AL21-AL17-AL20</f>
        <v>96.321000000000026</v>
      </c>
      <c r="AM19" s="361">
        <f>AM21-AM17-AM20</f>
        <v>98.423000000000002</v>
      </c>
      <c r="AN19" s="361">
        <f>AN21-AN17-AN20</f>
        <v>94.973000000000013</v>
      </c>
      <c r="AO19" s="361">
        <f>AO21-AO17-AO20</f>
        <v>94.647999999999996</v>
      </c>
      <c r="AP19" s="151">
        <f>SUM(AL19:AO19)</f>
        <v>384.36500000000001</v>
      </c>
      <c r="AQ19" s="933">
        <f>AQ21-AQ17-AQ20</f>
        <v>99.474999999999994</v>
      </c>
      <c r="AR19" s="933">
        <f>AR21-AR17-AR20</f>
        <v>100.09600000000006</v>
      </c>
      <c r="AS19" s="933">
        <f>AS21-AS17-AS20</f>
        <v>88.755000000000052</v>
      </c>
      <c r="AT19" s="933">
        <f>AU19-AQ19-AR19-AS19</f>
        <v>115.25724999999989</v>
      </c>
      <c r="AU19" s="151">
        <f>AP19*1.05</f>
        <v>403.58325000000002</v>
      </c>
      <c r="AV19" s="933">
        <f>AZ19*0.2</f>
        <v>92.330983000000003</v>
      </c>
      <c r="AW19" s="933">
        <f>AZ19*0.22</f>
        <v>101.5640813</v>
      </c>
      <c r="AX19" s="933">
        <f>AZ19*0.25</f>
        <v>115.41372875</v>
      </c>
      <c r="AY19" s="933">
        <f>AZ19-SUM(AV19:AX19)</f>
        <v>152.34612195</v>
      </c>
      <c r="AZ19" s="151">
        <f>AU19*1.02+50</f>
        <v>461.65491500000002</v>
      </c>
      <c r="BA19" s="151"/>
      <c r="BB19" s="151"/>
      <c r="BC19" s="151"/>
      <c r="BD19" s="151"/>
      <c r="BE19" s="151">
        <f>AZ19*1.015</f>
        <v>468.57973872499997</v>
      </c>
      <c r="BF19" s="151"/>
      <c r="BG19" s="161"/>
      <c r="BH19" s="161"/>
      <c r="BI19" s="161"/>
      <c r="BJ19" s="151">
        <f>BE19*1.015</f>
        <v>475.60843480587494</v>
      </c>
      <c r="BK19" s="151"/>
      <c r="BL19" s="151"/>
      <c r="BM19" s="151"/>
      <c r="BN19" s="151"/>
      <c r="BO19" s="151">
        <f>BJ19*1.015</f>
        <v>482.74256132796302</v>
      </c>
      <c r="BP19" s="151"/>
      <c r="BQ19" s="151"/>
      <c r="BR19" s="151"/>
      <c r="BS19" s="151"/>
      <c r="BT19" s="151">
        <f>BO19</f>
        <v>482.74256132796302</v>
      </c>
      <c r="BU19" s="151"/>
      <c r="BV19" s="151"/>
      <c r="BW19" s="151"/>
      <c r="BX19" s="151"/>
      <c r="BY19" s="151">
        <f>BT19</f>
        <v>482.74256132796302</v>
      </c>
      <c r="BZ19" s="151"/>
      <c r="CA19" s="151"/>
      <c r="CB19" s="151"/>
      <c r="CC19" s="151"/>
      <c r="CD19" s="151">
        <f>BY19*0.99</f>
        <v>477.9151357146834</v>
      </c>
      <c r="CE19" s="151"/>
      <c r="CF19" s="151"/>
      <c r="CG19" s="151"/>
      <c r="CH19" s="151"/>
      <c r="CI19" s="151">
        <f>CD19*0.975</f>
        <v>465.96725732181631</v>
      </c>
      <c r="CJ19" s="151"/>
      <c r="CK19" s="151"/>
      <c r="CL19" s="151"/>
      <c r="CM19" s="151"/>
      <c r="CN19" s="151">
        <f>CI19*0.975</f>
        <v>454.31807588877086</v>
      </c>
      <c r="CO19" s="151"/>
      <c r="CP19" s="151"/>
      <c r="CQ19" s="151"/>
      <c r="CR19" s="151"/>
      <c r="CS19" s="151">
        <f>CN19*0.975</f>
        <v>442.9601239915516</v>
      </c>
      <c r="CT19" s="151"/>
      <c r="CU19" s="151"/>
      <c r="CV19" s="151"/>
      <c r="CW19" s="151"/>
      <c r="CX19" s="151">
        <f>CS19*0.975</f>
        <v>431.8861208917628</v>
      </c>
      <c r="CY19" s="151"/>
      <c r="CZ19" s="151"/>
      <c r="DA19" s="151"/>
      <c r="DB19" s="151"/>
      <c r="DC19" s="151">
        <f>CX19*0.975</f>
        <v>421.08896786946872</v>
      </c>
      <c r="DD19" s="151"/>
      <c r="DE19" s="151"/>
      <c r="DF19" s="151"/>
      <c r="DG19" s="151"/>
      <c r="DH19" s="151">
        <f>DC19*0.975</f>
        <v>410.56174367273201</v>
      </c>
      <c r="DJ19"/>
      <c r="DK19"/>
      <c r="DL19"/>
      <c r="DM19"/>
      <c r="DN19"/>
      <c r="DO19"/>
    </row>
    <row r="20" spans="1:119" s="143" customFormat="1" ht="12.75" hidden="1" customHeight="1" outlineLevel="1">
      <c r="A20" s="139"/>
      <c r="B20" s="130" t="s">
        <v>3</v>
      </c>
      <c r="C20" s="366"/>
      <c r="D20" s="366"/>
      <c r="E20" s="366"/>
      <c r="F20" s="366"/>
      <c r="G20" s="151"/>
      <c r="H20" s="366"/>
      <c r="I20" s="366"/>
      <c r="J20" s="366"/>
      <c r="K20" s="366"/>
      <c r="L20" s="151"/>
      <c r="M20" s="366"/>
      <c r="N20" s="366"/>
      <c r="O20" s="366"/>
      <c r="P20" s="366"/>
      <c r="Q20" s="151">
        <v>70</v>
      </c>
      <c r="R20" s="366"/>
      <c r="S20" s="366"/>
      <c r="T20" s="366"/>
      <c r="U20" s="361"/>
      <c r="V20" s="360">
        <f>Q20*1.05</f>
        <v>73.5</v>
      </c>
      <c r="W20" s="359">
        <v>20</v>
      </c>
      <c r="X20" s="359">
        <v>20.2</v>
      </c>
      <c r="Y20" s="359">
        <v>20.3</v>
      </c>
      <c r="Z20" s="359">
        <f>AA20-W20-X20-Y20</f>
        <v>20.350000000000005</v>
      </c>
      <c r="AA20" s="371">
        <f>V20*1.1</f>
        <v>80.850000000000009</v>
      </c>
      <c r="AB20" s="361">
        <v>25</v>
      </c>
      <c r="AC20" s="361">
        <f>AB20</f>
        <v>25</v>
      </c>
      <c r="AD20" s="361">
        <f>AC20</f>
        <v>25</v>
      </c>
      <c r="AE20" s="361">
        <f>AD20</f>
        <v>25</v>
      </c>
      <c r="AF20" s="156">
        <f>SUM(AB20:AE20)</f>
        <v>100</v>
      </c>
      <c r="AG20" s="361">
        <v>35</v>
      </c>
      <c r="AH20" s="361">
        <v>45</v>
      </c>
      <c r="AI20" s="361">
        <v>50</v>
      </c>
      <c r="AJ20" s="361">
        <f>AK20-AG20-AH20-AI20</f>
        <v>65</v>
      </c>
      <c r="AK20" s="151">
        <v>195</v>
      </c>
      <c r="AL20" s="361">
        <v>60</v>
      </c>
      <c r="AM20" s="361">
        <v>60</v>
      </c>
      <c r="AN20" s="361">
        <v>60</v>
      </c>
      <c r="AO20" s="361">
        <v>60</v>
      </c>
      <c r="AP20" s="151">
        <f>SUM(AL20:AO20)</f>
        <v>240</v>
      </c>
      <c r="AQ20" s="933">
        <v>70</v>
      </c>
      <c r="AR20" s="933">
        <v>75</v>
      </c>
      <c r="AS20" s="933">
        <v>80</v>
      </c>
      <c r="AT20" s="933">
        <f>AU20-SUM(AQ20:AS20)</f>
        <v>80</v>
      </c>
      <c r="AU20" s="151">
        <v>305</v>
      </c>
      <c r="AV20" s="933">
        <v>75</v>
      </c>
      <c r="AW20" s="933">
        <f>AV20*1.05</f>
        <v>78.75</v>
      </c>
      <c r="AX20" s="933">
        <f>AW20*1.05</f>
        <v>82.6875</v>
      </c>
      <c r="AY20" s="933">
        <f>AZ20-SUM(AV20:AX20)</f>
        <v>177.8125</v>
      </c>
      <c r="AZ20" s="151">
        <f>AU20*1.05+150-56</f>
        <v>414.25</v>
      </c>
      <c r="BA20" s="151"/>
      <c r="BB20" s="151"/>
      <c r="BC20" s="151"/>
      <c r="BD20" s="151"/>
      <c r="BE20" s="151">
        <f>AZ20*1.05</f>
        <v>434.96250000000003</v>
      </c>
      <c r="BF20" s="151"/>
      <c r="BG20" s="161"/>
      <c r="BH20" s="161"/>
      <c r="BI20" s="161"/>
      <c r="BJ20" s="151">
        <f>BE20*1.05</f>
        <v>456.71062500000005</v>
      </c>
      <c r="BK20" s="151"/>
      <c r="BL20" s="151"/>
      <c r="BM20" s="151"/>
      <c r="BN20" s="151"/>
      <c r="BO20" s="151">
        <f>BJ20*1.05</f>
        <v>479.54615625000008</v>
      </c>
      <c r="BP20" s="151"/>
      <c r="BQ20" s="151"/>
      <c r="BR20" s="151"/>
      <c r="BS20" s="151"/>
      <c r="BT20" s="151">
        <f>BO20*1.05</f>
        <v>503.52346406250012</v>
      </c>
      <c r="BU20" s="151"/>
      <c r="BV20" s="151"/>
      <c r="BW20" s="151"/>
      <c r="BX20" s="151"/>
      <c r="BY20" s="151">
        <f>BT20*1.05</f>
        <v>528.69963726562514</v>
      </c>
      <c r="BZ20" s="151"/>
      <c r="CA20" s="151"/>
      <c r="CB20" s="151"/>
      <c r="CC20" s="151"/>
      <c r="CD20" s="151">
        <f>BY20*1.05</f>
        <v>555.13461912890648</v>
      </c>
      <c r="CE20" s="151"/>
      <c r="CF20" s="151"/>
      <c r="CG20" s="151"/>
      <c r="CH20" s="151"/>
      <c r="CI20" s="151">
        <f>CD20*1.05</f>
        <v>582.89135008535186</v>
      </c>
      <c r="CJ20" s="151"/>
      <c r="CK20" s="151"/>
      <c r="CL20" s="151"/>
      <c r="CM20" s="151"/>
      <c r="CN20" s="151">
        <f>CI20*1.05</f>
        <v>612.03591758961943</v>
      </c>
      <c r="CO20" s="151"/>
      <c r="CP20" s="151"/>
      <c r="CQ20" s="151"/>
      <c r="CR20" s="151"/>
      <c r="CS20" s="151">
        <f>CN20*1.05</f>
        <v>642.63771346910039</v>
      </c>
      <c r="CT20" s="151"/>
      <c r="CU20" s="151"/>
      <c r="CV20" s="151"/>
      <c r="CW20" s="151"/>
      <c r="CX20" s="151">
        <f>CS20*1.05</f>
        <v>674.76959914255542</v>
      </c>
      <c r="CY20" s="151"/>
      <c r="CZ20" s="151"/>
      <c r="DA20" s="151"/>
      <c r="DB20" s="151"/>
      <c r="DC20" s="151">
        <f>CX20*1.05</f>
        <v>708.50807909968319</v>
      </c>
      <c r="DD20" s="151"/>
      <c r="DE20" s="151"/>
      <c r="DF20" s="151"/>
      <c r="DG20" s="151"/>
      <c r="DH20" s="151">
        <f>DC20*1.05</f>
        <v>743.93348305466736</v>
      </c>
      <c r="DJ20"/>
      <c r="DK20"/>
      <c r="DL20"/>
      <c r="DM20"/>
      <c r="DN20"/>
      <c r="DO20"/>
    </row>
    <row r="21" spans="1:119" s="143" customFormat="1" ht="12.75" customHeight="1" collapsed="1" thickBot="1">
      <c r="A21" s="139" t="s">
        <v>1</v>
      </c>
      <c r="B21" s="129" t="s">
        <v>2</v>
      </c>
      <c r="C21" s="359">
        <v>11.673999999999999</v>
      </c>
      <c r="D21" s="359">
        <v>11.632</v>
      </c>
      <c r="E21" s="359">
        <v>12.84</v>
      </c>
      <c r="F21" s="359">
        <v>17.030999999999999</v>
      </c>
      <c r="G21" s="360">
        <v>52.923000000000002</v>
      </c>
      <c r="H21" s="359">
        <v>14.223000000000001</v>
      </c>
      <c r="I21" s="359">
        <v>14.679</v>
      </c>
      <c r="J21" s="359">
        <v>15.657999999999999</v>
      </c>
      <c r="K21" s="361">
        <f>20.641-K58</f>
        <v>14.054999999999998</v>
      </c>
      <c r="L21" s="163">
        <f>K21+J21+I21+H21+K58-L58</f>
        <v>47.61999999999999</v>
      </c>
      <c r="M21" s="361">
        <f>23.411-M58</f>
        <v>16.400000000000002</v>
      </c>
      <c r="N21" s="361">
        <f>24.585-N58</f>
        <v>19.944000000000003</v>
      </c>
      <c r="O21" s="361">
        <f>32.916-O58</f>
        <v>27.566999999999997</v>
      </c>
      <c r="P21" s="361">
        <f>36.349-P58</f>
        <v>30.034999999999997</v>
      </c>
      <c r="Q21" s="151">
        <f>SUM(M21:P21)</f>
        <v>93.945999999999998</v>
      </c>
      <c r="R21" s="361">
        <f>58.428-R58</f>
        <v>45.849999999999994</v>
      </c>
      <c r="S21" s="361">
        <f>47.705-S58</f>
        <v>39.914999999999999</v>
      </c>
      <c r="T21" s="361">
        <f>46.883-T58</f>
        <v>39.853000000000002</v>
      </c>
      <c r="U21" s="361">
        <f>57.739-U58</f>
        <v>45.887999999999998</v>
      </c>
      <c r="V21" s="151">
        <f>SUM(R21:U21)</f>
        <v>171.506</v>
      </c>
      <c r="W21" s="361">
        <f>77.26-W58</f>
        <v>51.473000000000006</v>
      </c>
      <c r="X21" s="361">
        <f>72.463-X58</f>
        <v>56.118999999999993</v>
      </c>
      <c r="Y21" s="361">
        <f>97.607-Y58</f>
        <v>80.492999999999995</v>
      </c>
      <c r="Z21" s="361">
        <f>82.085-Z58</f>
        <v>61.362999999999992</v>
      </c>
      <c r="AA21" s="151">
        <f>SUM(W21:Z21)</f>
        <v>249.44799999999998</v>
      </c>
      <c r="AB21" s="361">
        <f>108.85-AB58</f>
        <v>71.262999999999991</v>
      </c>
      <c r="AC21" s="361">
        <f>102.414-AC58</f>
        <v>76.247</v>
      </c>
      <c r="AD21" s="361">
        <f>149.748-AD58-AD59</f>
        <v>82.22999999999999</v>
      </c>
      <c r="AE21" s="361">
        <f>143.743-AE58-AE59</f>
        <v>114.21199999999999</v>
      </c>
      <c r="AF21" s="151">
        <f>AF20+AF19</f>
        <v>343.952</v>
      </c>
      <c r="AG21" s="359">
        <f>158.991-AG58</f>
        <v>116.81600000000002</v>
      </c>
      <c r="AH21" s="359">
        <f>174.588-AH58</f>
        <v>142.429</v>
      </c>
      <c r="AI21" s="359">
        <f>209.993-AI58</f>
        <v>173.512</v>
      </c>
      <c r="AJ21" s="359">
        <f>294.954-AJ58</f>
        <v>212.74200000000002</v>
      </c>
      <c r="AK21" s="151">
        <f>SUM(AG21:AJ21)</f>
        <v>645.49900000000002</v>
      </c>
      <c r="AL21" s="359">
        <f>289.677-AL58</f>
        <v>229.59500000000003</v>
      </c>
      <c r="AM21" s="359">
        <f>292.038-AM58</f>
        <v>244.30800000000002</v>
      </c>
      <c r="AN21" s="359">
        <f>270.045-AN58</f>
        <v>220.67600000000002</v>
      </c>
      <c r="AO21" s="359">
        <f>325.937-AO58</f>
        <v>251.935</v>
      </c>
      <c r="AP21" s="151">
        <f>AP20+AP19+AP17</f>
        <v>946.51400000000001</v>
      </c>
      <c r="AQ21" s="973">
        <f>296.846-AQ58</f>
        <v>243.03399999999999</v>
      </c>
      <c r="AR21" s="973">
        <f>306.908-AR58</f>
        <v>262.20000000000005</v>
      </c>
      <c r="AS21" s="973">
        <f>306.766-AS58</f>
        <v>259.09400000000005</v>
      </c>
      <c r="AT21" s="973">
        <f>409.913-AT58</f>
        <v>347.71000000000004</v>
      </c>
      <c r="AU21" s="967">
        <f>SUM(AQ21:AT21)</f>
        <v>1112.038</v>
      </c>
      <c r="AV21" s="933">
        <f t="shared" ref="AV21:AY21" si="17">SUM(AV17:AV20)</f>
        <v>278.580983</v>
      </c>
      <c r="AW21" s="933">
        <f t="shared" si="17"/>
        <v>299.6265813</v>
      </c>
      <c r="AX21" s="933">
        <f t="shared" si="17"/>
        <v>335.75435375000001</v>
      </c>
      <c r="AY21" s="933">
        <f t="shared" si="17"/>
        <v>518.86299695000002</v>
      </c>
      <c r="AZ21" s="967">
        <f>AZ20+AZ19+AZ17+AZ18</f>
        <v>1432.8249150000001</v>
      </c>
      <c r="BA21" s="967"/>
      <c r="BB21" s="967"/>
      <c r="BC21" s="967"/>
      <c r="BD21" s="967"/>
      <c r="BE21" s="967">
        <f>BE20+BE19+BE17+BE18</f>
        <v>1507.0582387250001</v>
      </c>
      <c r="BF21" s="967"/>
      <c r="BG21" s="968"/>
      <c r="BH21" s="968"/>
      <c r="BI21" s="968"/>
      <c r="BJ21" s="967">
        <f>BJ20+BJ19+BJ17+BJ18</f>
        <v>1518.2959598058751</v>
      </c>
      <c r="BK21" s="967"/>
      <c r="BL21" s="967"/>
      <c r="BM21" s="967"/>
      <c r="BN21" s="967"/>
      <c r="BO21" s="967">
        <f>BO20+BO19+BO17+BO18</f>
        <v>1562.5400400779631</v>
      </c>
      <c r="BP21" s="967"/>
      <c r="BQ21" s="967"/>
      <c r="BR21" s="967"/>
      <c r="BS21" s="967"/>
      <c r="BT21" s="967">
        <f>BT20+BT19+BT17+BT18</f>
        <v>1596.0849981404629</v>
      </c>
      <c r="BU21" s="967"/>
      <c r="BV21" s="967"/>
      <c r="BW21" s="967"/>
      <c r="BX21" s="967"/>
      <c r="BY21" s="967">
        <f>BY20+BY19+BY17+BY18</f>
        <v>1631.0603628498379</v>
      </c>
      <c r="BZ21" s="967"/>
      <c r="CA21" s="967"/>
      <c r="CB21" s="967"/>
      <c r="CC21" s="967"/>
      <c r="CD21" s="967">
        <f>CD20+CD19+CD17+CD18</f>
        <v>1662.7042873937462</v>
      </c>
      <c r="CE21" s="967"/>
      <c r="CF21" s="967"/>
      <c r="CG21" s="967"/>
      <c r="CH21" s="967"/>
      <c r="CI21" s="967">
        <f>CI20+CI19+CI17+CI18</f>
        <v>1688.7924583985782</v>
      </c>
      <c r="CJ21" s="967"/>
      <c r="CK21" s="967"/>
      <c r="CL21" s="967"/>
      <c r="CM21" s="967"/>
      <c r="CN21" s="967">
        <f>CN20+CN19+CN17+CN18</f>
        <v>1716.8160276308854</v>
      </c>
      <c r="CO21" s="967"/>
      <c r="CP21" s="967"/>
      <c r="CQ21" s="967"/>
      <c r="CR21" s="967"/>
      <c r="CS21" s="967">
        <f>CS20+CS19+CS17+CS18</f>
        <v>1746.8429787472355</v>
      </c>
      <c r="CT21" s="967"/>
      <c r="CU21" s="967"/>
      <c r="CV21" s="967"/>
      <c r="CW21" s="967"/>
      <c r="CX21" s="967">
        <f>CX20+CX19+CX17+CX18</f>
        <v>1778.9450999151979</v>
      </c>
      <c r="CY21" s="967"/>
      <c r="CZ21" s="967"/>
      <c r="DA21" s="967"/>
      <c r="DB21" s="967"/>
      <c r="DC21" s="967">
        <f>DC20+DC19+DC17+DC18</f>
        <v>1813.1981562666779</v>
      </c>
      <c r="DD21" s="967"/>
      <c r="DE21" s="967"/>
      <c r="DF21" s="967"/>
      <c r="DG21" s="967"/>
      <c r="DH21" s="967">
        <f>DH20+DH19+DH17+DH18</f>
        <v>1849.6820712316296</v>
      </c>
      <c r="DJ21"/>
      <c r="DK21"/>
      <c r="DL21"/>
      <c r="DM21"/>
      <c r="DN21"/>
      <c r="DO21"/>
    </row>
    <row r="22" spans="1:119" s="143" customFormat="1" ht="12.75" customHeight="1" thickBot="1">
      <c r="A22" s="139"/>
      <c r="B22" s="129"/>
      <c r="C22" s="366"/>
      <c r="D22" s="366"/>
      <c r="E22" s="366"/>
      <c r="F22" s="366"/>
      <c r="G22" s="151"/>
      <c r="H22" s="366"/>
      <c r="I22" s="366"/>
      <c r="J22" s="366"/>
      <c r="K22" s="361"/>
      <c r="L22" s="163"/>
      <c r="M22" s="361"/>
      <c r="N22" s="361"/>
      <c r="O22" s="361"/>
      <c r="P22" s="361"/>
      <c r="Q22" s="151"/>
      <c r="R22" s="361"/>
      <c r="S22" s="361"/>
      <c r="T22" s="361"/>
      <c r="U22" s="361"/>
      <c r="V22" s="151"/>
      <c r="W22" s="368"/>
      <c r="X22" s="368"/>
      <c r="Y22" s="368"/>
      <c r="Z22" s="368"/>
      <c r="AA22" s="129"/>
      <c r="AB22" s="368"/>
      <c r="AC22" s="368"/>
      <c r="AD22" s="361"/>
      <c r="AE22" s="361"/>
      <c r="AF22" s="822"/>
      <c r="AG22" s="368"/>
      <c r="AH22" s="368"/>
      <c r="AI22" s="368"/>
      <c r="AJ22" s="361"/>
      <c r="AK22" s="151"/>
      <c r="AL22" s="361"/>
      <c r="AM22" s="361"/>
      <c r="AN22" s="361"/>
      <c r="AO22" s="361"/>
      <c r="AP22" s="969"/>
      <c r="AQ22" s="931"/>
      <c r="AR22" s="931"/>
      <c r="AS22" s="931"/>
      <c r="AT22" s="931"/>
      <c r="AU22" s="969"/>
      <c r="AV22" s="931"/>
      <c r="AW22" s="931"/>
      <c r="AX22" s="372" t="s">
        <v>701</v>
      </c>
      <c r="AY22" s="808"/>
      <c r="AZ22" s="373" t="s">
        <v>891</v>
      </c>
      <c r="BA22" s="869"/>
      <c r="BB22" s="869"/>
      <c r="BC22" s="869"/>
      <c r="BD22" s="869"/>
      <c r="BE22" s="1095"/>
      <c r="BF22" s="869"/>
      <c r="BG22" s="870"/>
      <c r="BH22" s="870"/>
      <c r="BI22" s="870"/>
      <c r="BJ22" s="869"/>
      <c r="BK22" s="869"/>
      <c r="BL22" s="869"/>
      <c r="BM22" s="869"/>
      <c r="BN22" s="869"/>
      <c r="BO22" s="869"/>
      <c r="BT22" s="869"/>
      <c r="BY22" s="869"/>
      <c r="CD22" s="869"/>
      <c r="CI22" s="869"/>
      <c r="CN22" s="869"/>
      <c r="CS22" s="869"/>
      <c r="CX22" s="869"/>
      <c r="DC22" s="869"/>
      <c r="DH22" s="869"/>
      <c r="DJ22"/>
      <c r="DK22"/>
      <c r="DL22"/>
      <c r="DM22"/>
      <c r="DN22"/>
      <c r="DO22"/>
    </row>
    <row r="23" spans="1:119" s="143" customFormat="1" ht="12.75" hidden="1" customHeight="1" outlineLevel="1" thickBot="1">
      <c r="A23" s="139"/>
      <c r="B23" s="160" t="s">
        <v>223</v>
      </c>
      <c r="C23" s="361"/>
      <c r="D23" s="361"/>
      <c r="E23" s="361"/>
      <c r="F23" s="361"/>
      <c r="G23" s="150"/>
      <c r="H23" s="366"/>
      <c r="I23" s="366"/>
      <c r="J23" s="366"/>
      <c r="K23" s="361"/>
      <c r="L23" s="150"/>
      <c r="M23" s="366"/>
      <c r="N23" s="366"/>
      <c r="O23" s="366"/>
      <c r="P23" s="361"/>
      <c r="Q23" s="150"/>
      <c r="R23" s="366"/>
      <c r="S23" s="366"/>
      <c r="T23" s="366"/>
      <c r="U23" s="361">
        <v>48</v>
      </c>
      <c r="V23" s="360">
        <v>169.2</v>
      </c>
      <c r="W23" s="374">
        <f>W26-W25</f>
        <v>45.75</v>
      </c>
      <c r="X23" s="374">
        <f>X26-X25</f>
        <v>47.573999999999984</v>
      </c>
      <c r="Y23" s="369">
        <f>Y26-Y25</f>
        <v>55.253999999999991</v>
      </c>
      <c r="Z23" s="369">
        <f>Z26-Z25</f>
        <v>114.84899999999996</v>
      </c>
      <c r="AA23" s="156">
        <f>SUM(W23:Z23)</f>
        <v>263.42699999999991</v>
      </c>
      <c r="AB23" s="369">
        <f>AB26-AB25</f>
        <v>95.813999999999993</v>
      </c>
      <c r="AC23" s="369">
        <f>AC26-AC25</f>
        <v>109.96199999999999</v>
      </c>
      <c r="AD23" s="369">
        <f>AD26-AD25</f>
        <v>145.52700000000002</v>
      </c>
      <c r="AE23" s="369">
        <f>AE26-AE25</f>
        <v>158.56200000000001</v>
      </c>
      <c r="AF23" s="156">
        <f>SUM(AB23:AE23)</f>
        <v>509.86500000000001</v>
      </c>
      <c r="AG23" s="369">
        <f>AG26-AG25</f>
        <v>109.50799999999998</v>
      </c>
      <c r="AH23" s="369">
        <f>AH26-AH25</f>
        <v>110.37899999999996</v>
      </c>
      <c r="AI23" s="369">
        <f>AI26-AI25</f>
        <v>135.30099999999993</v>
      </c>
      <c r="AJ23" s="369">
        <f>AJ26-AJ25</f>
        <v>214.63399999999999</v>
      </c>
      <c r="AK23" s="151">
        <f>SUM(AG23:AJ23)</f>
        <v>569.82199999999989</v>
      </c>
      <c r="AL23" s="361">
        <f>AL26-AL25</f>
        <v>164.49399999999997</v>
      </c>
      <c r="AM23" s="361">
        <f>AM26-AM25</f>
        <v>221.97099999999995</v>
      </c>
      <c r="AN23" s="361">
        <f>AN26-AN25</f>
        <v>260.20800000000003</v>
      </c>
      <c r="AO23" s="361">
        <f>AO26-AO25</f>
        <v>261.83999999999997</v>
      </c>
      <c r="AP23" s="151">
        <f>SUM(AL23:AO23)</f>
        <v>908.51299999999992</v>
      </c>
      <c r="AQ23" s="933">
        <f>AQ26-AQ25</f>
        <v>191.53900000000004</v>
      </c>
      <c r="AR23" s="933">
        <f>AR26-AR25</f>
        <v>196.97499999999999</v>
      </c>
      <c r="AS23" s="933">
        <f>AS26-AS25</f>
        <v>227.52300000000005</v>
      </c>
      <c r="AT23" s="933">
        <f>AT26-AT25</f>
        <v>267.62699999999995</v>
      </c>
      <c r="AU23" s="967">
        <f>SUM(AQ23:AT23)</f>
        <v>883.66399999999999</v>
      </c>
      <c r="AV23" s="933">
        <f>AZ23*0.22</f>
        <v>281.60000000000002</v>
      </c>
      <c r="AW23" s="933">
        <f>AZ23*0.24</f>
        <v>307.2</v>
      </c>
      <c r="AX23" s="933">
        <f>AZ23*0.25</f>
        <v>320</v>
      </c>
      <c r="AY23" s="933">
        <f>AZ23-SUM(AV23:AX23)</f>
        <v>371.20000000000005</v>
      </c>
      <c r="AZ23" s="1096">
        <v>1280</v>
      </c>
      <c r="BA23" s="967"/>
      <c r="BB23" s="967"/>
      <c r="BC23" s="967"/>
      <c r="BD23" s="967"/>
      <c r="BE23" s="967">
        <f>AZ23*1.07</f>
        <v>1369.6000000000001</v>
      </c>
      <c r="BF23" s="967"/>
      <c r="BG23" s="968"/>
      <c r="BH23" s="968"/>
      <c r="BI23" s="968"/>
      <c r="BJ23" s="967">
        <f>BE23*1.058</f>
        <v>1449.0368000000003</v>
      </c>
      <c r="BK23" s="967"/>
      <c r="BL23" s="967"/>
      <c r="BM23" s="967"/>
      <c r="BN23" s="967"/>
      <c r="BO23" s="967">
        <f>BJ23*1.05</f>
        <v>1521.4886400000005</v>
      </c>
      <c r="BP23" s="967"/>
      <c r="BQ23" s="967"/>
      <c r="BR23" s="967"/>
      <c r="BS23" s="967"/>
      <c r="BT23" s="967">
        <f>BO23*1.05</f>
        <v>1597.5630720000006</v>
      </c>
      <c r="BU23" s="967"/>
      <c r="BV23" s="967"/>
      <c r="BW23" s="967"/>
      <c r="BX23" s="967"/>
      <c r="BY23" s="967">
        <f>BT23*1.05</f>
        <v>1677.4412256000007</v>
      </c>
      <c r="BZ23" s="967"/>
      <c r="CA23" s="967"/>
      <c r="CB23" s="967"/>
      <c r="CC23" s="967"/>
      <c r="CD23" s="967">
        <f>BY23*1.05</f>
        <v>1761.3132868800008</v>
      </c>
      <c r="CE23" s="967"/>
      <c r="CF23" s="967"/>
      <c r="CG23" s="967"/>
      <c r="CH23" s="967"/>
      <c r="CI23" s="967">
        <f>CD23*1.05</f>
        <v>1849.378951224001</v>
      </c>
      <c r="CJ23" s="967"/>
      <c r="CK23" s="967"/>
      <c r="CL23" s="967"/>
      <c r="CM23" s="967"/>
      <c r="CN23" s="967">
        <f>CI23*1.025</f>
        <v>1895.6134250046009</v>
      </c>
      <c r="CO23" s="967"/>
      <c r="CP23" s="967"/>
      <c r="CQ23" s="967"/>
      <c r="CR23" s="967"/>
      <c r="CS23" s="967">
        <f t="shared" ref="CS23:DB23" si="18">CN23*1.025</f>
        <v>1943.0037606297158</v>
      </c>
      <c r="CT23" s="967">
        <f t="shared" si="18"/>
        <v>0</v>
      </c>
      <c r="CU23" s="967">
        <f t="shared" si="18"/>
        <v>0</v>
      </c>
      <c r="CV23" s="967">
        <f t="shared" si="18"/>
        <v>0</v>
      </c>
      <c r="CW23" s="967">
        <f t="shared" si="18"/>
        <v>0</v>
      </c>
      <c r="CX23" s="967">
        <f t="shared" si="18"/>
        <v>1991.5788546454585</v>
      </c>
      <c r="CY23" s="967">
        <f t="shared" si="18"/>
        <v>0</v>
      </c>
      <c r="CZ23" s="967">
        <f t="shared" si="18"/>
        <v>0</v>
      </c>
      <c r="DA23" s="967">
        <f t="shared" si="18"/>
        <v>0</v>
      </c>
      <c r="DB23" s="967">
        <f t="shared" si="18"/>
        <v>0</v>
      </c>
      <c r="DC23" s="967">
        <f>CX23*1.015</f>
        <v>2021.4525374651403</v>
      </c>
      <c r="DD23" s="967"/>
      <c r="DE23" s="967"/>
      <c r="DF23" s="967"/>
      <c r="DG23" s="967"/>
      <c r="DH23" s="967">
        <f>DC23*1.015</f>
        <v>2051.7743255271171</v>
      </c>
      <c r="DJ23"/>
      <c r="DK23"/>
      <c r="DL23"/>
      <c r="DM23"/>
      <c r="DN23"/>
      <c r="DO23"/>
    </row>
    <row r="24" spans="1:119" s="143" customFormat="1" ht="12.75" hidden="1" customHeight="1" outlineLevel="1" thickBot="1">
      <c r="A24" s="139"/>
      <c r="B24" s="160"/>
      <c r="C24" s="361"/>
      <c r="D24" s="361"/>
      <c r="E24" s="361"/>
      <c r="F24" s="361"/>
      <c r="G24" s="150"/>
      <c r="H24" s="366"/>
      <c r="I24" s="366"/>
      <c r="J24" s="366"/>
      <c r="K24" s="361"/>
      <c r="L24" s="150"/>
      <c r="M24" s="366"/>
      <c r="N24" s="366"/>
      <c r="O24" s="366"/>
      <c r="P24" s="361"/>
      <c r="Q24" s="150"/>
      <c r="R24" s="366"/>
      <c r="S24" s="366"/>
      <c r="T24" s="366"/>
      <c r="U24" s="361"/>
      <c r="V24" s="360"/>
      <c r="W24" s="374"/>
      <c r="X24" s="374"/>
      <c r="Y24" s="369"/>
      <c r="Z24" s="361"/>
      <c r="AA24" s="156"/>
      <c r="AB24" s="361"/>
      <c r="AC24" s="361"/>
      <c r="AD24" s="361"/>
      <c r="AE24" s="361"/>
      <c r="AF24" s="822"/>
      <c r="AG24" s="361"/>
      <c r="AH24" s="361"/>
      <c r="AI24" s="361"/>
      <c r="AJ24" s="361"/>
      <c r="AK24" s="151"/>
      <c r="AL24" s="361"/>
      <c r="AM24" s="361"/>
      <c r="AN24" s="361"/>
      <c r="AO24" s="361"/>
      <c r="AP24" s="969"/>
      <c r="AQ24" s="933"/>
      <c r="AR24" s="933"/>
      <c r="AS24" s="933"/>
      <c r="AT24" s="933"/>
      <c r="AU24" s="969"/>
      <c r="AV24" s="933"/>
      <c r="AW24" s="933"/>
      <c r="AX24" s="372" t="s">
        <v>701</v>
      </c>
      <c r="AY24" s="808"/>
      <c r="AZ24" s="373" t="s">
        <v>890</v>
      </c>
      <c r="BA24" s="151"/>
      <c r="BB24" s="151"/>
      <c r="BC24" s="151"/>
      <c r="BD24" s="151"/>
      <c r="BE24" s="162"/>
      <c r="BF24" s="151"/>
      <c r="BG24" s="161"/>
      <c r="BH24" s="161"/>
      <c r="BI24" s="161"/>
      <c r="BJ24" s="151"/>
      <c r="BK24" s="151"/>
      <c r="BL24" s="151"/>
      <c r="BM24" s="151"/>
      <c r="BN24" s="151"/>
      <c r="DJ24"/>
      <c r="DK24"/>
      <c r="DL24"/>
      <c r="DM24"/>
      <c r="DN24"/>
      <c r="DO24"/>
    </row>
    <row r="25" spans="1:119" s="143" customFormat="1" ht="12.75" hidden="1" customHeight="1" outlineLevel="1">
      <c r="A25" s="139"/>
      <c r="B25" s="164" t="s">
        <v>222</v>
      </c>
      <c r="C25" s="361"/>
      <c r="D25" s="361"/>
      <c r="E25" s="361"/>
      <c r="F25" s="361"/>
      <c r="G25" s="150"/>
      <c r="H25" s="366"/>
      <c r="I25" s="366"/>
      <c r="J25" s="366"/>
      <c r="K25" s="361"/>
      <c r="L25" s="150"/>
      <c r="M25" s="366"/>
      <c r="N25" s="366"/>
      <c r="O25" s="366"/>
      <c r="P25" s="361"/>
      <c r="Q25" s="150"/>
      <c r="R25" s="366"/>
      <c r="S25" s="366"/>
      <c r="T25" s="366"/>
      <c r="U25" s="361"/>
      <c r="V25" s="163">
        <f>V26-V23</f>
        <v>402.52100000000002</v>
      </c>
      <c r="W25" s="375">
        <f>REVS!W24+REVS!W36+REVS!W14</f>
        <v>107.78800000000001</v>
      </c>
      <c r="X25" s="375">
        <f>REVS!X24+REVS!X36+REVS!X14</f>
        <v>112.167</v>
      </c>
      <c r="Y25" s="375">
        <f>REVS!Y24+REVS!Y36+REVS!Y14</f>
        <v>140.53299999999999</v>
      </c>
      <c r="Z25" s="375">
        <f>REVS!Z24+REVS!Z36+REVS!Z14</f>
        <v>119.51200000000003</v>
      </c>
      <c r="AA25" s="156">
        <f>SUM(W25:Z25)</f>
        <v>480</v>
      </c>
      <c r="AB25" s="375">
        <f>REVS!AB24+REVS!AB36+REVS!AB14</f>
        <v>148.26100000000002</v>
      </c>
      <c r="AC25" s="375">
        <f>REVS!AC24+REVS!AC36+REVS!AC14</f>
        <v>140.72499999999999</v>
      </c>
      <c r="AD25" s="375">
        <f>REVS!AD24+REVS!AD36+REVS!AD14</f>
        <v>146.15200000000002</v>
      </c>
      <c r="AE25" s="375">
        <f>REVS!AE24+REVS!AE36+REVS!AE14</f>
        <v>142.00299999999999</v>
      </c>
      <c r="AF25" s="156">
        <f>SUM(AB25:AE25)</f>
        <v>577.14100000000008</v>
      </c>
      <c r="AG25" s="375">
        <f>REVS!AG24+REVS!AG36+REVS!AG14</f>
        <v>174.10300000000001</v>
      </c>
      <c r="AH25" s="375">
        <f>REVS!AH24+REVS!AH36+REVS!AH14</f>
        <v>219.90600000000001</v>
      </c>
      <c r="AI25" s="375">
        <f>REVS!AI24+REVS!AI36+REVS!AI14+REVS!AI30</f>
        <v>227.03300000000002</v>
      </c>
      <c r="AJ25" s="375">
        <f>REVS!AJ24+REVS!AJ36+REVS!AJ14+REVS!AJ30</f>
        <v>174.006</v>
      </c>
      <c r="AK25" s="151">
        <f>SUM(AG25:AJ25)</f>
        <v>795.048</v>
      </c>
      <c r="AL25" s="375">
        <f>REVS!AL24+REVS!AL36+REVS!AL14+REVS!AL30</f>
        <v>227.51600000000002</v>
      </c>
      <c r="AM25" s="375">
        <f>REVS!AM24+REVS!AM36+REVS!AM14+REVS!AM30</f>
        <v>183.642</v>
      </c>
      <c r="AN25" s="375">
        <f>REVS!AN24+REVS!AN36+REVS!AN14+REVS!AN30</f>
        <v>177.267</v>
      </c>
      <c r="AO25" s="375">
        <f>REVS!AO24+REVS!AO36+REVS!AO14+REVS!AO30</f>
        <v>142.30900000000003</v>
      </c>
      <c r="AP25" s="151">
        <f>SUM(AL25:AO25)</f>
        <v>730.73399999999992</v>
      </c>
      <c r="AQ25" s="375">
        <f>REVS!AQ24+REVS!AQ36+REVS!AQ14+REVS!AQ30+REVS!AQ43</f>
        <v>242.37299999999999</v>
      </c>
      <c r="AR25" s="375">
        <f>REVS!AR24+REVS!AR36+REVS!AR14+REVS!AR30+REVS!AR43</f>
        <v>243.47200000000001</v>
      </c>
      <c r="AS25" s="375">
        <f>REVS!AS24+REVS!AS36+REVS!AS14+REVS!AS30+REVS!AS43</f>
        <v>232.10299999999998</v>
      </c>
      <c r="AT25" s="375">
        <f>REVS!AT24+REVS!AT36+REVS!AT14+REVS!AT30+REVS!AT43</f>
        <v>176.65199999999996</v>
      </c>
      <c r="AU25" s="151">
        <f>REVS!AU36+REVS!AU24+REVS!AU14+REVS!AU30+REVS!AU43</f>
        <v>894.6</v>
      </c>
      <c r="AV25" s="933">
        <f>REVS!AV24+REVS!AV36+REVS!AV14+REVS!AV30+REVS!AV43</f>
        <v>174.10714285714286</v>
      </c>
      <c r="AW25" s="933">
        <f>REVS!AW24+REVS!AW36+REVS!AW14+REVS!AW30+REVS!AW43</f>
        <v>181.15267857142857</v>
      </c>
      <c r="AX25" s="933">
        <f>REVS!AX24+REVS!AX36+REVS!AX14+REVS!AX30+REVS!AX43</f>
        <v>187.18712053571426</v>
      </c>
      <c r="AY25" s="933">
        <f>REVS!AY24+REVS!AY36+REVS!AY14+REVS!AY30+REVS!AY43</f>
        <v>172.30127232142863</v>
      </c>
      <c r="AZ25" s="151">
        <f>REVS!AZ36+REVS!AZ24+REVS!AZ14+REVS!AZ30+REVS!AZ43</f>
        <v>714.74821428571443</v>
      </c>
      <c r="BA25" s="151"/>
      <c r="BB25" s="151"/>
      <c r="BC25" s="151"/>
      <c r="BD25" s="151"/>
      <c r="BE25" s="151">
        <f>REVS!BE36+REVS!BE24+REVS!BE14+REVS!BE30+REVS!BE43</f>
        <v>571.79318181818178</v>
      </c>
      <c r="BF25" s="151"/>
      <c r="BG25" s="161"/>
      <c r="BH25" s="161"/>
      <c r="BI25" s="161"/>
      <c r="BJ25" s="151">
        <f>REVS!BJ36+REVS!BJ24+REVS!BJ14+REVS!BJ30+REVS!BJ43</f>
        <v>503.66839285714292</v>
      </c>
      <c r="BK25" s="151"/>
      <c r="BL25" s="151"/>
      <c r="BM25" s="151"/>
      <c r="BN25" s="151"/>
      <c r="BO25" s="151">
        <f>REVS!BO36+REVS!BO24+REVS!BO14+REVS!BO30+REVS!BO43</f>
        <v>413.68241071428577</v>
      </c>
      <c r="BT25" s="151">
        <f>REVS!BT36+REVS!BT24+REVS!BT14+REVS!BT30+REVS!BT43</f>
        <v>383.28531250000009</v>
      </c>
      <c r="BY25" s="151">
        <f>REVS!BY36+REVS!BY24+REVS!BY14+REVS!BY30+REVS!BY43</f>
        <v>358.80792410714292</v>
      </c>
      <c r="CD25" s="151">
        <f>REVS!CD36+REVS!CD24+REVS!CD14+REVS!CD30+REVS!CD43</f>
        <v>264.63897544642862</v>
      </c>
      <c r="CI25" s="151">
        <f>REVS!CI36+REVS!CI24+REVS!CI14+REVS!CI30+REVS!CI43</f>
        <v>226.90984341517859</v>
      </c>
      <c r="CN25" s="151">
        <f>REVS!CN36+REVS!CN24+REVS!CN14+REVS!CN30+REVS!CN43</f>
        <v>201.14008118861608</v>
      </c>
      <c r="CS25" s="151">
        <f>REVS!CS36+REVS!CS24+REVS!CS14+REVS!CS30+REVS!CS43</f>
        <v>201.14008118861608</v>
      </c>
      <c r="CX25" s="151">
        <f>REVS!CX36+REVS!CX24+REVS!CX14+REVS!CX30+REVS!CX43</f>
        <v>180.6200811886161</v>
      </c>
      <c r="DC25" s="151">
        <f>REVS!DC36+REVS!DC24+REVS!DC14+REVS!DC30+REVS!DC43</f>
        <v>170.36008118861608</v>
      </c>
      <c r="DH25" s="151">
        <f>REVS!DH36+REVS!DH24+REVS!DH14+REVS!DH30+REVS!DH43</f>
        <v>165.23008118861608</v>
      </c>
      <c r="DJ25"/>
      <c r="DK25"/>
      <c r="DL25"/>
      <c r="DM25"/>
      <c r="DN25"/>
      <c r="DO25"/>
    </row>
    <row r="26" spans="1:119" s="143" customFormat="1" ht="12.75" customHeight="1" collapsed="1">
      <c r="A26" s="139"/>
      <c r="B26" s="129" t="s">
        <v>4</v>
      </c>
      <c r="C26" s="359">
        <v>82.146000000000001</v>
      </c>
      <c r="D26" s="359">
        <v>94.230999999999995</v>
      </c>
      <c r="E26" s="359">
        <v>105.434</v>
      </c>
      <c r="F26" s="359">
        <v>118.79</v>
      </c>
      <c r="G26" s="360">
        <v>398.762</v>
      </c>
      <c r="H26" s="359">
        <v>117.471</v>
      </c>
      <c r="I26" s="359">
        <v>124.526</v>
      </c>
      <c r="J26" s="359">
        <v>122.04300000000001</v>
      </c>
      <c r="K26" s="361">
        <f>125.212-K62</f>
        <v>118.259</v>
      </c>
      <c r="L26" s="163">
        <f>K26+J26+I26+H26+K62-L62</f>
        <v>466.98700000000002</v>
      </c>
      <c r="M26" s="361">
        <f>129.392-M62</f>
        <v>121.601</v>
      </c>
      <c r="N26" s="361">
        <f>143.149-N62</f>
        <v>135.39500000000001</v>
      </c>
      <c r="O26" s="361">
        <f>127.924-O62</f>
        <v>119.90900000000001</v>
      </c>
      <c r="P26" s="361">
        <f>129.041-P62</f>
        <v>119.84299999999999</v>
      </c>
      <c r="Q26" s="151">
        <f>SUM(M26:P26)</f>
        <v>496.74799999999993</v>
      </c>
      <c r="R26" s="361">
        <f>138.862-R62</f>
        <v>128.30599999999998</v>
      </c>
      <c r="S26" s="361">
        <f>147.373-S62</f>
        <v>135.93099999999998</v>
      </c>
      <c r="T26" s="361">
        <f>158.295-T62</f>
        <v>144.958</v>
      </c>
      <c r="U26" s="361">
        <f>181.024-U62</f>
        <v>162.52600000000001</v>
      </c>
      <c r="V26" s="151">
        <f>SUM(R26:U26)</f>
        <v>571.721</v>
      </c>
      <c r="W26" s="361">
        <f>180.299-W62</f>
        <v>153.53800000000001</v>
      </c>
      <c r="X26" s="361">
        <f>187.463-X62</f>
        <v>159.74099999999999</v>
      </c>
      <c r="Y26" s="361">
        <f>224.045-Y62</f>
        <v>195.78699999999998</v>
      </c>
      <c r="Z26" s="361">
        <f>268.14-Z62</f>
        <v>234.36099999999999</v>
      </c>
      <c r="AA26" s="157">
        <f>SUM(W26:Z26)</f>
        <v>743.42699999999991</v>
      </c>
      <c r="AB26" s="361">
        <f>287.379-AB62</f>
        <v>244.07500000000002</v>
      </c>
      <c r="AC26" s="361">
        <f>294.501-AC62</f>
        <v>250.68699999999998</v>
      </c>
      <c r="AD26" s="361">
        <f>337.728-AD62</f>
        <v>291.67900000000003</v>
      </c>
      <c r="AE26" s="361">
        <f>351.745-AE62</f>
        <v>300.565</v>
      </c>
      <c r="AF26" s="157">
        <f>SUM(AB26:AE26)</f>
        <v>1087.0060000000001</v>
      </c>
      <c r="AG26" s="359">
        <f>343.113-AG62</f>
        <v>283.61099999999999</v>
      </c>
      <c r="AH26" s="359">
        <f>390.33-AH62</f>
        <v>330.28499999999997</v>
      </c>
      <c r="AI26" s="359">
        <f>425.924-AI62</f>
        <v>362.33399999999995</v>
      </c>
      <c r="AJ26" s="359">
        <f>461.21-AJ62</f>
        <v>388.64</v>
      </c>
      <c r="AK26" s="157">
        <f>SUM(AG26:AJ26)</f>
        <v>1364.87</v>
      </c>
      <c r="AL26" s="359">
        <f>470.112-AL62</f>
        <v>392.01</v>
      </c>
      <c r="AM26" s="359">
        <f>559.93-AM62-AM63</f>
        <v>405.61299999999994</v>
      </c>
      <c r="AN26" s="359">
        <f>543.047-AN62-AN63</f>
        <v>437.47500000000002</v>
      </c>
      <c r="AO26" s="359">
        <f>479.206-AO62-AO63</f>
        <v>404.149</v>
      </c>
      <c r="AP26" s="157">
        <f>SUM(AL26:AO26)</f>
        <v>1639.2469999999998</v>
      </c>
      <c r="AQ26" s="974">
        <f>507.435-AQ62-AQ63</f>
        <v>433.91200000000003</v>
      </c>
      <c r="AR26" s="974">
        <f>509.975-AR62-AR63</f>
        <v>440.447</v>
      </c>
      <c r="AS26" s="974">
        <f>529.749-AS62-AS63</f>
        <v>459.62600000000003</v>
      </c>
      <c r="AT26" s="974">
        <f>527.983-AT62-AT63</f>
        <v>444.27899999999994</v>
      </c>
      <c r="AU26" s="157">
        <f>SUM(AQ26:AT26)</f>
        <v>1778.2640000000001</v>
      </c>
      <c r="AV26" s="932">
        <f t="shared" ref="AV26:AY26" si="19">AV25+AV23</f>
        <v>455.70714285714291</v>
      </c>
      <c r="AW26" s="932">
        <f t="shared" si="19"/>
        <v>488.35267857142856</v>
      </c>
      <c r="AX26" s="932">
        <f t="shared" si="19"/>
        <v>507.18712053571426</v>
      </c>
      <c r="AY26" s="932">
        <f t="shared" si="19"/>
        <v>543.5012723214287</v>
      </c>
      <c r="AZ26" s="157">
        <f>AZ25+AZ23</f>
        <v>1994.7482142857143</v>
      </c>
      <c r="BA26" s="157"/>
      <c r="BB26" s="157"/>
      <c r="BC26" s="157"/>
      <c r="BD26" s="157"/>
      <c r="BE26" s="157">
        <f>BE25+BE23</f>
        <v>1941.3931818181818</v>
      </c>
      <c r="BF26" s="157"/>
      <c r="BG26" s="154"/>
      <c r="BH26" s="154"/>
      <c r="BI26" s="154"/>
      <c r="BJ26" s="157">
        <f>BJ25+BJ23</f>
        <v>1952.7051928571432</v>
      </c>
      <c r="BK26" s="157"/>
      <c r="BL26" s="157"/>
      <c r="BM26" s="157"/>
      <c r="BN26" s="157"/>
      <c r="BO26" s="157">
        <f>BO25+BO23</f>
        <v>1935.1710507142861</v>
      </c>
      <c r="BT26" s="157">
        <f>BT25+BT23</f>
        <v>1980.8483845000007</v>
      </c>
      <c r="BY26" s="157">
        <f>BY25+BY23</f>
        <v>2036.2491497071437</v>
      </c>
      <c r="CD26" s="157">
        <f>CD25+CD23</f>
        <v>2025.9522623264293</v>
      </c>
      <c r="CI26" s="157">
        <f>CI25+CI23</f>
        <v>2076.2887946391797</v>
      </c>
      <c r="CN26" s="157">
        <f>CN25+CN23</f>
        <v>2096.7535061932172</v>
      </c>
      <c r="CS26" s="157">
        <f>CS25+CS23</f>
        <v>2144.143841818332</v>
      </c>
      <c r="CX26" s="157">
        <f>CX25+CX23</f>
        <v>2172.1989358340747</v>
      </c>
      <c r="DC26" s="157">
        <f>DC25+DC23</f>
        <v>2191.8126186537565</v>
      </c>
      <c r="DH26" s="157">
        <f>DH25+DH23</f>
        <v>2217.0044067157332</v>
      </c>
      <c r="DJ26"/>
      <c r="DK26"/>
      <c r="DL26"/>
      <c r="DM26"/>
      <c r="DN26"/>
      <c r="DO26"/>
    </row>
    <row r="27" spans="1:119" s="143" customFormat="1" ht="12.75" customHeight="1">
      <c r="A27" s="139" t="s">
        <v>1</v>
      </c>
      <c r="B27" s="172" t="s">
        <v>8</v>
      </c>
      <c r="C27" s="376">
        <f t="shared" ref="C27:AY27" si="20">C15-C21-C26</f>
        <v>-19.231000000000002</v>
      </c>
      <c r="D27" s="376">
        <f t="shared" si="20"/>
        <v>-16.266000000000005</v>
      </c>
      <c r="E27" s="376">
        <f t="shared" si="20"/>
        <v>-1.2909999999999968</v>
      </c>
      <c r="F27" s="376">
        <f t="shared" si="20"/>
        <v>-39.408000000000001</v>
      </c>
      <c r="G27" s="166">
        <f t="shared" si="20"/>
        <v>-74.103000000000009</v>
      </c>
      <c r="H27" s="376">
        <f t="shared" si="20"/>
        <v>-28.87700000000001</v>
      </c>
      <c r="I27" s="376">
        <f t="shared" si="20"/>
        <v>-23.724000000000004</v>
      </c>
      <c r="J27" s="376">
        <f t="shared" si="20"/>
        <v>-32.093999999999994</v>
      </c>
      <c r="K27" s="376">
        <f t="shared" si="20"/>
        <v>0.76200000000002888</v>
      </c>
      <c r="L27" s="166">
        <f t="shared" si="20"/>
        <v>-57.626000000000033</v>
      </c>
      <c r="M27" s="376">
        <f t="shared" si="20"/>
        <v>-26.179000000000016</v>
      </c>
      <c r="N27" s="376">
        <f t="shared" si="20"/>
        <v>-47.924000000000007</v>
      </c>
      <c r="O27" s="376">
        <f t="shared" si="20"/>
        <v>-45.093000000000004</v>
      </c>
      <c r="P27" s="376">
        <f t="shared" si="20"/>
        <v>-29.89</v>
      </c>
      <c r="Q27" s="166">
        <f t="shared" si="20"/>
        <v>-149.08600000000001</v>
      </c>
      <c r="R27" s="376">
        <f t="shared" si="20"/>
        <v>45.445999999999998</v>
      </c>
      <c r="S27" s="376">
        <f t="shared" si="20"/>
        <v>107.10099999999997</v>
      </c>
      <c r="T27" s="376">
        <f t="shared" si="20"/>
        <v>222.88099999999994</v>
      </c>
      <c r="U27" s="376">
        <f t="shared" si="20"/>
        <v>176.44099999999997</v>
      </c>
      <c r="V27" s="166">
        <f t="shared" si="20"/>
        <v>551.86899999999969</v>
      </c>
      <c r="W27" s="377">
        <f t="shared" si="20"/>
        <v>206.08099999999996</v>
      </c>
      <c r="X27" s="377">
        <f t="shared" si="20"/>
        <v>202.54500000000002</v>
      </c>
      <c r="Y27" s="377">
        <f t="shared" si="20"/>
        <v>282.54699999999991</v>
      </c>
      <c r="Z27" s="377">
        <f t="shared" si="20"/>
        <v>267.25499999999982</v>
      </c>
      <c r="AA27" s="153">
        <f t="shared" si="20"/>
        <v>958.42800000000011</v>
      </c>
      <c r="AB27" s="377">
        <f t="shared" si="20"/>
        <v>267.34699999999998</v>
      </c>
      <c r="AC27" s="377">
        <f t="shared" si="20"/>
        <v>292.91800000000012</v>
      </c>
      <c r="AD27" s="377">
        <f t="shared" si="20"/>
        <v>297.18299999999994</v>
      </c>
      <c r="AE27" s="377">
        <f t="shared" si="20"/>
        <v>328.82200000000006</v>
      </c>
      <c r="AF27" s="153">
        <f t="shared" si="20"/>
        <v>1186.2699999999998</v>
      </c>
      <c r="AG27" s="377">
        <f t="shared" si="20"/>
        <v>387.99799999999993</v>
      </c>
      <c r="AH27" s="377">
        <f t="shared" si="20"/>
        <v>439.11599999999999</v>
      </c>
      <c r="AI27" s="377">
        <f t="shared" si="20"/>
        <v>495.06400000000019</v>
      </c>
      <c r="AJ27" s="377">
        <f t="shared" si="20"/>
        <v>388.78699999999969</v>
      </c>
      <c r="AK27" s="153">
        <f t="shared" si="20"/>
        <v>1710.9650000000001</v>
      </c>
      <c r="AL27" s="377">
        <f t="shared" si="20"/>
        <v>471.55800000000022</v>
      </c>
      <c r="AM27" s="377">
        <f t="shared" si="20"/>
        <v>498.31899999999985</v>
      </c>
      <c r="AN27" s="377">
        <f t="shared" si="20"/>
        <v>519.18099999999981</v>
      </c>
      <c r="AO27" s="377">
        <f t="shared" si="20"/>
        <v>501.56100000000004</v>
      </c>
      <c r="AP27" s="153">
        <f t="shared" si="20"/>
        <v>1990.6190000000001</v>
      </c>
      <c r="AQ27" s="930">
        <f>AQ15-AQ21-AQ26</f>
        <v>564.39099999999996</v>
      </c>
      <c r="AR27" s="930">
        <f t="shared" si="20"/>
        <v>671.56999999999982</v>
      </c>
      <c r="AS27" s="930">
        <f t="shared" si="20"/>
        <v>685.05399999999986</v>
      </c>
      <c r="AT27" s="930">
        <f t="shared" si="20"/>
        <v>691.17099999999982</v>
      </c>
      <c r="AU27" s="153">
        <f>AU15-AU21-AU26</f>
        <v>2612.1860000000006</v>
      </c>
      <c r="AV27" s="930">
        <f t="shared" si="20"/>
        <v>579.4977003508435</v>
      </c>
      <c r="AW27" s="930">
        <f t="shared" si="20"/>
        <v>634.82193942499191</v>
      </c>
      <c r="AX27" s="930">
        <f t="shared" si="20"/>
        <v>638.85467848457256</v>
      </c>
      <c r="AY27" s="930">
        <f t="shared" si="20"/>
        <v>558.08457670399332</v>
      </c>
      <c r="AZ27" s="153">
        <f>AZ15-AZ21-AZ26</f>
        <v>2411.2588949644014</v>
      </c>
      <c r="BA27" s="153"/>
      <c r="BB27" s="153"/>
      <c r="BC27" s="153"/>
      <c r="BD27" s="153"/>
      <c r="BE27" s="153">
        <f>BE15-BE21-BE26</f>
        <v>2734.7749037689509</v>
      </c>
      <c r="BF27" s="153"/>
      <c r="BG27" s="167"/>
      <c r="BH27" s="167"/>
      <c r="BI27" s="167"/>
      <c r="BJ27" s="153">
        <f>BJ15-BJ21-BJ26</f>
        <v>3269.0017177289014</v>
      </c>
      <c r="BK27" s="1014"/>
      <c r="BL27" s="1014"/>
      <c r="BM27" s="1014"/>
      <c r="BN27" s="1014"/>
      <c r="BO27" s="153">
        <f>BO15-BO21-BO26</f>
        <v>3722.0962518173974</v>
      </c>
      <c r="BT27" s="153">
        <f>BT15-BT21-BT26</f>
        <v>4276.4394364749114</v>
      </c>
      <c r="BY27" s="153">
        <f>BY15-BY21-BY26</f>
        <v>4676.4137993399345</v>
      </c>
      <c r="CD27" s="153">
        <f>CD15-CD21-CD26</f>
        <v>5086.4087928940571</v>
      </c>
      <c r="CI27" s="153">
        <f>CI15-CI21-CI26</f>
        <v>5449.7244284726221</v>
      </c>
      <c r="CN27" s="153">
        <f>CN15-CN21-CN26</f>
        <v>5401.2713321194205</v>
      </c>
      <c r="CS27" s="153">
        <f>CS15-CS21-CS26</f>
        <v>5147.8512258844785</v>
      </c>
      <c r="CX27" s="153">
        <f>CX15-CX21-CX26</f>
        <v>5225.6824987954406</v>
      </c>
      <c r="DC27" s="153">
        <f>DC15-DC21-DC26</f>
        <v>4768.8390992751556</v>
      </c>
      <c r="DH27" s="153">
        <f>DH15-DH21-DH26</f>
        <v>4844.5022721813684</v>
      </c>
      <c r="DJ27"/>
      <c r="DK27"/>
      <c r="DL27"/>
      <c r="DM27"/>
      <c r="DN27"/>
      <c r="DO27"/>
    </row>
    <row r="28" spans="1:119" s="143" customFormat="1" ht="12.75" customHeight="1">
      <c r="A28" s="139"/>
      <c r="B28" s="129"/>
      <c r="C28" s="368"/>
      <c r="D28" s="368"/>
      <c r="E28" s="368"/>
      <c r="F28" s="368"/>
      <c r="G28" s="151"/>
      <c r="H28" s="368"/>
      <c r="I28" s="368"/>
      <c r="J28" s="368"/>
      <c r="K28" s="368"/>
      <c r="L28" s="151"/>
      <c r="M28" s="368"/>
      <c r="N28" s="368"/>
      <c r="O28" s="368"/>
      <c r="P28" s="368"/>
      <c r="Q28" s="129"/>
      <c r="R28" s="368"/>
      <c r="S28" s="368"/>
      <c r="T28" s="368"/>
      <c r="U28" s="368"/>
      <c r="V28" s="129"/>
      <c r="W28" s="368"/>
      <c r="X28" s="368"/>
      <c r="Y28" s="368"/>
      <c r="Z28" s="368"/>
      <c r="AA28" s="129"/>
      <c r="AB28" s="368"/>
      <c r="AC28" s="368"/>
      <c r="AD28" s="368"/>
      <c r="AE28" s="368"/>
      <c r="AF28" s="129"/>
      <c r="AG28" s="368"/>
      <c r="AH28" s="368"/>
      <c r="AI28" s="368"/>
      <c r="AJ28" s="368"/>
      <c r="AK28" s="879"/>
      <c r="AL28" s="367"/>
      <c r="AM28" s="368"/>
      <c r="AN28" s="368"/>
      <c r="AO28" s="368"/>
      <c r="AP28" s="129"/>
      <c r="AQ28" s="931"/>
      <c r="AR28" s="931"/>
      <c r="AS28" s="931"/>
      <c r="AT28" s="931"/>
      <c r="AU28" s="129"/>
      <c r="AV28" s="931"/>
      <c r="AW28" s="931"/>
      <c r="AX28" s="931"/>
      <c r="AY28" s="931"/>
      <c r="AZ28" s="129"/>
      <c r="BA28" s="129"/>
      <c r="BB28" s="129"/>
      <c r="BC28" s="129"/>
      <c r="BD28" s="129"/>
      <c r="BE28" s="129"/>
      <c r="BF28" s="129"/>
      <c r="DJ28"/>
      <c r="DK28"/>
      <c r="DL28"/>
      <c r="DM28"/>
      <c r="DN28"/>
      <c r="DO28"/>
    </row>
    <row r="29" spans="1:119" s="143" customFormat="1" ht="12.75" hidden="1" customHeight="1" outlineLevel="2">
      <c r="A29" s="139"/>
      <c r="B29" s="130" t="s">
        <v>87</v>
      </c>
      <c r="C29" s="359">
        <v>1.75</v>
      </c>
      <c r="D29" s="359">
        <v>1.3280000000000001</v>
      </c>
      <c r="E29" s="359">
        <v>0.85699999999999998</v>
      </c>
      <c r="F29" s="359">
        <v>0.55300000000000005</v>
      </c>
      <c r="G29" s="151">
        <f>SUM(C29:F29)</f>
        <v>4.4880000000000004</v>
      </c>
      <c r="H29" s="359">
        <v>0.439</v>
      </c>
      <c r="I29" s="359">
        <v>0.59199999999999997</v>
      </c>
      <c r="J29" s="359">
        <v>0.45300000000000001</v>
      </c>
      <c r="K29" s="359">
        <v>0.63800000000000001</v>
      </c>
      <c r="L29" s="151">
        <f>SUM(H29:K29)</f>
        <v>2.1219999999999999</v>
      </c>
      <c r="M29" s="359">
        <v>1.0369999999999999</v>
      </c>
      <c r="N29" s="359">
        <v>0.998</v>
      </c>
      <c r="O29" s="359">
        <v>0.71499999999999997</v>
      </c>
      <c r="P29" s="359">
        <v>0.79900000000000004</v>
      </c>
      <c r="Q29" s="151">
        <f>SUM(M29:P29)</f>
        <v>3.5489999999999999</v>
      </c>
      <c r="R29" s="359">
        <v>0.61</v>
      </c>
      <c r="S29" s="359">
        <v>0.501</v>
      </c>
      <c r="T29" s="359">
        <v>0.51700000000000002</v>
      </c>
      <c r="U29" s="359">
        <v>0.38400000000000001</v>
      </c>
      <c r="V29" s="151">
        <f>SUM(R29:U29)</f>
        <v>2.012</v>
      </c>
      <c r="W29" s="359">
        <v>0.45600000000000002</v>
      </c>
      <c r="X29" s="359">
        <v>0.95399999999999996</v>
      </c>
      <c r="Y29" s="369">
        <v>0.61799999999999999</v>
      </c>
      <c r="Z29" s="369">
        <v>-2.2589999999999999</v>
      </c>
      <c r="AA29" s="163">
        <f>SUM(W29:Z29)</f>
        <v>-0.23099999999999987</v>
      </c>
      <c r="AB29" s="359">
        <v>0.93700000000000006</v>
      </c>
      <c r="AC29" s="359">
        <v>1.677</v>
      </c>
      <c r="AD29" s="359">
        <v>2.5910000000000002</v>
      </c>
      <c r="AE29" s="359">
        <v>2.952</v>
      </c>
      <c r="AF29" s="824">
        <f>SUM(AB29:AE29)</f>
        <v>8.157</v>
      </c>
      <c r="AG29" s="359">
        <v>8.1000000000000003E-2</v>
      </c>
      <c r="AH29" s="359">
        <v>1.849</v>
      </c>
      <c r="AI29" s="359">
        <v>2.6030000000000002</v>
      </c>
      <c r="AJ29" s="359">
        <v>1.75</v>
      </c>
      <c r="AK29" s="163">
        <f>SUM(AG29:AJ29)</f>
        <v>6.2830000000000004</v>
      </c>
      <c r="AL29" s="359">
        <v>2.2490000000000001</v>
      </c>
      <c r="AM29" s="359">
        <v>2.8010000000000002</v>
      </c>
      <c r="AN29" s="359">
        <v>3.3010000000000002</v>
      </c>
      <c r="AO29" s="361">
        <f>6.269-SUM(AL29:AN29)</f>
        <v>-2.0820000000000007</v>
      </c>
      <c r="AP29" s="163">
        <f>SUM(AL29:AO29)</f>
        <v>6.2690000000000001</v>
      </c>
      <c r="AQ29" s="973">
        <v>9.2479999999999993</v>
      </c>
      <c r="AR29" s="973">
        <f>-19.061+AR68</f>
        <v>11.039000000000001</v>
      </c>
      <c r="AS29" s="973">
        <v>5.6790000000000003</v>
      </c>
      <c r="AT29" s="973">
        <v>15.956</v>
      </c>
      <c r="AU29" s="163">
        <f>SUM(AQ29:AT29)</f>
        <v>41.921999999999997</v>
      </c>
      <c r="AV29" s="933">
        <f>AZ29*0.2</f>
        <v>15</v>
      </c>
      <c r="AW29" s="933">
        <f>AZ29*0.25</f>
        <v>18.75</v>
      </c>
      <c r="AX29" s="933">
        <f>AZ29*0.26</f>
        <v>19.5</v>
      </c>
      <c r="AY29" s="933">
        <f>AZ29-SUM(AV29:AX29)</f>
        <v>21.75</v>
      </c>
      <c r="AZ29" s="168">
        <f>BS!AZ64</f>
        <v>75</v>
      </c>
      <c r="BA29" s="129"/>
      <c r="BB29" s="129"/>
      <c r="BC29" s="129"/>
      <c r="BD29" s="129"/>
      <c r="BE29" s="168">
        <f>BS!BE64</f>
        <v>120</v>
      </c>
      <c r="BF29" s="129"/>
      <c r="BJ29" s="168">
        <f>BS!BJ64</f>
        <v>180</v>
      </c>
      <c r="BK29" s="168"/>
      <c r="BL29" s="168"/>
      <c r="BM29" s="168"/>
      <c r="BN29" s="168"/>
      <c r="BO29" s="168">
        <f>BS!BO64</f>
        <v>250</v>
      </c>
      <c r="BP29" s="168"/>
      <c r="BQ29" s="168"/>
      <c r="BR29" s="168"/>
      <c r="BS29" s="168"/>
      <c r="BT29" s="168">
        <f>BS!BT64</f>
        <v>315</v>
      </c>
      <c r="BU29" s="168"/>
      <c r="BV29" s="168"/>
      <c r="BW29" s="168"/>
      <c r="BX29" s="168"/>
      <c r="BY29" s="168">
        <f>BS!BY64</f>
        <v>400</v>
      </c>
      <c r="BZ29" s="168"/>
      <c r="CA29" s="168"/>
      <c r="CB29" s="168"/>
      <c r="CC29" s="168"/>
      <c r="CD29" s="168">
        <f>BS!CD64</f>
        <v>500</v>
      </c>
      <c r="CE29" s="168"/>
      <c r="CF29" s="168"/>
      <c r="CG29" s="168"/>
      <c r="CH29" s="168"/>
      <c r="CI29" s="168">
        <f>BS!CI64</f>
        <v>600</v>
      </c>
      <c r="CJ29" s="168"/>
      <c r="CK29" s="168"/>
      <c r="CL29" s="168"/>
      <c r="CM29" s="168"/>
      <c r="CN29" s="168">
        <f>BS!CN64</f>
        <v>700</v>
      </c>
      <c r="CO29" s="168"/>
      <c r="CP29" s="168"/>
      <c r="CQ29" s="168"/>
      <c r="CR29" s="168"/>
      <c r="CS29" s="168">
        <f>BS!CS64</f>
        <v>800</v>
      </c>
      <c r="CT29" s="168"/>
      <c r="CU29" s="168"/>
      <c r="CV29" s="168"/>
      <c r="CW29" s="168"/>
      <c r="CX29" s="168">
        <f>BS!CX64</f>
        <v>950</v>
      </c>
      <c r="CY29" s="168"/>
      <c r="CZ29" s="168"/>
      <c r="DA29" s="168"/>
      <c r="DB29" s="168"/>
      <c r="DC29" s="168">
        <f>BS!DC64</f>
        <v>1000</v>
      </c>
      <c r="DD29" s="168"/>
      <c r="DE29" s="168"/>
      <c r="DF29" s="168"/>
      <c r="DG29" s="168"/>
      <c r="DH29" s="168">
        <f>BS!DH64</f>
        <v>1200</v>
      </c>
      <c r="DJ29"/>
      <c r="DK29"/>
      <c r="DL29"/>
      <c r="DM29"/>
      <c r="DN29"/>
      <c r="DO29"/>
    </row>
    <row r="30" spans="1:119" s="143" customFormat="1" ht="12.75" hidden="1" customHeight="1" outlineLevel="2">
      <c r="A30" s="139"/>
      <c r="B30" s="130" t="s">
        <v>88</v>
      </c>
      <c r="C30" s="359">
        <v>0</v>
      </c>
      <c r="D30" s="359">
        <v>0</v>
      </c>
      <c r="E30" s="359">
        <v>-0.58099999999999996</v>
      </c>
      <c r="F30" s="359">
        <v>-1.756</v>
      </c>
      <c r="G30" s="151">
        <f>SUM(C30:F30)</f>
        <v>-2.3369999999999997</v>
      </c>
      <c r="H30" s="359">
        <v>-2.0840000000000001</v>
      </c>
      <c r="I30" s="359">
        <v>-2.3420000000000001</v>
      </c>
      <c r="J30" s="359">
        <v>-2.234</v>
      </c>
      <c r="K30" s="359">
        <v>-2.4580000000000002</v>
      </c>
      <c r="L30" s="151">
        <f>SUM(H30:K30)</f>
        <v>-9.1180000000000003</v>
      </c>
      <c r="M30" s="359">
        <v>-3.7189999999999999</v>
      </c>
      <c r="N30" s="359">
        <v>-4.0469999999999997</v>
      </c>
      <c r="O30" s="359">
        <v>-4.0609999999999999</v>
      </c>
      <c r="P30" s="359">
        <f>-9.455+P65</f>
        <v>-5.5110000000000001</v>
      </c>
      <c r="Q30" s="151">
        <f>SUM(M30:P30)</f>
        <v>-17.338000000000001</v>
      </c>
      <c r="R30" s="359">
        <f>-11.16+R65</f>
        <v>-4.0419999999999998</v>
      </c>
      <c r="S30" s="359">
        <f>-11.236+S65</f>
        <v>-4.0200000000000014</v>
      </c>
      <c r="T30" s="359">
        <f>-11.413+T65</f>
        <v>-4.0140000000000011</v>
      </c>
      <c r="U30" s="359">
        <f>-11.495+U65</f>
        <v>-4.0039999999999996</v>
      </c>
      <c r="V30" s="151">
        <f>SUM(R30:U30)-0.1</f>
        <v>-16.180000000000003</v>
      </c>
      <c r="W30" s="359">
        <f>-11.675+W65</f>
        <v>-3.9940000000000015</v>
      </c>
      <c r="X30" s="369">
        <f>-11.365+X65</f>
        <v>-4.03</v>
      </c>
      <c r="Y30" s="369">
        <f>-11.736+Y65</f>
        <v>-4.1130000000000004</v>
      </c>
      <c r="Z30" s="369">
        <f>-11.661+Z65</f>
        <v>-4.0199999999999996</v>
      </c>
      <c r="AA30" s="163">
        <f>SUM(W30:Z30)</f>
        <v>-16.157</v>
      </c>
      <c r="AB30" s="359">
        <f>-11.613+AB65</f>
        <v>-3.988999999999999</v>
      </c>
      <c r="AC30" s="361">
        <f>-10.177+AC65</f>
        <v>-3.83</v>
      </c>
      <c r="AD30" s="361">
        <f>-9.232+AD65</f>
        <v>-3.3569999999999993</v>
      </c>
      <c r="AE30" s="361">
        <f>-6.35+AE65</f>
        <v>-3.3749999999999996</v>
      </c>
      <c r="AF30" s="824">
        <f>SUM(AB30:AE30)</f>
        <v>-14.550999999999998</v>
      </c>
      <c r="AG30" s="359">
        <f>-6.169+AG66</f>
        <v>-3.9209999999999994</v>
      </c>
      <c r="AH30" s="359">
        <f>-2.748+AH66</f>
        <v>-2.4130000000000003</v>
      </c>
      <c r="AI30" s="359">
        <f>-1.715+AI66</f>
        <v>-1.5210000000000001</v>
      </c>
      <c r="AJ30" s="359">
        <f>-3.609+AJ66</f>
        <v>-3.5680000000000001</v>
      </c>
      <c r="AK30" s="163">
        <f>SUM(AG30:AJ30)</f>
        <v>-11.423</v>
      </c>
      <c r="AL30" s="359">
        <f>-1.406+AL66</f>
        <v>-1.3219999999999998</v>
      </c>
      <c r="AM30" s="359">
        <f>-2.173+AM66</f>
        <v>-1.679</v>
      </c>
      <c r="AN30" s="359">
        <f>-0.222+AN66</f>
        <v>-0.185</v>
      </c>
      <c r="AO30" s="361">
        <f>(-7.195+1.406+2.173+0.222)+AO66</f>
        <v>-3.3930000000000007</v>
      </c>
      <c r="AP30" s="163">
        <f>SUM(AL30:AO30)</f>
        <v>-6.5790000000000006</v>
      </c>
      <c r="AQ30" s="973">
        <v>-7.5010000000000003</v>
      </c>
      <c r="AR30" s="973">
        <v>-5.4009999999999998</v>
      </c>
      <c r="AS30" s="973">
        <v>0</v>
      </c>
      <c r="AT30" s="973">
        <v>0</v>
      </c>
      <c r="AU30" s="163">
        <f>SUM(AQ30:AT30)</f>
        <v>-12.902000000000001</v>
      </c>
      <c r="AV30" s="933">
        <v>-4</v>
      </c>
      <c r="AW30" s="933">
        <f>AV30*1.025</f>
        <v>-4.0999999999999996</v>
      </c>
      <c r="AX30" s="933">
        <f>AW30*1.025</f>
        <v>-4.2024999999999997</v>
      </c>
      <c r="AY30" s="933">
        <f>AZ30-SUM(AV30:AX30)</f>
        <v>-4.9989374859705187</v>
      </c>
      <c r="AZ30" s="163">
        <f>Debt!AP27</f>
        <v>-17.301437485970517</v>
      </c>
      <c r="BA30" s="129"/>
      <c r="BB30" s="129"/>
      <c r="BC30" s="129"/>
      <c r="BD30" s="129"/>
      <c r="BE30" s="163">
        <f>Debt!AU27</f>
        <v>-16.72340457032066</v>
      </c>
      <c r="BF30" s="129"/>
      <c r="BJ30" s="163">
        <f>Debt!AZ27</f>
        <v>-16.020667344225931</v>
      </c>
      <c r="BK30" s="163"/>
      <c r="BL30" s="163"/>
      <c r="BM30" s="163"/>
      <c r="BN30" s="163"/>
      <c r="BO30" s="163">
        <f>Debt!BE27</f>
        <v>0</v>
      </c>
      <c r="BT30" s="163">
        <f>Debt!BJ27</f>
        <v>0</v>
      </c>
      <c r="BY30" s="163">
        <f>Debt!BO27</f>
        <v>0</v>
      </c>
      <c r="CD30" s="163">
        <f>Debt!BT27</f>
        <v>0</v>
      </c>
      <c r="CI30" s="163">
        <f>Debt!BY27</f>
        <v>0</v>
      </c>
      <c r="CN30" s="163">
        <f>Debt!CD27</f>
        <v>0</v>
      </c>
      <c r="CS30" s="163">
        <f>Debt!CI27</f>
        <v>0</v>
      </c>
      <c r="CX30" s="163">
        <f>Debt!CN27</f>
        <v>0</v>
      </c>
      <c r="DC30" s="163">
        <f>Debt!CS27</f>
        <v>0</v>
      </c>
      <c r="DH30" s="163">
        <f>Debt!CX27</f>
        <v>0</v>
      </c>
      <c r="DJ30"/>
      <c r="DK30"/>
      <c r="DL30"/>
      <c r="DM30"/>
      <c r="DN30"/>
      <c r="DO30"/>
    </row>
    <row r="31" spans="1:119" s="143" customFormat="1" ht="12.75" hidden="1" customHeight="1" outlineLevel="1">
      <c r="A31" s="139" t="s">
        <v>1</v>
      </c>
      <c r="B31" s="130" t="s">
        <v>10</v>
      </c>
      <c r="C31" s="361">
        <f t="shared" ref="C31:K31" si="21">C29+C30</f>
        <v>1.75</v>
      </c>
      <c r="D31" s="361">
        <f t="shared" si="21"/>
        <v>1.3280000000000001</v>
      </c>
      <c r="E31" s="361">
        <f t="shared" si="21"/>
        <v>0.27600000000000002</v>
      </c>
      <c r="F31" s="361">
        <f t="shared" si="21"/>
        <v>-1.2029999999999998</v>
      </c>
      <c r="G31" s="156">
        <f t="shared" si="21"/>
        <v>2.1510000000000007</v>
      </c>
      <c r="H31" s="361">
        <f t="shared" si="21"/>
        <v>-1.645</v>
      </c>
      <c r="I31" s="361">
        <f t="shared" si="21"/>
        <v>-1.75</v>
      </c>
      <c r="J31" s="361">
        <f t="shared" si="21"/>
        <v>-1.7809999999999999</v>
      </c>
      <c r="K31" s="361">
        <f t="shared" si="21"/>
        <v>-1.8200000000000003</v>
      </c>
      <c r="L31" s="156">
        <f t="shared" ref="L31:Z31" si="22">L29+L30</f>
        <v>-6.9960000000000004</v>
      </c>
      <c r="M31" s="361">
        <f t="shared" si="22"/>
        <v>-2.6819999999999999</v>
      </c>
      <c r="N31" s="361">
        <f t="shared" si="22"/>
        <v>-3.0489999999999995</v>
      </c>
      <c r="O31" s="361">
        <f t="shared" si="22"/>
        <v>-3.3460000000000001</v>
      </c>
      <c r="P31" s="361">
        <f t="shared" si="22"/>
        <v>-4.7119999999999997</v>
      </c>
      <c r="Q31" s="156">
        <f t="shared" si="22"/>
        <v>-13.789000000000001</v>
      </c>
      <c r="R31" s="361">
        <f t="shared" si="22"/>
        <v>-3.4319999999999999</v>
      </c>
      <c r="S31" s="361">
        <f t="shared" si="22"/>
        <v>-3.5190000000000015</v>
      </c>
      <c r="T31" s="361">
        <f t="shared" si="22"/>
        <v>-3.4970000000000012</v>
      </c>
      <c r="U31" s="361">
        <f t="shared" si="22"/>
        <v>-3.6199999999999997</v>
      </c>
      <c r="V31" s="156">
        <f>V29+V30</f>
        <v>-14.168000000000003</v>
      </c>
      <c r="W31" s="361">
        <f>W29+W30</f>
        <v>-3.5380000000000016</v>
      </c>
      <c r="X31" s="361">
        <f>X29+X30</f>
        <v>-3.0760000000000005</v>
      </c>
      <c r="Y31" s="361">
        <f>Y29+Y30</f>
        <v>-3.4950000000000006</v>
      </c>
      <c r="Z31" s="361">
        <f t="shared" si="22"/>
        <v>-6.2789999999999999</v>
      </c>
      <c r="AA31" s="156">
        <f t="shared" ref="AA31:AH31" si="23">AA29+AA30</f>
        <v>-16.387999999999998</v>
      </c>
      <c r="AB31" s="361">
        <f t="shared" si="23"/>
        <v>-3.0519999999999987</v>
      </c>
      <c r="AC31" s="361">
        <f t="shared" si="23"/>
        <v>-2.153</v>
      </c>
      <c r="AD31" s="361">
        <f>AD29+AD30</f>
        <v>-0.76599999999999913</v>
      </c>
      <c r="AE31" s="361">
        <f>AE29+AE30</f>
        <v>-0.4229999999999996</v>
      </c>
      <c r="AF31" s="156">
        <f>AF29+AF30</f>
        <v>-6.3939999999999984</v>
      </c>
      <c r="AG31" s="361">
        <f t="shared" si="23"/>
        <v>-3.8399999999999994</v>
      </c>
      <c r="AH31" s="361">
        <f t="shared" si="23"/>
        <v>-0.56400000000000028</v>
      </c>
      <c r="AI31" s="361">
        <f t="shared" ref="AI31" si="24">AI29+AI30</f>
        <v>1.0820000000000001</v>
      </c>
      <c r="AJ31" s="361">
        <f>AJ29+AJ30</f>
        <v>-1.8180000000000001</v>
      </c>
      <c r="AK31" s="156">
        <f>AK29+AK30</f>
        <v>-5.14</v>
      </c>
      <c r="AL31" s="361">
        <f t="shared" ref="AL31:AO31" si="25">AL29+AL30</f>
        <v>0.92700000000000027</v>
      </c>
      <c r="AM31" s="361">
        <f t="shared" si="25"/>
        <v>1.1220000000000001</v>
      </c>
      <c r="AN31" s="361">
        <f t="shared" si="25"/>
        <v>3.1160000000000001</v>
      </c>
      <c r="AO31" s="361">
        <f t="shared" si="25"/>
        <v>-5.4750000000000014</v>
      </c>
      <c r="AP31" s="156">
        <f>AP29+AP30</f>
        <v>-0.3100000000000005</v>
      </c>
      <c r="AQ31" s="933">
        <f t="shared" ref="AQ31:AT31" si="26">AQ29+AQ30</f>
        <v>1.746999999999999</v>
      </c>
      <c r="AR31" s="933">
        <f t="shared" si="26"/>
        <v>5.6380000000000017</v>
      </c>
      <c r="AS31" s="933">
        <f t="shared" si="26"/>
        <v>5.6790000000000003</v>
      </c>
      <c r="AT31" s="933">
        <f t="shared" si="26"/>
        <v>15.956</v>
      </c>
      <c r="AU31" s="156">
        <f>AU29+AU30</f>
        <v>29.019999999999996</v>
      </c>
      <c r="AV31" s="933">
        <f t="shared" ref="AV31:AY31" si="27">AV29+AV30</f>
        <v>11</v>
      </c>
      <c r="AW31" s="933">
        <f t="shared" si="27"/>
        <v>14.65</v>
      </c>
      <c r="AX31" s="933">
        <f t="shared" si="27"/>
        <v>15.297499999999999</v>
      </c>
      <c r="AY31" s="933">
        <f t="shared" si="27"/>
        <v>16.751062514029481</v>
      </c>
      <c r="AZ31" s="156">
        <f>AZ29+AZ30</f>
        <v>57.698562514029483</v>
      </c>
      <c r="BA31" s="129"/>
      <c r="BB31" s="129"/>
      <c r="BC31" s="129"/>
      <c r="BD31" s="129"/>
      <c r="BE31" s="156">
        <f>BE29+BE30</f>
        <v>103.27659542967933</v>
      </c>
      <c r="BF31" s="129"/>
      <c r="BJ31" s="156">
        <f>BJ29+BJ30</f>
        <v>163.97933265577407</v>
      </c>
      <c r="BK31" s="156"/>
      <c r="BL31" s="156"/>
      <c r="BM31" s="156"/>
      <c r="BN31" s="156"/>
      <c r="BO31" s="156">
        <f>BO29+BO30</f>
        <v>250</v>
      </c>
      <c r="BP31" s="156"/>
      <c r="BQ31" s="156"/>
      <c r="BR31" s="156"/>
      <c r="BS31" s="156"/>
      <c r="BT31" s="156">
        <f>BT29+BT30</f>
        <v>315</v>
      </c>
      <c r="BU31" s="156"/>
      <c r="BV31" s="156"/>
      <c r="BW31" s="156"/>
      <c r="BX31" s="156"/>
      <c r="BY31" s="156">
        <f>BY29+BY30</f>
        <v>400</v>
      </c>
      <c r="BZ31" s="156"/>
      <c r="CA31" s="156"/>
      <c r="CB31" s="156"/>
      <c r="CC31" s="156"/>
      <c r="CD31" s="156">
        <f>CD29+CD30</f>
        <v>500</v>
      </c>
      <c r="CE31" s="156"/>
      <c r="CF31" s="156"/>
      <c r="CG31" s="156"/>
      <c r="CH31" s="156"/>
      <c r="CI31" s="156">
        <f>CI29+CI30</f>
        <v>600</v>
      </c>
      <c r="CJ31" s="156"/>
      <c r="CK31" s="156"/>
      <c r="CL31" s="156"/>
      <c r="CM31" s="156"/>
      <c r="CN31" s="156">
        <f>CN29+CN30</f>
        <v>700</v>
      </c>
      <c r="CO31" s="156"/>
      <c r="CP31" s="156"/>
      <c r="CQ31" s="156"/>
      <c r="CR31" s="156"/>
      <c r="CS31" s="156">
        <f>CS29+CS30</f>
        <v>800</v>
      </c>
      <c r="CT31" s="156"/>
      <c r="CU31" s="156"/>
      <c r="CV31" s="156"/>
      <c r="CW31" s="156"/>
      <c r="CX31" s="156">
        <f>CX29+CX30</f>
        <v>950</v>
      </c>
      <c r="CY31" s="156"/>
      <c r="CZ31" s="156"/>
      <c r="DA31" s="156"/>
      <c r="DB31" s="156"/>
      <c r="DC31" s="156">
        <f>DC29+DC30</f>
        <v>1000</v>
      </c>
      <c r="DD31" s="156"/>
      <c r="DE31" s="156"/>
      <c r="DF31" s="156"/>
      <c r="DG31" s="156"/>
      <c r="DH31" s="156">
        <f>DH29+DH30</f>
        <v>1200</v>
      </c>
      <c r="DJ31"/>
      <c r="DK31"/>
      <c r="DL31"/>
      <c r="DM31"/>
      <c r="DN31"/>
      <c r="DO31"/>
    </row>
    <row r="32" spans="1:119" s="143" customFormat="1" ht="12.75" hidden="1" customHeight="1" outlineLevel="1">
      <c r="A32" s="139"/>
      <c r="B32" s="130" t="s">
        <v>11</v>
      </c>
      <c r="C32" s="359">
        <v>0</v>
      </c>
      <c r="D32" s="359">
        <v>0</v>
      </c>
      <c r="E32" s="359">
        <v>0</v>
      </c>
      <c r="F32" s="359">
        <v>0</v>
      </c>
      <c r="G32" s="378">
        <v>0</v>
      </c>
      <c r="H32" s="359">
        <v>0</v>
      </c>
      <c r="I32" s="359">
        <v>0</v>
      </c>
      <c r="J32" s="359">
        <v>0</v>
      </c>
      <c r="K32" s="359">
        <v>0</v>
      </c>
      <c r="L32" s="151">
        <f>SUM(H32:K32)</f>
        <v>0</v>
      </c>
      <c r="M32" s="359">
        <v>0</v>
      </c>
      <c r="N32" s="359">
        <v>0</v>
      </c>
      <c r="O32" s="359">
        <v>0</v>
      </c>
      <c r="P32" s="359">
        <v>0</v>
      </c>
      <c r="Q32" s="151">
        <f>SUM(M32:P32)</f>
        <v>0</v>
      </c>
      <c r="R32" s="359">
        <v>0</v>
      </c>
      <c r="S32" s="359">
        <v>0</v>
      </c>
      <c r="T32" s="359">
        <v>0</v>
      </c>
      <c r="U32" s="359">
        <v>0</v>
      </c>
      <c r="V32" s="151">
        <f>SUM(R32:U32)</f>
        <v>0</v>
      </c>
      <c r="W32" s="359">
        <v>0</v>
      </c>
      <c r="X32" s="359">
        <v>0</v>
      </c>
      <c r="Y32" s="359">
        <v>0</v>
      </c>
      <c r="Z32" s="359">
        <v>0</v>
      </c>
      <c r="AA32" s="151">
        <f>SUM(W32:Z32)</f>
        <v>0</v>
      </c>
      <c r="AB32" s="359">
        <v>0</v>
      </c>
      <c r="AC32" s="359">
        <v>0</v>
      </c>
      <c r="AD32" s="359">
        <v>0</v>
      </c>
      <c r="AE32" s="359">
        <v>0</v>
      </c>
      <c r="AF32" s="151">
        <f>SUM(AB32:AE32)</f>
        <v>0</v>
      </c>
      <c r="AG32" s="359">
        <f>-0.942+AG68</f>
        <v>0</v>
      </c>
      <c r="AH32" s="359">
        <f>-15.964+AH68</f>
        <v>0</v>
      </c>
      <c r="AI32" s="359">
        <f>-0.021+AI68</f>
        <v>0</v>
      </c>
      <c r="AJ32" s="359">
        <f>-1.934+AJ68</f>
        <v>0</v>
      </c>
      <c r="AK32" s="151">
        <f>SUM(AG32:AJ32)</f>
        <v>0</v>
      </c>
      <c r="AL32" s="359">
        <v>0</v>
      </c>
      <c r="AM32" s="359">
        <v>0</v>
      </c>
      <c r="AN32" s="359">
        <v>0</v>
      </c>
      <c r="AO32" s="359">
        <v>0</v>
      </c>
      <c r="AP32" s="151">
        <f>SUM(AL32:AO32)</f>
        <v>0</v>
      </c>
      <c r="AQ32" s="973">
        <v>0</v>
      </c>
      <c r="AR32" s="973">
        <v>0</v>
      </c>
      <c r="AS32" s="933">
        <v>0</v>
      </c>
      <c r="AT32" s="933">
        <v>0</v>
      </c>
      <c r="AU32" s="151">
        <f>SUM(AQ32:AT32)</f>
        <v>0</v>
      </c>
      <c r="AV32" s="933">
        <v>0</v>
      </c>
      <c r="AW32" s="933">
        <v>0</v>
      </c>
      <c r="AX32" s="933">
        <v>0</v>
      </c>
      <c r="AY32" s="933">
        <v>0</v>
      </c>
      <c r="AZ32" s="151">
        <f>SUM(AV32:AY32)</f>
        <v>0</v>
      </c>
      <c r="BA32" s="129"/>
      <c r="BB32" s="129"/>
      <c r="BC32" s="129"/>
      <c r="BD32" s="129"/>
      <c r="BE32" s="151">
        <f>SUM(BA32:BD32)</f>
        <v>0</v>
      </c>
      <c r="BF32" s="129"/>
      <c r="BJ32" s="151">
        <f>SUM(BF32:BI32)</f>
        <v>0</v>
      </c>
      <c r="BK32" s="151"/>
      <c r="BL32" s="151"/>
      <c r="BM32" s="151"/>
      <c r="BN32" s="151"/>
      <c r="BO32" s="161">
        <f>BJ32</f>
        <v>0</v>
      </c>
      <c r="BT32" s="161">
        <f>BO32</f>
        <v>0</v>
      </c>
      <c r="BU32" s="161"/>
      <c r="BV32" s="161"/>
      <c r="BW32" s="161"/>
      <c r="BX32" s="161"/>
      <c r="BY32" s="161">
        <f>BT32</f>
        <v>0</v>
      </c>
      <c r="BZ32" s="161"/>
      <c r="CA32" s="161"/>
      <c r="CB32" s="161"/>
      <c r="CC32" s="161"/>
      <c r="CD32" s="161">
        <f>BY32</f>
        <v>0</v>
      </c>
      <c r="CE32" s="161"/>
      <c r="CF32" s="161"/>
      <c r="CG32" s="161"/>
      <c r="CH32" s="161"/>
      <c r="CI32" s="161">
        <f>CD32</f>
        <v>0</v>
      </c>
      <c r="CJ32" s="161"/>
      <c r="CK32" s="161"/>
      <c r="CL32" s="161"/>
      <c r="CM32" s="161"/>
      <c r="CN32" s="161">
        <f>CI32</f>
        <v>0</v>
      </c>
      <c r="CO32" s="161"/>
      <c r="CP32" s="161"/>
      <c r="CQ32" s="161"/>
      <c r="CR32" s="161"/>
      <c r="CS32" s="161">
        <f>CN32</f>
        <v>0</v>
      </c>
      <c r="CT32" s="161"/>
      <c r="CU32" s="161"/>
      <c r="CV32" s="161"/>
      <c r="CW32" s="161"/>
      <c r="CX32" s="161">
        <f>CS32</f>
        <v>0</v>
      </c>
      <c r="CY32" s="161"/>
      <c r="CZ32" s="161"/>
      <c r="DA32" s="161"/>
      <c r="DB32" s="161"/>
      <c r="DC32" s="161">
        <f>CX32</f>
        <v>0</v>
      </c>
      <c r="DD32" s="161"/>
      <c r="DE32" s="161"/>
      <c r="DF32" s="161"/>
      <c r="DG32" s="161"/>
      <c r="DH32" s="161">
        <f>DC32</f>
        <v>0</v>
      </c>
      <c r="DJ32"/>
      <c r="DK32"/>
      <c r="DL32"/>
      <c r="DM32"/>
      <c r="DN32"/>
      <c r="DO32"/>
    </row>
    <row r="33" spans="1:119" s="143" customFormat="1" ht="12.75" customHeight="1" collapsed="1">
      <c r="A33" s="139" t="s">
        <v>1</v>
      </c>
      <c r="B33" s="129" t="s">
        <v>9</v>
      </c>
      <c r="C33" s="361">
        <f>C32+C31</f>
        <v>1.75</v>
      </c>
      <c r="D33" s="361">
        <f>D32+D31</f>
        <v>1.3280000000000001</v>
      </c>
      <c r="E33" s="361">
        <f>E32+E31</f>
        <v>0.27600000000000002</v>
      </c>
      <c r="F33" s="361">
        <f>F32+F31</f>
        <v>-1.2029999999999998</v>
      </c>
      <c r="G33" s="156">
        <f>G32+G31</f>
        <v>2.1510000000000007</v>
      </c>
      <c r="H33" s="361">
        <f t="shared" ref="H33:N33" si="28">H32+H31</f>
        <v>-1.645</v>
      </c>
      <c r="I33" s="361">
        <f t="shared" si="28"/>
        <v>-1.75</v>
      </c>
      <c r="J33" s="361">
        <f t="shared" si="28"/>
        <v>-1.7809999999999999</v>
      </c>
      <c r="K33" s="361">
        <f t="shared" si="28"/>
        <v>-1.8200000000000003</v>
      </c>
      <c r="L33" s="151">
        <f t="shared" si="28"/>
        <v>-6.9960000000000004</v>
      </c>
      <c r="M33" s="361">
        <f t="shared" si="28"/>
        <v>-2.6819999999999999</v>
      </c>
      <c r="N33" s="361">
        <f t="shared" si="28"/>
        <v>-3.0489999999999995</v>
      </c>
      <c r="O33" s="361">
        <f t="shared" ref="O33:Z33" si="29">O32+O31</f>
        <v>-3.3460000000000001</v>
      </c>
      <c r="P33" s="361">
        <f t="shared" si="29"/>
        <v>-4.7119999999999997</v>
      </c>
      <c r="Q33" s="151">
        <f t="shared" si="29"/>
        <v>-13.789000000000001</v>
      </c>
      <c r="R33" s="361">
        <f t="shared" si="29"/>
        <v>-3.4319999999999999</v>
      </c>
      <c r="S33" s="361">
        <f t="shared" si="29"/>
        <v>-3.5190000000000015</v>
      </c>
      <c r="T33" s="361">
        <f t="shared" si="29"/>
        <v>-3.4970000000000012</v>
      </c>
      <c r="U33" s="361">
        <f t="shared" si="29"/>
        <v>-3.6199999999999997</v>
      </c>
      <c r="V33" s="151">
        <f t="shared" si="29"/>
        <v>-14.168000000000003</v>
      </c>
      <c r="W33" s="361">
        <f t="shared" si="29"/>
        <v>-3.5380000000000016</v>
      </c>
      <c r="X33" s="361">
        <f t="shared" si="29"/>
        <v>-3.0760000000000005</v>
      </c>
      <c r="Y33" s="361">
        <f t="shared" si="29"/>
        <v>-3.4950000000000006</v>
      </c>
      <c r="Z33" s="361">
        <f t="shared" si="29"/>
        <v>-6.2789999999999999</v>
      </c>
      <c r="AA33" s="151">
        <f t="shared" ref="AA33:AG33" si="30">AA32+AA31</f>
        <v>-16.387999999999998</v>
      </c>
      <c r="AB33" s="361">
        <f t="shared" si="30"/>
        <v>-3.0519999999999987</v>
      </c>
      <c r="AC33" s="361">
        <f>AC32+AC31</f>
        <v>-2.153</v>
      </c>
      <c r="AD33" s="361">
        <f>AD32+AD31</f>
        <v>-0.76599999999999913</v>
      </c>
      <c r="AE33" s="361">
        <f>AE32+AE31</f>
        <v>-0.4229999999999996</v>
      </c>
      <c r="AF33" s="151">
        <f>AF32+AF31</f>
        <v>-6.3939999999999984</v>
      </c>
      <c r="AG33" s="361">
        <f t="shared" si="30"/>
        <v>-3.8399999999999994</v>
      </c>
      <c r="AH33" s="361">
        <f t="shared" ref="AH33:AY33" si="31">AH32+AH31</f>
        <v>-0.56400000000000028</v>
      </c>
      <c r="AI33" s="361">
        <f t="shared" ref="AI33" si="32">AI32+AI31</f>
        <v>1.0820000000000001</v>
      </c>
      <c r="AJ33" s="361">
        <f t="shared" si="31"/>
        <v>-1.8180000000000001</v>
      </c>
      <c r="AK33" s="151">
        <f>AK32+AK31</f>
        <v>-5.14</v>
      </c>
      <c r="AL33" s="361">
        <f t="shared" si="31"/>
        <v>0.92700000000000027</v>
      </c>
      <c r="AM33" s="361">
        <f t="shared" si="31"/>
        <v>1.1220000000000001</v>
      </c>
      <c r="AN33" s="361">
        <f t="shared" si="31"/>
        <v>3.1160000000000001</v>
      </c>
      <c r="AO33" s="361">
        <f t="shared" si="31"/>
        <v>-5.4750000000000014</v>
      </c>
      <c r="AP33" s="151">
        <f>SUM(AL33:AO33)</f>
        <v>-0.3100000000000005</v>
      </c>
      <c r="AQ33" s="933">
        <f t="shared" si="31"/>
        <v>1.746999999999999</v>
      </c>
      <c r="AR33" s="933">
        <f t="shared" si="31"/>
        <v>5.6380000000000017</v>
      </c>
      <c r="AS33" s="973">
        <v>5.6790000000000003</v>
      </c>
      <c r="AT33" s="973">
        <v>15.956</v>
      </c>
      <c r="AU33" s="151">
        <f>SUM(AQ33:AT33)</f>
        <v>29.02</v>
      </c>
      <c r="AV33" s="933">
        <f t="shared" si="31"/>
        <v>11</v>
      </c>
      <c r="AW33" s="933">
        <f t="shared" si="31"/>
        <v>14.65</v>
      </c>
      <c r="AX33" s="933">
        <f t="shared" si="31"/>
        <v>15.297499999999999</v>
      </c>
      <c r="AY33" s="933">
        <f t="shared" si="31"/>
        <v>16.751062514029481</v>
      </c>
      <c r="AZ33" s="151">
        <f>AZ32+AZ31</f>
        <v>57.698562514029483</v>
      </c>
      <c r="BA33" s="129"/>
      <c r="BB33" s="129"/>
      <c r="BC33" s="129"/>
      <c r="BD33" s="129"/>
      <c r="BE33" s="151">
        <f>BE32+BE31</f>
        <v>103.27659542967933</v>
      </c>
      <c r="BF33" s="129"/>
      <c r="BJ33" s="151">
        <f>BJ32+BJ31</f>
        <v>163.97933265577407</v>
      </c>
      <c r="BK33" s="151"/>
      <c r="BL33" s="151"/>
      <c r="BM33" s="151"/>
      <c r="BN33" s="151"/>
      <c r="BO33" s="151">
        <f>BO32+BO31</f>
        <v>250</v>
      </c>
      <c r="BT33" s="151">
        <f>BT32+BT31</f>
        <v>315</v>
      </c>
      <c r="BY33" s="151">
        <f>BY32+BY31</f>
        <v>400</v>
      </c>
      <c r="CD33" s="151">
        <f>CD32+CD31</f>
        <v>500</v>
      </c>
      <c r="CI33" s="151">
        <f>CI32+CI31</f>
        <v>600</v>
      </c>
      <c r="CN33" s="151">
        <f>CN32+CN31</f>
        <v>700</v>
      </c>
      <c r="CS33" s="151">
        <f>CS32+CS31</f>
        <v>800</v>
      </c>
      <c r="CX33" s="151">
        <f>CX32+CX31</f>
        <v>950</v>
      </c>
      <c r="DC33" s="151">
        <f>DC32+DC31</f>
        <v>1000</v>
      </c>
      <c r="DH33" s="151">
        <f>DH32+DH31</f>
        <v>1200</v>
      </c>
      <c r="DJ33"/>
      <c r="DK33"/>
      <c r="DL33"/>
      <c r="DM33"/>
      <c r="DN33"/>
      <c r="DO33"/>
    </row>
    <row r="34" spans="1:119" s="143" customFormat="1" ht="12.75" customHeight="1">
      <c r="A34" s="139"/>
      <c r="B34" s="129"/>
      <c r="C34" s="368"/>
      <c r="D34" s="368"/>
      <c r="E34" s="368"/>
      <c r="F34" s="368"/>
      <c r="G34" s="151"/>
      <c r="H34" s="368"/>
      <c r="I34" s="368"/>
      <c r="J34" s="368"/>
      <c r="K34" s="368"/>
      <c r="L34" s="151"/>
      <c r="M34" s="361"/>
      <c r="N34" s="361"/>
      <c r="O34" s="361"/>
      <c r="P34" s="368"/>
      <c r="Q34" s="129"/>
      <c r="R34" s="368"/>
      <c r="S34" s="368"/>
      <c r="T34" s="368"/>
      <c r="U34" s="368"/>
      <c r="V34" s="129"/>
      <c r="W34" s="368"/>
      <c r="X34" s="368"/>
      <c r="Y34" s="368"/>
      <c r="Z34" s="368"/>
      <c r="AA34" s="129"/>
      <c r="AB34" s="368"/>
      <c r="AC34" s="368"/>
      <c r="AD34" s="368"/>
      <c r="AE34" s="368"/>
      <c r="AF34" s="129"/>
      <c r="AG34" s="368"/>
      <c r="AH34" s="368"/>
      <c r="AI34" s="368"/>
      <c r="AJ34" s="368"/>
      <c r="AK34" s="880"/>
      <c r="AL34" s="368"/>
      <c r="AM34" s="368"/>
      <c r="AN34" s="368"/>
      <c r="AO34" s="368"/>
      <c r="AP34" s="129"/>
      <c r="AQ34" s="931"/>
      <c r="AR34" s="931"/>
      <c r="AS34" s="931"/>
      <c r="AT34" s="931"/>
      <c r="AU34" s="129"/>
      <c r="AV34" s="931"/>
      <c r="AW34" s="931"/>
      <c r="AX34" s="931"/>
      <c r="AY34" s="931"/>
      <c r="AZ34" s="129"/>
      <c r="BA34" s="129"/>
      <c r="BB34" s="129"/>
      <c r="BC34" s="129"/>
      <c r="BD34" s="129"/>
      <c r="BE34" s="129"/>
      <c r="BF34" s="129"/>
      <c r="DJ34"/>
      <c r="DK34"/>
      <c r="DL34"/>
      <c r="DM34"/>
      <c r="DN34"/>
      <c r="DO34"/>
    </row>
    <row r="35" spans="1:119" s="143" customFormat="1" ht="12.75" customHeight="1">
      <c r="A35" s="139" t="s">
        <v>1</v>
      </c>
      <c r="B35" s="129" t="s">
        <v>12</v>
      </c>
      <c r="C35" s="361">
        <f>C27+C33</f>
        <v>-17.481000000000002</v>
      </c>
      <c r="D35" s="361">
        <f>D27+D33</f>
        <v>-14.938000000000006</v>
      </c>
      <c r="E35" s="361">
        <f>E27+E33</f>
        <v>-1.0149999999999968</v>
      </c>
      <c r="F35" s="361">
        <f>F27+F33</f>
        <v>-40.611000000000004</v>
      </c>
      <c r="G35" s="151">
        <f>G27+G33</f>
        <v>-71.952000000000012</v>
      </c>
      <c r="H35" s="361">
        <f t="shared" ref="H35:N35" si="33">H27+H33</f>
        <v>-30.522000000000009</v>
      </c>
      <c r="I35" s="361">
        <f t="shared" si="33"/>
        <v>-25.474000000000004</v>
      </c>
      <c r="J35" s="361">
        <f t="shared" si="33"/>
        <v>-33.874999999999993</v>
      </c>
      <c r="K35" s="361">
        <f t="shared" si="33"/>
        <v>-1.0579999999999714</v>
      </c>
      <c r="L35" s="151">
        <f t="shared" si="33"/>
        <v>-64.622000000000028</v>
      </c>
      <c r="M35" s="361">
        <f t="shared" si="33"/>
        <v>-28.861000000000015</v>
      </c>
      <c r="N35" s="361">
        <f t="shared" si="33"/>
        <v>-50.973000000000006</v>
      </c>
      <c r="O35" s="361">
        <f t="shared" ref="O35:T35" si="34">O27+O33</f>
        <v>-48.439000000000007</v>
      </c>
      <c r="P35" s="361">
        <f t="shared" si="34"/>
        <v>-34.602000000000004</v>
      </c>
      <c r="Q35" s="151">
        <f t="shared" si="34"/>
        <v>-162.875</v>
      </c>
      <c r="R35" s="361">
        <f t="shared" si="34"/>
        <v>42.013999999999996</v>
      </c>
      <c r="S35" s="361">
        <f t="shared" si="34"/>
        <v>103.58199999999997</v>
      </c>
      <c r="T35" s="361">
        <f t="shared" si="34"/>
        <v>219.38399999999993</v>
      </c>
      <c r="U35" s="361">
        <f>U27+U33</f>
        <v>172.82099999999997</v>
      </c>
      <c r="V35" s="151">
        <f>V27+V33</f>
        <v>537.70099999999968</v>
      </c>
      <c r="W35" s="361">
        <f t="shared" ref="W35:AE35" si="35">W27+W33</f>
        <v>202.54299999999995</v>
      </c>
      <c r="X35" s="361">
        <f t="shared" si="35"/>
        <v>199.46900000000002</v>
      </c>
      <c r="Y35" s="361">
        <f t="shared" si="35"/>
        <v>279.05199999999991</v>
      </c>
      <c r="Z35" s="361">
        <f t="shared" si="35"/>
        <v>260.97599999999983</v>
      </c>
      <c r="AA35" s="157">
        <f t="shared" si="35"/>
        <v>942.04000000000008</v>
      </c>
      <c r="AB35" s="361">
        <f>AB27+AB33</f>
        <v>264.29499999999996</v>
      </c>
      <c r="AC35" s="361">
        <f>AC27+AC33</f>
        <v>290.7650000000001</v>
      </c>
      <c r="AD35" s="361">
        <f t="shared" si="35"/>
        <v>296.41699999999992</v>
      </c>
      <c r="AE35" s="361">
        <f t="shared" si="35"/>
        <v>328.39900000000006</v>
      </c>
      <c r="AF35" s="157">
        <f>AF27+AF33</f>
        <v>1179.8759999999997</v>
      </c>
      <c r="AG35" s="361">
        <f t="shared" ref="AG35:AO35" si="36">AG27+AG33</f>
        <v>384.15799999999996</v>
      </c>
      <c r="AH35" s="361">
        <f t="shared" si="36"/>
        <v>438.55199999999996</v>
      </c>
      <c r="AI35" s="361">
        <f t="shared" si="36"/>
        <v>496.14600000000019</v>
      </c>
      <c r="AJ35" s="361">
        <f t="shared" si="36"/>
        <v>386.96899999999971</v>
      </c>
      <c r="AK35" s="157">
        <f t="shared" si="36"/>
        <v>1705.825</v>
      </c>
      <c r="AL35" s="361">
        <f t="shared" si="36"/>
        <v>472.48500000000024</v>
      </c>
      <c r="AM35" s="361">
        <f t="shared" si="36"/>
        <v>499.44099999999986</v>
      </c>
      <c r="AN35" s="361">
        <f t="shared" si="36"/>
        <v>522.2969999999998</v>
      </c>
      <c r="AO35" s="361">
        <f t="shared" si="36"/>
        <v>496.08600000000001</v>
      </c>
      <c r="AP35" s="157">
        <f>AP27+AP33</f>
        <v>1990.3090000000002</v>
      </c>
      <c r="AQ35" s="932">
        <f t="shared" ref="AQ35:AT35" si="37">AQ27+AQ33</f>
        <v>566.13799999999992</v>
      </c>
      <c r="AR35" s="932">
        <f t="shared" si="37"/>
        <v>677.20799999999986</v>
      </c>
      <c r="AS35" s="932">
        <f t="shared" si="37"/>
        <v>690.73299999999983</v>
      </c>
      <c r="AT35" s="932">
        <f t="shared" si="37"/>
        <v>707.12699999999984</v>
      </c>
      <c r="AU35" s="157">
        <f>AU27+AU33</f>
        <v>2641.2060000000006</v>
      </c>
      <c r="AV35" s="932">
        <f t="shared" ref="AV35:AY35" si="38">AV27+AV33</f>
        <v>590.4977003508435</v>
      </c>
      <c r="AW35" s="932">
        <f t="shared" si="38"/>
        <v>649.47193942499189</v>
      </c>
      <c r="AX35" s="932">
        <f t="shared" si="38"/>
        <v>654.15217848457257</v>
      </c>
      <c r="AY35" s="932">
        <f t="shared" si="38"/>
        <v>574.83563921802283</v>
      </c>
      <c r="AZ35" s="157">
        <f>AZ27+AZ33</f>
        <v>2468.957457478431</v>
      </c>
      <c r="BA35" s="157"/>
      <c r="BB35" s="157"/>
      <c r="BC35" s="157"/>
      <c r="BD35" s="157"/>
      <c r="BE35" s="157">
        <f>BE27+BE33</f>
        <v>2838.0514991986302</v>
      </c>
      <c r="BF35" s="157"/>
      <c r="BG35" s="154"/>
      <c r="BH35" s="154"/>
      <c r="BI35" s="154"/>
      <c r="BJ35" s="157">
        <f>BJ27+BJ33</f>
        <v>3432.9810503846757</v>
      </c>
      <c r="BK35" s="157"/>
      <c r="BL35" s="157"/>
      <c r="BM35" s="157"/>
      <c r="BN35" s="157"/>
      <c r="BO35" s="157">
        <f>BO27+BO33</f>
        <v>3972.0962518173974</v>
      </c>
      <c r="BT35" s="157">
        <f>BT27+BT33</f>
        <v>4591.4394364749114</v>
      </c>
      <c r="BY35" s="157">
        <f>BY27+BY33</f>
        <v>5076.4137993399345</v>
      </c>
      <c r="CD35" s="157">
        <f>CD27+CD33</f>
        <v>5586.4087928940571</v>
      </c>
      <c r="CI35" s="157">
        <f>CI27+CI33</f>
        <v>6049.7244284726221</v>
      </c>
      <c r="CN35" s="157">
        <f>CN27+CN33</f>
        <v>6101.2713321194205</v>
      </c>
      <c r="CS35" s="157">
        <f>CS27+CS33</f>
        <v>5947.8512258844785</v>
      </c>
      <c r="CX35" s="157">
        <f>CX27+CX33</f>
        <v>6175.6824987954406</v>
      </c>
      <c r="DC35" s="157">
        <f>DC27+DC33</f>
        <v>5768.8390992751556</v>
      </c>
      <c r="DH35" s="157">
        <f>DH27+DH33</f>
        <v>6044.5022721813684</v>
      </c>
      <c r="DJ35"/>
      <c r="DK35"/>
      <c r="DL35"/>
      <c r="DM35"/>
      <c r="DN35"/>
      <c r="DO35"/>
    </row>
    <row r="36" spans="1:119" s="143" customFormat="1" ht="12.75" customHeight="1">
      <c r="A36" s="139"/>
      <c r="B36" s="129" t="s">
        <v>14</v>
      </c>
      <c r="C36" s="359">
        <v>0</v>
      </c>
      <c r="D36" s="359">
        <v>0</v>
      </c>
      <c r="E36" s="359">
        <v>0</v>
      </c>
      <c r="F36" s="359">
        <v>-4.1219999999999999</v>
      </c>
      <c r="G36" s="151">
        <f>F36+E36+D36+C36</f>
        <v>-4.1219999999999999</v>
      </c>
      <c r="H36" s="359">
        <v>0</v>
      </c>
      <c r="I36" s="359">
        <v>0</v>
      </c>
      <c r="J36" s="359">
        <v>0</v>
      </c>
      <c r="K36" s="359">
        <v>0</v>
      </c>
      <c r="L36" s="151">
        <f>K36+J36+I36+H36</f>
        <v>0</v>
      </c>
      <c r="M36" s="359">
        <v>-0.216</v>
      </c>
      <c r="N36" s="359">
        <v>-0.86299999999999999</v>
      </c>
      <c r="O36" s="359">
        <v>0.56200000000000006</v>
      </c>
      <c r="P36" s="359">
        <v>-0.61499999999999999</v>
      </c>
      <c r="Q36" s="151">
        <f>SUM(M36:P36)</f>
        <v>-1.1319999999999999</v>
      </c>
      <c r="R36" s="359">
        <v>0</v>
      </c>
      <c r="S36" s="359">
        <v>0</v>
      </c>
      <c r="T36" s="359">
        <v>0</v>
      </c>
      <c r="U36" s="359">
        <f>335.848+U70</f>
        <v>0</v>
      </c>
      <c r="V36" s="151">
        <f>SUM(R36:U36)</f>
        <v>0</v>
      </c>
      <c r="W36" s="359">
        <v>0</v>
      </c>
      <c r="X36" s="359">
        <v>0</v>
      </c>
      <c r="Y36" s="359">
        <v>0</v>
      </c>
      <c r="Z36" s="359">
        <f>101.347-Z70</f>
        <v>0</v>
      </c>
      <c r="AA36" s="378">
        <v>0</v>
      </c>
      <c r="AB36" s="359">
        <v>0</v>
      </c>
      <c r="AC36" s="359">
        <f>110.384-AC70</f>
        <v>0</v>
      </c>
      <c r="AD36" s="359">
        <f>96.358-AD70</f>
        <v>0</v>
      </c>
      <c r="AE36" s="359">
        <f>111.111-AE70</f>
        <v>0</v>
      </c>
      <c r="AF36" s="151">
        <f>SUM(AB36:AE36)</f>
        <v>0</v>
      </c>
      <c r="AG36" s="359">
        <f>200.502-AG70</f>
        <v>47.933999999999997</v>
      </c>
      <c r="AH36" s="359">
        <f>133.353-AH70</f>
        <v>100.42800000000001</v>
      </c>
      <c r="AI36" s="359">
        <f>182.891-AI70</f>
        <v>93.274999999999991</v>
      </c>
      <c r="AJ36" s="359">
        <f>72.295-AJ70</f>
        <v>60.862000000000002</v>
      </c>
      <c r="AK36" s="158">
        <f>SUM(AG36:AJ36)</f>
        <v>302.49900000000002</v>
      </c>
      <c r="AL36" s="359">
        <f>164.415-AL70</f>
        <v>179.68599999999998</v>
      </c>
      <c r="AM36" s="359">
        <f>96.038-AM70</f>
        <v>170.32499999999999</v>
      </c>
      <c r="AN36" s="359">
        <f>101.077-AN70</f>
        <v>157.30000000000001</v>
      </c>
      <c r="AO36" s="359">
        <f>88.412-AO70</f>
        <v>143.54400000000001</v>
      </c>
      <c r="AP36" s="158">
        <f>SUM(AL36:AO36)</f>
        <v>650.85500000000002</v>
      </c>
      <c r="AQ36" s="974">
        <f>183.358-AQ70</f>
        <v>229.53700000000001</v>
      </c>
      <c r="AR36" s="974">
        <f>138.106-AR70</f>
        <v>190.416</v>
      </c>
      <c r="AS36" s="974">
        <f>177.288-AS70</f>
        <v>220.24600000000001</v>
      </c>
      <c r="AT36" s="974">
        <f>381.248-AT70</f>
        <v>99.62700000000001</v>
      </c>
      <c r="AU36" s="158">
        <f>SUM(AQ36:AT36)</f>
        <v>739.82600000000002</v>
      </c>
      <c r="AV36" s="932">
        <f t="shared" ref="AV36:AY36" si="39">AV35*AV37</f>
        <v>104.0557248921146</v>
      </c>
      <c r="AW36" s="932">
        <f t="shared" si="39"/>
        <v>114.4479875430535</v>
      </c>
      <c r="AX36" s="932">
        <f t="shared" si="39"/>
        <v>115.27272516307082</v>
      </c>
      <c r="AY36" s="932">
        <f t="shared" si="39"/>
        <v>101.29580368749015</v>
      </c>
      <c r="AZ36" s="158">
        <f>Antibodies!AB172</f>
        <v>435.07224128572909</v>
      </c>
      <c r="BA36" s="157"/>
      <c r="BB36" s="157"/>
      <c r="BC36" s="157"/>
      <c r="BD36" s="157"/>
      <c r="BE36" s="158">
        <f>Antibodies!AG172</f>
        <v>533.44242517751036</v>
      </c>
      <c r="BF36" s="157"/>
      <c r="BG36" s="154"/>
      <c r="BH36" s="154"/>
      <c r="BI36" s="154"/>
      <c r="BJ36" s="158">
        <f>Antibodies!AL172</f>
        <v>649.86227586660186</v>
      </c>
      <c r="BK36" s="158"/>
      <c r="BL36" s="158"/>
      <c r="BM36" s="158"/>
      <c r="BN36" s="158"/>
      <c r="BO36" s="158">
        <f>Antibodies!AQ172</f>
        <v>735.75547725119873</v>
      </c>
      <c r="BP36" s="169"/>
      <c r="BQ36" s="169"/>
      <c r="BR36" s="169"/>
      <c r="BS36" s="169"/>
      <c r="BT36" s="158">
        <f>Antibodies!AV172</f>
        <v>832.51231970828974</v>
      </c>
      <c r="BY36" s="158">
        <f>Antibodies!BA172</f>
        <v>900.14722920118675</v>
      </c>
      <c r="CD36" s="158">
        <f>Antibodies!BF172</f>
        <v>973.52933040025096</v>
      </c>
      <c r="CI36" s="158">
        <f>Antibodies!BK172</f>
        <v>1038.3930819772897</v>
      </c>
      <c r="CN36" s="158">
        <f>Antibodies!BP172</f>
        <v>1021.975889785351</v>
      </c>
      <c r="CS36" s="158">
        <f>Antibodies!BU172</f>
        <v>972.18964333292047</v>
      </c>
      <c r="CX36" s="158">
        <f>Antibodies!BZ172</f>
        <v>989.38224841918429</v>
      </c>
      <c r="DC36" s="158">
        <f>Antibodies!CE172</f>
        <v>901.15213294462683</v>
      </c>
      <c r="DH36" s="158">
        <f>Antibodies!CJ172</f>
        <v>930.87257812344592</v>
      </c>
      <c r="DJ36"/>
      <c r="DK36"/>
      <c r="DL36"/>
      <c r="DM36"/>
      <c r="DN36"/>
      <c r="DO36"/>
    </row>
    <row r="37" spans="1:119" s="237" customFormat="1" ht="12.75" customHeight="1" thickBot="1">
      <c r="A37" s="232"/>
      <c r="B37" s="233" t="s">
        <v>13</v>
      </c>
      <c r="C37" s="379">
        <f>C36/C35</f>
        <v>0</v>
      </c>
      <c r="D37" s="379">
        <f>D36/D35</f>
        <v>0</v>
      </c>
      <c r="E37" s="379">
        <f>E36/E35</f>
        <v>0</v>
      </c>
      <c r="F37" s="379">
        <f>F36/F35</f>
        <v>0.10149959370613872</v>
      </c>
      <c r="G37" s="234">
        <f>G36/G35</f>
        <v>5.7288192128085377E-2</v>
      </c>
      <c r="H37" s="379">
        <f t="shared" ref="H37:N37" si="40">H36/H35</f>
        <v>0</v>
      </c>
      <c r="I37" s="379">
        <f t="shared" si="40"/>
        <v>0</v>
      </c>
      <c r="J37" s="379">
        <f t="shared" si="40"/>
        <v>0</v>
      </c>
      <c r="K37" s="379">
        <f t="shared" si="40"/>
        <v>0</v>
      </c>
      <c r="L37" s="234">
        <f t="shared" si="40"/>
        <v>0</v>
      </c>
      <c r="M37" s="379">
        <f t="shared" si="40"/>
        <v>7.4841481584144651E-3</v>
      </c>
      <c r="N37" s="379">
        <f t="shared" si="40"/>
        <v>1.6930531850195198E-2</v>
      </c>
      <c r="O37" s="379">
        <f t="shared" ref="O37:V37" si="41">O36/O35</f>
        <v>-1.1602221350564627E-2</v>
      </c>
      <c r="P37" s="379">
        <f t="shared" si="41"/>
        <v>1.7773539101786022E-2</v>
      </c>
      <c r="Q37" s="235">
        <f t="shared" si="41"/>
        <v>6.9501151189562543E-3</v>
      </c>
      <c r="R37" s="379">
        <f t="shared" si="41"/>
        <v>0</v>
      </c>
      <c r="S37" s="379">
        <f t="shared" si="41"/>
        <v>0</v>
      </c>
      <c r="T37" s="379">
        <f t="shared" si="41"/>
        <v>0</v>
      </c>
      <c r="U37" s="379">
        <f t="shared" si="41"/>
        <v>0</v>
      </c>
      <c r="V37" s="235">
        <f t="shared" si="41"/>
        <v>0</v>
      </c>
      <c r="W37" s="379">
        <f t="shared" ref="W37:AF37" si="42">W36/W35</f>
        <v>0</v>
      </c>
      <c r="X37" s="379">
        <f t="shared" si="42"/>
        <v>0</v>
      </c>
      <c r="Y37" s="379">
        <f t="shared" si="42"/>
        <v>0</v>
      </c>
      <c r="Z37" s="379">
        <f t="shared" si="42"/>
        <v>0</v>
      </c>
      <c r="AA37" s="236">
        <f t="shared" si="42"/>
        <v>0</v>
      </c>
      <c r="AB37" s="379">
        <f>AB36/AB35</f>
        <v>0</v>
      </c>
      <c r="AC37" s="379">
        <f t="shared" si="42"/>
        <v>0</v>
      </c>
      <c r="AD37" s="379">
        <f t="shared" si="42"/>
        <v>0</v>
      </c>
      <c r="AE37" s="379">
        <f t="shared" si="42"/>
        <v>0</v>
      </c>
      <c r="AF37" s="236">
        <f t="shared" si="42"/>
        <v>0</v>
      </c>
      <c r="AG37" s="379">
        <f t="shared" ref="AG37:AM37" si="43">AG36/AG35</f>
        <v>0.12477678455218948</v>
      </c>
      <c r="AH37" s="379">
        <f t="shared" si="43"/>
        <v>0.22899906966562691</v>
      </c>
      <c r="AI37" s="379">
        <f t="shared" si="43"/>
        <v>0.1879990970399841</v>
      </c>
      <c r="AJ37" s="379">
        <f t="shared" si="43"/>
        <v>0.1572787484268767</v>
      </c>
      <c r="AK37" s="236">
        <f t="shared" si="43"/>
        <v>0.17733296205648294</v>
      </c>
      <c r="AL37" s="843">
        <f t="shared" si="43"/>
        <v>0.38029990370064637</v>
      </c>
      <c r="AM37" s="843">
        <f t="shared" si="43"/>
        <v>0.34103127296317293</v>
      </c>
      <c r="AN37" s="843">
        <f t="shared" ref="AN37:AT37" si="44">AN36/AN35</f>
        <v>0.30116964102799759</v>
      </c>
      <c r="AO37" s="843">
        <f t="shared" si="44"/>
        <v>0.28935305572017755</v>
      </c>
      <c r="AP37" s="236">
        <f t="shared" si="44"/>
        <v>0.32701203682443275</v>
      </c>
      <c r="AQ37" s="939">
        <f t="shared" si="44"/>
        <v>0.40544354909933628</v>
      </c>
      <c r="AR37" s="939">
        <f t="shared" si="44"/>
        <v>0.28117801325442116</v>
      </c>
      <c r="AS37" s="1081">
        <f t="shared" si="44"/>
        <v>0.31885837219301821</v>
      </c>
      <c r="AT37" s="1081">
        <f t="shared" si="44"/>
        <v>0.14088982601428038</v>
      </c>
      <c r="AU37" s="236">
        <f>AU36/AU35</f>
        <v>0.28010916225390969</v>
      </c>
      <c r="AV37" s="939">
        <f>AZ37</f>
        <v>0.17621698582448334</v>
      </c>
      <c r="AW37" s="939">
        <f>AV37</f>
        <v>0.17621698582448334</v>
      </c>
      <c r="AX37" s="1081">
        <f t="shared" ref="AX37:AY37" si="45">AW37</f>
        <v>0.17621698582448334</v>
      </c>
      <c r="AY37" s="1081">
        <f t="shared" si="45"/>
        <v>0.17621698582448334</v>
      </c>
      <c r="AZ37" s="236">
        <f>AZ36/AZ35</f>
        <v>0.17621698582448334</v>
      </c>
      <c r="BA37" s="380"/>
      <c r="BB37" s="380"/>
      <c r="BC37" s="380"/>
      <c r="BD37" s="380"/>
      <c r="BE37" s="236">
        <f>BE36/BE35</f>
        <v>0.18796079821953071</v>
      </c>
      <c r="BF37" s="380"/>
      <c r="BG37" s="381"/>
      <c r="BH37" s="381"/>
      <c r="BI37" s="381"/>
      <c r="BJ37" s="236">
        <f>BJ36/BJ35</f>
        <v>0.18929969793855486</v>
      </c>
      <c r="BK37" s="236"/>
      <c r="BL37" s="236"/>
      <c r="BM37" s="236"/>
      <c r="BN37" s="236"/>
      <c r="BO37" s="236">
        <f>BO36/BO35</f>
        <v>0.18523102931218255</v>
      </c>
      <c r="BT37" s="236">
        <f>BT36/BT35</f>
        <v>0.18131837111793705</v>
      </c>
      <c r="BY37" s="236">
        <f>BY36/BY35</f>
        <v>0.17731951428353401</v>
      </c>
      <c r="CD37" s="236">
        <f>CD36/CD35</f>
        <v>0.17426747065817769</v>
      </c>
      <c r="CI37" s="236">
        <f>CI36/CI35</f>
        <v>0.17164303833248376</v>
      </c>
      <c r="CN37" s="236">
        <f>CN36/CN35</f>
        <v>0.16750212114076618</v>
      </c>
      <c r="CS37" s="236">
        <f>CS36/CS35</f>
        <v>0.16345224626702906</v>
      </c>
      <c r="CX37" s="236">
        <f>CX36/CX35</f>
        <v>0.16020613893479177</v>
      </c>
      <c r="DC37" s="236">
        <f>DC36/DC35</f>
        <v>0.15621030807703667</v>
      </c>
      <c r="DH37" s="236">
        <f>DH36/DH35</f>
        <v>0.1540031811068388</v>
      </c>
      <c r="DJ37"/>
      <c r="DK37"/>
      <c r="DL37"/>
      <c r="DM37"/>
      <c r="DN37"/>
      <c r="DO37"/>
    </row>
    <row r="38" spans="1:119" s="237" customFormat="1" ht="12.75" customHeight="1" thickBot="1">
      <c r="A38" s="232"/>
      <c r="B38" s="233"/>
      <c r="C38" s="379"/>
      <c r="D38" s="379"/>
      <c r="E38" s="379"/>
      <c r="F38" s="379"/>
      <c r="G38" s="234"/>
      <c r="H38" s="379"/>
      <c r="I38" s="379"/>
      <c r="J38" s="379"/>
      <c r="K38" s="379"/>
      <c r="L38" s="234"/>
      <c r="M38" s="379"/>
      <c r="N38" s="379"/>
      <c r="O38" s="379"/>
      <c r="P38" s="379"/>
      <c r="Q38" s="235"/>
      <c r="R38" s="379"/>
      <c r="S38" s="379"/>
      <c r="T38" s="379"/>
      <c r="U38" s="379"/>
      <c r="V38" s="235"/>
      <c r="W38" s="379"/>
      <c r="X38" s="379"/>
      <c r="Y38" s="379"/>
      <c r="Z38" s="379"/>
      <c r="AA38" s="236"/>
      <c r="AB38" s="379"/>
      <c r="AC38" s="379"/>
      <c r="AD38" s="379"/>
      <c r="AE38" s="379"/>
      <c r="AF38" s="236"/>
      <c r="AG38" s="379"/>
      <c r="AH38" s="379"/>
      <c r="AI38" s="379"/>
      <c r="AJ38" s="379"/>
      <c r="AK38" s="236"/>
      <c r="AL38" s="844"/>
      <c r="AM38" s="844"/>
      <c r="AN38" s="844"/>
      <c r="AO38" s="844"/>
      <c r="AP38" s="969"/>
      <c r="AQ38" s="934"/>
      <c r="AR38" s="934"/>
      <c r="AS38" s="934"/>
      <c r="AT38" s="934"/>
      <c r="AU38" s="969"/>
      <c r="AV38" s="934"/>
      <c r="AW38" s="934"/>
      <c r="AX38" s="372" t="s">
        <v>701</v>
      </c>
      <c r="AY38" s="808"/>
      <c r="AZ38" s="373" t="s">
        <v>892</v>
      </c>
      <c r="BA38" s="380"/>
      <c r="BB38" s="380"/>
      <c r="BC38" s="380"/>
      <c r="BD38" s="380"/>
      <c r="BE38" s="236"/>
      <c r="BF38" s="380"/>
      <c r="BG38" s="381"/>
      <c r="BH38" s="381"/>
      <c r="BI38" s="381"/>
      <c r="BJ38" s="236"/>
      <c r="BK38" s="236"/>
      <c r="BL38" s="236"/>
      <c r="BM38" s="236"/>
      <c r="BN38" s="236"/>
      <c r="BO38" s="236"/>
      <c r="BT38" s="236"/>
      <c r="BY38" s="236"/>
      <c r="CD38" s="236"/>
      <c r="CI38" s="236"/>
      <c r="CN38" s="236"/>
      <c r="CS38" s="236"/>
      <c r="CX38" s="236"/>
      <c r="DC38" s="236"/>
      <c r="DH38" s="236"/>
      <c r="DJ38"/>
      <c r="DK38"/>
      <c r="DL38"/>
      <c r="DM38"/>
      <c r="DN38"/>
      <c r="DO38"/>
    </row>
    <row r="39" spans="1:119" s="143" customFormat="1" ht="12.75" customHeight="1" thickBot="1">
      <c r="A39" s="139" t="s">
        <v>1</v>
      </c>
      <c r="B39" s="244" t="s">
        <v>15</v>
      </c>
      <c r="C39" s="382">
        <f>C35-C36</f>
        <v>-17.481000000000002</v>
      </c>
      <c r="D39" s="382">
        <f>D35-D36</f>
        <v>-14.938000000000006</v>
      </c>
      <c r="E39" s="382">
        <f>E35-E36</f>
        <v>-1.0149999999999968</v>
      </c>
      <c r="F39" s="382">
        <f>F35-F36</f>
        <v>-36.489000000000004</v>
      </c>
      <c r="G39" s="245">
        <f>G35-G36</f>
        <v>-67.830000000000013</v>
      </c>
      <c r="H39" s="382">
        <f t="shared" ref="H39:N39" si="46">H35-H36</f>
        <v>-30.522000000000009</v>
      </c>
      <c r="I39" s="382">
        <f t="shared" si="46"/>
        <v>-25.474000000000004</v>
      </c>
      <c r="J39" s="382">
        <f t="shared" si="46"/>
        <v>-33.874999999999993</v>
      </c>
      <c r="K39" s="382">
        <f t="shared" si="46"/>
        <v>-1.0579999999999714</v>
      </c>
      <c r="L39" s="245">
        <f t="shared" si="46"/>
        <v>-64.622000000000028</v>
      </c>
      <c r="M39" s="382">
        <f t="shared" si="46"/>
        <v>-28.645000000000014</v>
      </c>
      <c r="N39" s="382">
        <f t="shared" si="46"/>
        <v>-50.110000000000007</v>
      </c>
      <c r="O39" s="382">
        <f t="shared" ref="O39:T39" si="47">O35-O36</f>
        <v>-49.001000000000005</v>
      </c>
      <c r="P39" s="382">
        <f t="shared" si="47"/>
        <v>-33.987000000000002</v>
      </c>
      <c r="Q39" s="245">
        <f t="shared" si="47"/>
        <v>-161.74299999999999</v>
      </c>
      <c r="R39" s="382">
        <f>R35-R36</f>
        <v>42.013999999999996</v>
      </c>
      <c r="S39" s="382">
        <f t="shared" si="47"/>
        <v>103.58199999999997</v>
      </c>
      <c r="T39" s="382">
        <f t="shared" si="47"/>
        <v>219.38399999999993</v>
      </c>
      <c r="U39" s="382">
        <f>U35-U36</f>
        <v>172.82099999999997</v>
      </c>
      <c r="V39" s="245">
        <f>V35-V36</f>
        <v>537.70099999999968</v>
      </c>
      <c r="W39" s="382">
        <f t="shared" ref="W39:AI39" si="48">W35-W36</f>
        <v>202.54299999999995</v>
      </c>
      <c r="X39" s="382">
        <f t="shared" si="48"/>
        <v>199.46900000000002</v>
      </c>
      <c r="Y39" s="382">
        <f t="shared" si="48"/>
        <v>279.05199999999991</v>
      </c>
      <c r="Z39" s="382">
        <f t="shared" si="48"/>
        <v>260.97599999999983</v>
      </c>
      <c r="AA39" s="246">
        <f t="shared" si="48"/>
        <v>942.04000000000008</v>
      </c>
      <c r="AB39" s="382">
        <f t="shared" si="48"/>
        <v>264.29499999999996</v>
      </c>
      <c r="AC39" s="382">
        <f>AC35-AC36</f>
        <v>290.7650000000001</v>
      </c>
      <c r="AD39" s="382">
        <f t="shared" si="48"/>
        <v>296.41699999999992</v>
      </c>
      <c r="AE39" s="382">
        <f t="shared" si="48"/>
        <v>328.39900000000006</v>
      </c>
      <c r="AF39" s="246">
        <f>AF35-AF36</f>
        <v>1179.8759999999997</v>
      </c>
      <c r="AG39" s="382">
        <f>AG35-AG36</f>
        <v>336.22399999999993</v>
      </c>
      <c r="AH39" s="382">
        <f>AH35-AH36</f>
        <v>338.12399999999997</v>
      </c>
      <c r="AI39" s="382">
        <f t="shared" si="48"/>
        <v>402.87100000000021</v>
      </c>
      <c r="AJ39" s="382">
        <f>AJ35-AJ36</f>
        <v>326.10699999999969</v>
      </c>
      <c r="AK39" s="858">
        <f>AK35-AK36</f>
        <v>1403.326</v>
      </c>
      <c r="AL39" s="382">
        <f>AL35-AL36</f>
        <v>292.79900000000026</v>
      </c>
      <c r="AM39" s="382">
        <f t="shared" ref="AM39:AO39" si="49">AM35-AM36</f>
        <v>329.11599999999987</v>
      </c>
      <c r="AN39" s="382">
        <f t="shared" si="49"/>
        <v>364.99699999999979</v>
      </c>
      <c r="AO39" s="382">
        <f t="shared" si="49"/>
        <v>352.54200000000003</v>
      </c>
      <c r="AP39" s="858">
        <f>AP35-AP36</f>
        <v>1339.4540000000002</v>
      </c>
      <c r="AQ39" s="935">
        <f t="shared" ref="AQ39:AY39" si="50">AQ35-AQ36</f>
        <v>336.60099999999989</v>
      </c>
      <c r="AR39" s="935">
        <f t="shared" si="50"/>
        <v>486.79199999999986</v>
      </c>
      <c r="AS39" s="935">
        <f t="shared" si="50"/>
        <v>470.48699999999985</v>
      </c>
      <c r="AT39" s="935">
        <f t="shared" si="50"/>
        <v>607.49999999999977</v>
      </c>
      <c r="AU39" s="246">
        <f>AU35-AU36</f>
        <v>1901.3800000000006</v>
      </c>
      <c r="AV39" s="935">
        <f t="shared" si="50"/>
        <v>486.4419754587289</v>
      </c>
      <c r="AW39" s="935">
        <f t="shared" si="50"/>
        <v>535.02395188193839</v>
      </c>
      <c r="AX39" s="935">
        <f t="shared" si="50"/>
        <v>538.87945332150173</v>
      </c>
      <c r="AY39" s="935">
        <f t="shared" si="50"/>
        <v>473.53983553053268</v>
      </c>
      <c r="AZ39" s="246">
        <f>AZ35-AZ36</f>
        <v>2033.885216192702</v>
      </c>
      <c r="BA39" s="246"/>
      <c r="BB39" s="246"/>
      <c r="BC39" s="246"/>
      <c r="BD39" s="246"/>
      <c r="BE39" s="246">
        <f>BE35-BE36</f>
        <v>2304.6090740211198</v>
      </c>
      <c r="BF39" s="246"/>
      <c r="BG39" s="247"/>
      <c r="BH39" s="247"/>
      <c r="BI39" s="247"/>
      <c r="BJ39" s="246">
        <f>BJ35-BJ36</f>
        <v>2783.1187745180737</v>
      </c>
      <c r="BK39" s="1014"/>
      <c r="BL39" s="1014"/>
      <c r="BM39" s="1014"/>
      <c r="BN39" s="1014"/>
      <c r="BO39" s="246">
        <f>BO35-BO36</f>
        <v>3236.3407745661989</v>
      </c>
      <c r="BT39" s="246">
        <f>BT35-BT36</f>
        <v>3758.9271167666216</v>
      </c>
      <c r="BY39" s="246">
        <f>BY35-BY36</f>
        <v>4176.2665701387477</v>
      </c>
      <c r="CD39" s="246">
        <f>CD35-CD36</f>
        <v>4612.8794624938064</v>
      </c>
      <c r="CI39" s="246">
        <f>CI35-CI36</f>
        <v>5011.3313464953326</v>
      </c>
      <c r="CN39" s="246">
        <f>CN35-CN36</f>
        <v>5079.2954423340698</v>
      </c>
      <c r="CS39" s="246">
        <f>CS35-CS36</f>
        <v>4975.6615825515582</v>
      </c>
      <c r="CX39" s="246">
        <f>CX35-CX36</f>
        <v>5186.3002503762564</v>
      </c>
      <c r="DC39" s="246">
        <f>DC35-DC36</f>
        <v>4867.6869663305288</v>
      </c>
      <c r="DH39" s="246">
        <f>DH35-DH36</f>
        <v>5113.6296940579223</v>
      </c>
      <c r="DJ39"/>
      <c r="DK39"/>
      <c r="DL39"/>
      <c r="DM39"/>
      <c r="DN39"/>
      <c r="DO39"/>
    </row>
    <row r="40" spans="1:119" s="143" customFormat="1" ht="12.75" customHeight="1">
      <c r="A40" s="139"/>
      <c r="B40" s="129"/>
      <c r="C40" s="368"/>
      <c r="D40" s="368"/>
      <c r="E40" s="368"/>
      <c r="F40" s="368"/>
      <c r="G40" s="151"/>
      <c r="H40" s="368"/>
      <c r="I40" s="368"/>
      <c r="J40" s="368"/>
      <c r="K40" s="368"/>
      <c r="L40" s="151"/>
      <c r="M40" s="368"/>
      <c r="N40" s="368"/>
      <c r="O40" s="368"/>
      <c r="P40" s="368"/>
      <c r="Q40" s="129"/>
      <c r="R40" s="368"/>
      <c r="S40" s="368"/>
      <c r="T40" s="368"/>
      <c r="U40" s="368"/>
      <c r="V40" s="162"/>
      <c r="W40" s="368"/>
      <c r="X40" s="368"/>
      <c r="Y40" s="368"/>
      <c r="Z40" s="368"/>
      <c r="AA40" s="129"/>
      <c r="AB40" s="368"/>
      <c r="AC40" s="368"/>
      <c r="AD40" s="368"/>
      <c r="AE40" s="368"/>
      <c r="AF40" s="129"/>
      <c r="AG40" s="368"/>
      <c r="AH40" s="368"/>
      <c r="AI40" s="368"/>
      <c r="AJ40" s="368"/>
      <c r="AK40" s="129"/>
      <c r="AL40" s="361"/>
      <c r="AM40" s="368"/>
      <c r="AN40" s="368"/>
      <c r="AO40" s="368"/>
      <c r="AP40" s="129"/>
      <c r="AQ40" s="931"/>
      <c r="AR40" s="1062"/>
      <c r="AS40" s="931"/>
      <c r="AT40" s="931"/>
      <c r="AU40" s="129"/>
      <c r="AV40" s="931"/>
      <c r="AW40" s="1062"/>
      <c r="AX40" s="931"/>
      <c r="AY40" s="931"/>
      <c r="AZ40" s="129"/>
      <c r="BA40" s="129"/>
      <c r="BB40" s="129"/>
      <c r="BC40" s="129"/>
      <c r="BD40" s="129"/>
      <c r="BE40" s="129"/>
      <c r="BF40" s="129"/>
      <c r="DJ40"/>
      <c r="DK40"/>
      <c r="DL40"/>
      <c r="DM40"/>
      <c r="DN40"/>
      <c r="DO40"/>
    </row>
    <row r="41" spans="1:119" s="143" customFormat="1" ht="12.75" customHeight="1">
      <c r="A41" s="139"/>
      <c r="B41" s="322" t="s">
        <v>749</v>
      </c>
      <c r="C41" s="383">
        <f t="shared" ref="C41:AB41" si="51">C39/C79</f>
        <v>-0.21989232433520342</v>
      </c>
      <c r="D41" s="383">
        <f t="shared" si="51"/>
        <v>-0.18760203953482538</v>
      </c>
      <c r="E41" s="383">
        <f t="shared" si="51"/>
        <v>-1.2708787218591099E-2</v>
      </c>
      <c r="F41" s="383">
        <f t="shared" si="51"/>
        <v>-0.4553327426781637</v>
      </c>
      <c r="G41" s="170">
        <f t="shared" si="51"/>
        <v>-0.85019177258028145</v>
      </c>
      <c r="H41" s="383">
        <f t="shared" si="51"/>
        <v>-0.37603025785706379</v>
      </c>
      <c r="I41" s="383">
        <f t="shared" si="51"/>
        <v>-0.31259510135964269</v>
      </c>
      <c r="J41" s="383">
        <f t="shared" si="51"/>
        <v>-0.41494157132707798</v>
      </c>
      <c r="K41" s="383">
        <f t="shared" si="51"/>
        <v>-1.2104570676734414E-2</v>
      </c>
      <c r="L41" s="170">
        <f t="shared" si="51"/>
        <v>-0.77927308684851582</v>
      </c>
      <c r="M41" s="383">
        <f t="shared" si="51"/>
        <v>-0.3212691505349814</v>
      </c>
      <c r="N41" s="383">
        <f t="shared" si="51"/>
        <v>-0.55409350258746515</v>
      </c>
      <c r="O41" s="383">
        <f t="shared" si="51"/>
        <v>-0.53820047009204142</v>
      </c>
      <c r="P41" s="383">
        <f t="shared" si="51"/>
        <v>-0.37024085754436425</v>
      </c>
      <c r="Q41" s="170">
        <f t="shared" si="51"/>
        <v>-1.7850458006842511</v>
      </c>
      <c r="R41" s="383">
        <f t="shared" si="51"/>
        <v>0.37347437663896166</v>
      </c>
      <c r="S41" s="383">
        <f t="shared" si="51"/>
        <v>0.90127732145343142</v>
      </c>
      <c r="T41" s="383">
        <f t="shared" si="51"/>
        <v>1.8940170940170935</v>
      </c>
      <c r="U41" s="383">
        <f t="shared" si="51"/>
        <v>1.4741165331763861</v>
      </c>
      <c r="V41" s="170">
        <f t="shared" si="51"/>
        <v>4.6601809641018503</v>
      </c>
      <c r="W41" s="383">
        <f t="shared" si="51"/>
        <v>1.7809109293941787</v>
      </c>
      <c r="X41" s="383">
        <f t="shared" si="51"/>
        <v>1.7305853671233118</v>
      </c>
      <c r="Y41" s="383">
        <f t="shared" si="51"/>
        <v>2.404211324396043</v>
      </c>
      <c r="Z41" s="383">
        <f t="shared" si="51"/>
        <v>2.2355319513448677</v>
      </c>
      <c r="AA41" s="171">
        <f>AA39/AA79</f>
        <v>8.1672923367694619</v>
      </c>
      <c r="AB41" s="384">
        <f t="shared" si="51"/>
        <v>2.2553462017647155</v>
      </c>
      <c r="AC41" s="384">
        <f>(AC39)/AC79</f>
        <v>2.468188956326133</v>
      </c>
      <c r="AD41" s="384">
        <f>AD39/AD79</f>
        <v>2.5196528450723377</v>
      </c>
      <c r="AE41" s="384">
        <f>AE39/AE79</f>
        <v>2.7871758964566098</v>
      </c>
      <c r="AF41" s="171">
        <f>AF39/AF79</f>
        <v>10.001831036061237</v>
      </c>
      <c r="AG41" s="384">
        <f>AG39/AG79</f>
        <v>2.8858942887061603</v>
      </c>
      <c r="AH41" s="384">
        <f>(AH39)/AH79</f>
        <v>2.8905169392273691</v>
      </c>
      <c r="AI41" s="384">
        <f>AI39/AI79</f>
        <v>3.4726067543572348</v>
      </c>
      <c r="AJ41" s="384">
        <f>AJ39/AJ79</f>
        <v>2.8200434109599675</v>
      </c>
      <c r="AK41" s="171">
        <f>AK39/AK79</f>
        <v>12.060727944652141</v>
      </c>
      <c r="AL41" s="384">
        <f>AL39/AL79</f>
        <v>2.5715929351215125</v>
      </c>
      <c r="AM41" s="384">
        <f t="shared" ref="AM41:AO41" si="52">AM39/AM79</f>
        <v>2.8244724217536441</v>
      </c>
      <c r="AN41" s="384">
        <f t="shared" si="52"/>
        <v>3.1291536641404596</v>
      </c>
      <c r="AO41" s="384">
        <f t="shared" si="52"/>
        <v>3.0421186155479045</v>
      </c>
      <c r="AP41" s="171">
        <f>AP39/AP79</f>
        <v>11.574131640286621</v>
      </c>
      <c r="AQ41" s="940">
        <f t="shared" ref="AQ41:AY41" si="53">AQ39/AQ79</f>
        <v>2.9224417857576959</v>
      </c>
      <c r="AR41" s="940">
        <f t="shared" si="53"/>
        <v>4.166598192276088</v>
      </c>
      <c r="AS41" s="940">
        <f t="shared" si="53"/>
        <v>3.9933032872456891</v>
      </c>
      <c r="AT41" s="940">
        <f t="shared" si="53"/>
        <v>5.22796509526514</v>
      </c>
      <c r="AU41" s="171">
        <f>AU39/AU79</f>
        <v>16.319772718982218</v>
      </c>
      <c r="AV41" s="940">
        <f t="shared" si="53"/>
        <v>4.1771886739491713</v>
      </c>
      <c r="AW41" s="940">
        <f t="shared" si="53"/>
        <v>4.5845311295602338</v>
      </c>
      <c r="AX41" s="940">
        <f t="shared" si="53"/>
        <v>4.6076976308357427</v>
      </c>
      <c r="AY41" s="940">
        <f t="shared" si="53"/>
        <v>4.040373334333311</v>
      </c>
      <c r="AZ41" s="171">
        <f>AZ39/AZ79</f>
        <v>17.308519788632683</v>
      </c>
      <c r="BA41" s="172"/>
      <c r="BB41" s="172"/>
      <c r="BC41" s="172"/>
      <c r="BD41" s="172"/>
      <c r="BE41" s="171">
        <f>BE39/BE79</f>
        <v>18.81194515466262</v>
      </c>
      <c r="BF41" s="172"/>
      <c r="BG41" s="173"/>
      <c r="BH41" s="173"/>
      <c r="BI41" s="173"/>
      <c r="BJ41" s="171">
        <f>BJ39/BJ79</f>
        <v>21.827055802632181</v>
      </c>
      <c r="BK41" s="1015"/>
      <c r="BL41" s="1015"/>
      <c r="BM41" s="1015"/>
      <c r="BN41" s="1015"/>
      <c r="BO41" s="171">
        <f>BO39/BO79</f>
        <v>24.609506090448654</v>
      </c>
      <c r="BT41" s="171">
        <f>BT39/BT79</f>
        <v>27.739572952592173</v>
      </c>
      <c r="BU41" s="174"/>
      <c r="BV41" s="174"/>
      <c r="BW41" s="174"/>
      <c r="BX41" s="174"/>
      <c r="BY41" s="171">
        <f>BY39/BY79</f>
        <v>30.043408156298828</v>
      </c>
      <c r="CD41" s="171">
        <f>CD39/CD79</f>
        <v>32.369323510432288</v>
      </c>
      <c r="CI41" s="171">
        <f>CI39/CI79</f>
        <v>34.440305389199771</v>
      </c>
      <c r="CN41" s="171">
        <f>CN39/CN79</f>
        <v>34.202224748096114</v>
      </c>
      <c r="CS41" s="171">
        <f>CS39/CS79</f>
        <v>32.94971008144654</v>
      </c>
      <c r="CX41" s="171">
        <f>CX39/CX79</f>
        <v>33.785266544368326</v>
      </c>
      <c r="DC41" s="171">
        <f>DC39/DC79</f>
        <v>31.301893097485681</v>
      </c>
      <c r="DH41" s="171">
        <f>DH39/DH79</f>
        <v>32.465892592954461</v>
      </c>
      <c r="DJ41"/>
      <c r="DK41"/>
      <c r="DL41"/>
      <c r="DM41"/>
      <c r="DN41"/>
      <c r="DO41"/>
    </row>
    <row r="42" spans="1:119" ht="12.75" customHeight="1">
      <c r="A42" s="139"/>
      <c r="B42" s="846" t="s">
        <v>595</v>
      </c>
      <c r="C42" s="847"/>
      <c r="D42" s="847"/>
      <c r="E42" s="847"/>
      <c r="F42" s="847"/>
      <c r="G42" s="847"/>
      <c r="H42" s="847"/>
      <c r="I42" s="847"/>
      <c r="J42" s="847"/>
      <c r="K42" s="847"/>
      <c r="L42" s="847"/>
      <c r="M42" s="847"/>
      <c r="N42" s="847"/>
      <c r="O42" s="847"/>
      <c r="P42" s="847"/>
      <c r="Q42" s="847"/>
      <c r="R42" s="847"/>
      <c r="S42" s="847"/>
      <c r="T42" s="847"/>
      <c r="U42" s="847"/>
      <c r="V42" s="847"/>
      <c r="W42" s="847"/>
      <c r="X42" s="847"/>
      <c r="Y42" s="847"/>
      <c r="Z42" s="847"/>
      <c r="AA42" s="847"/>
      <c r="AB42" s="848"/>
      <c r="AC42" s="848"/>
      <c r="AD42" s="848"/>
      <c r="AE42" s="848"/>
      <c r="AF42" s="848"/>
      <c r="AG42" s="848"/>
      <c r="AH42" s="848"/>
      <c r="AI42" s="848"/>
      <c r="AJ42" s="848"/>
      <c r="AK42" s="845"/>
      <c r="AL42" s="845"/>
      <c r="AM42" s="845"/>
      <c r="AN42" s="845"/>
      <c r="AO42" s="845"/>
      <c r="AP42" s="845"/>
      <c r="AQ42" s="845"/>
      <c r="AR42" s="845"/>
      <c r="AS42" s="845"/>
      <c r="AT42" s="845"/>
      <c r="AU42" s="845"/>
      <c r="AV42" s="845" t="e">
        <f ca="1">_xll.TR($DR$1,"TR.EPSMean","Period=#1 Curn=#2 Null=-",,LEFT(AV2,1)&amp;"CQ20"&amp;MID(AV2,3,2),$DR$2)</f>
        <v>#NAME?</v>
      </c>
      <c r="AW42" s="845" t="e">
        <f ca="1">_xll.TR($DR$1,"TR.EPSMean","Period=#1 Curn=#2 Null=-",,LEFT(AW2,1)&amp;"CQ20"&amp;MID(AW2,3,2),$DR$2)</f>
        <v>#NAME?</v>
      </c>
      <c r="AX42" s="845" t="e">
        <f ca="1">_xll.TR($DR$1,"TR.EPSMean","Period=#1 Curn=#2 Null=-",,LEFT(AX2,1)&amp;"CQ20"&amp;MID(AX2,3,2),$DR$2)</f>
        <v>#NAME?</v>
      </c>
      <c r="AY42" s="845" t="e">
        <f ca="1">_xll.TR($DR$1,"TR.EPSMean","Period=#1 Curn=#2 Null=-",,LEFT(AY2,1)&amp;"CQ20"&amp;MID(AY2,3,2),$DR$2)</f>
        <v>#NAME?</v>
      </c>
      <c r="AZ42" s="845" t="e">
        <f ca="1">_xll.TR($DR$1,"Avail(TR.EPSMean(Methodology=WeightedAnnual),TR.EPSMean(Methodology=InterimSum))","Period=#1 Curn=#2 Null=-",,"CY"&amp;LEFT(AZ2,4),$DR$2)</f>
        <v>#NAME?</v>
      </c>
      <c r="BA42" s="385"/>
      <c r="BB42" s="385"/>
      <c r="BC42" s="385"/>
      <c r="BD42" s="385"/>
      <c r="BE42" s="845" t="e">
        <f ca="1">_xll.TR($DR$1,"Avail(TR.EPSMean(Methodology=WeightedAnnual),TR.EPSMean(Methodology=InterimSum))","Period=#1 Curn=#2 Null=-",,"CY"&amp;LEFT(BE2,4),$DR$2)</f>
        <v>#NAME?</v>
      </c>
      <c r="BF42" s="385"/>
      <c r="BG42" s="386"/>
      <c r="BH42" s="386"/>
      <c r="BI42" s="386"/>
      <c r="BJ42" s="845" t="e">
        <f ca="1">_xll.TR($DR$1,"Avail(TR.EPSMean(Methodology=WeightedAnnual),TR.EPSMean(Methodology=InterimSum))","Period=#1 Curn=#2 Null=-",,"CY"&amp;LEFT(BJ2,4),$DR$2)</f>
        <v>#NAME?</v>
      </c>
      <c r="BK42" s="386"/>
      <c r="BL42" s="386"/>
      <c r="BM42" s="386"/>
      <c r="BN42" s="386"/>
      <c r="BO42" s="386"/>
      <c r="BP42" s="386"/>
      <c r="BQ42" s="386"/>
      <c r="BR42" s="386"/>
      <c r="BS42" s="386"/>
      <c r="BT42" s="386"/>
      <c r="BU42" s="386"/>
      <c r="BV42" s="386"/>
      <c r="BW42" s="386"/>
      <c r="BX42" s="386"/>
      <c r="BY42" s="386"/>
      <c r="BZ42" s="386"/>
      <c r="CA42" s="386"/>
      <c r="CB42" s="386"/>
      <c r="CC42" s="386"/>
      <c r="CD42" s="386"/>
      <c r="CE42" s="386"/>
      <c r="CF42" s="386"/>
      <c r="CG42" s="386"/>
      <c r="CH42" s="386"/>
      <c r="CI42" s="386"/>
      <c r="CJ42" s="386"/>
      <c r="CK42" s="386"/>
      <c r="CL42" s="386"/>
      <c r="CM42" s="386"/>
      <c r="CN42" s="386"/>
      <c r="CO42" s="386"/>
      <c r="CP42" s="386"/>
      <c r="CQ42" s="386"/>
      <c r="CR42" s="386"/>
      <c r="CS42" s="386"/>
      <c r="CT42" s="386"/>
      <c r="CU42" s="386"/>
      <c r="CV42" s="386"/>
      <c r="CW42" s="386"/>
      <c r="CX42" s="386"/>
      <c r="CY42" s="386"/>
      <c r="CZ42" s="386"/>
      <c r="DA42" s="386"/>
      <c r="DB42" s="386"/>
      <c r="DC42" s="386"/>
      <c r="DD42" s="386"/>
      <c r="DE42" s="386"/>
      <c r="DF42" s="386"/>
      <c r="DG42" s="386"/>
      <c r="DH42" s="386"/>
    </row>
    <row r="43" spans="1:119" s="155" customFormat="1" ht="12.75" customHeight="1">
      <c r="A43" s="144"/>
      <c r="B43" s="248"/>
      <c r="C43" s="387"/>
      <c r="D43" s="387"/>
      <c r="E43" s="387"/>
      <c r="F43" s="387"/>
      <c r="G43" s="249"/>
      <c r="H43" s="387"/>
      <c r="I43" s="387"/>
      <c r="J43" s="387"/>
      <c r="K43" s="387"/>
      <c r="L43" s="249"/>
      <c r="M43" s="387"/>
      <c r="N43" s="387"/>
      <c r="O43" s="387"/>
      <c r="P43" s="387"/>
      <c r="Q43" s="249"/>
      <c r="R43" s="387"/>
      <c r="S43" s="387"/>
      <c r="T43" s="387"/>
      <c r="U43" s="387"/>
      <c r="V43" s="249"/>
      <c r="W43" s="387"/>
      <c r="X43" s="387"/>
      <c r="Y43" s="387"/>
      <c r="Z43" s="387"/>
      <c r="AA43" s="249"/>
      <c r="AB43" s="388"/>
      <c r="AC43" s="388"/>
      <c r="AD43" s="388"/>
      <c r="AE43" s="388"/>
      <c r="AF43" s="250"/>
      <c r="AG43" s="388"/>
      <c r="AH43" s="388"/>
      <c r="AI43" s="388"/>
      <c r="AJ43" s="388"/>
      <c r="AK43" s="249"/>
      <c r="AL43" s="387"/>
      <c r="AM43" s="387"/>
      <c r="AN43" s="387"/>
      <c r="AO43" s="387"/>
      <c r="AP43" s="249"/>
      <c r="AQ43" s="936"/>
      <c r="AR43" s="936"/>
      <c r="AS43" s="936"/>
      <c r="AT43" s="936"/>
      <c r="AU43" s="249"/>
      <c r="AV43" s="936"/>
      <c r="AW43" s="936"/>
      <c r="AX43" s="936"/>
      <c r="AY43" s="936"/>
      <c r="AZ43" s="145"/>
      <c r="BA43" s="145"/>
      <c r="BB43" s="145"/>
      <c r="BC43" s="145"/>
      <c r="BD43" s="145"/>
      <c r="BE43" s="145"/>
      <c r="BF43" s="145"/>
      <c r="BG43" s="147"/>
      <c r="BH43" s="147"/>
      <c r="BI43" s="147"/>
      <c r="BJ43" s="147"/>
      <c r="BK43" s="147"/>
      <c r="BL43" s="147"/>
      <c r="BM43" s="147"/>
      <c r="BN43" s="147"/>
      <c r="DJ43"/>
      <c r="DK43"/>
      <c r="DL43"/>
      <c r="DM43"/>
      <c r="DN43"/>
      <c r="DO43"/>
    </row>
    <row r="44" spans="1:119" s="155" customFormat="1" ht="12.75" hidden="1" customHeight="1" outlineLevel="1">
      <c r="A44" s="144"/>
      <c r="B44" s="252" t="s">
        <v>690</v>
      </c>
      <c r="C44" s="387"/>
      <c r="D44" s="387"/>
      <c r="E44" s="387"/>
      <c r="F44" s="387"/>
      <c r="G44" s="249"/>
      <c r="H44" s="387"/>
      <c r="I44" s="387"/>
      <c r="J44" s="387"/>
      <c r="K44" s="387"/>
      <c r="L44" s="253">
        <f>L55+L58+L62</f>
        <v>39.846000000000004</v>
      </c>
      <c r="M44" s="389">
        <f>M55+M58+M62</f>
        <v>14.802</v>
      </c>
      <c r="N44" s="389">
        <f>N55+N58+N62</f>
        <v>12.395</v>
      </c>
      <c r="O44" s="389">
        <f>O55+O58+O62</f>
        <v>13.364000000000001</v>
      </c>
      <c r="P44" s="389">
        <f>P55+P58+P62</f>
        <v>15.512</v>
      </c>
      <c r="Q44" s="253">
        <f>SUM(M44:P44)</f>
        <v>56.073</v>
      </c>
      <c r="R44" s="389">
        <f>R55+R58+R62</f>
        <v>23.244999999999997</v>
      </c>
      <c r="S44" s="389">
        <f>S55+S58+S62</f>
        <v>19.623000000000001</v>
      </c>
      <c r="T44" s="389">
        <f>T55+T58+T62</f>
        <v>20.516999999999999</v>
      </c>
      <c r="U44" s="389">
        <f>U55+U58+U62</f>
        <v>30.771000000000001</v>
      </c>
      <c r="V44" s="253">
        <f>SUM(R44:U44)</f>
        <v>94.155999999999992</v>
      </c>
      <c r="W44" s="389">
        <f>W55+W58+W62</f>
        <v>53.030999999999999</v>
      </c>
      <c r="X44" s="389">
        <f>X55+X58+X62</f>
        <v>44.442000000000007</v>
      </c>
      <c r="Y44" s="389">
        <f>Y55+Y58+Y62</f>
        <v>45.745000000000005</v>
      </c>
      <c r="Z44" s="389">
        <f>Z55+Z58+Z62</f>
        <v>55.182000000000002</v>
      </c>
      <c r="AA44" s="253">
        <f>SUM(W44:Z44)</f>
        <v>198.40000000000003</v>
      </c>
      <c r="AB44" s="389">
        <f>AB55+AB58+AB62</f>
        <v>81.408000000000015</v>
      </c>
      <c r="AC44" s="389">
        <f>AC55+AC58+AC62</f>
        <v>70.512</v>
      </c>
      <c r="AD44" s="389">
        <f>AD55+AD58+AD62</f>
        <v>73.864000000000004</v>
      </c>
      <c r="AE44" s="389">
        <f>AE55+AE58+AE62</f>
        <v>81.454999999999998</v>
      </c>
      <c r="AF44" s="253">
        <f>SUM(AB44:AE44)</f>
        <v>307.23900000000003</v>
      </c>
      <c r="AG44" s="389">
        <f t="shared" ref="AG44:AL44" si="54">AG55+AG58+AG62</f>
        <v>103.759</v>
      </c>
      <c r="AH44" s="389">
        <f t="shared" si="54"/>
        <v>94.257000000000005</v>
      </c>
      <c r="AI44" s="389">
        <f t="shared" si="54"/>
        <v>102.642</v>
      </c>
      <c r="AJ44" s="389">
        <f t="shared" si="54"/>
        <v>158.39099999999999</v>
      </c>
      <c r="AK44" s="253">
        <f t="shared" si="54"/>
        <v>459.04899999999998</v>
      </c>
      <c r="AL44" s="389">
        <f t="shared" si="54"/>
        <v>142.25</v>
      </c>
      <c r="AM44" s="389">
        <f t="shared" ref="AM44:AY44" si="55">AM55+AM58+AM62</f>
        <v>131.69099999999997</v>
      </c>
      <c r="AN44" s="389">
        <f t="shared" si="55"/>
        <v>131.37900000000002</v>
      </c>
      <c r="AO44" s="389">
        <f t="shared" si="55"/>
        <v>154.55799999999999</v>
      </c>
      <c r="AP44" s="253">
        <f>AP55+AP58+AP62</f>
        <v>559.87799999999993</v>
      </c>
      <c r="AQ44" s="941">
        <f t="shared" si="55"/>
        <v>133.78899999999999</v>
      </c>
      <c r="AR44" s="941">
        <f t="shared" si="55"/>
        <v>121.25800000000001</v>
      </c>
      <c r="AS44" s="941">
        <f t="shared" si="55"/>
        <v>125.09700000000001</v>
      </c>
      <c r="AT44" s="941">
        <f t="shared" si="55"/>
        <v>127.13300000000001</v>
      </c>
      <c r="AU44" s="253">
        <f>AU55+AU58+AU62</f>
        <v>507.27699999999999</v>
      </c>
      <c r="AV44" s="941">
        <f t="shared" si="55"/>
        <v>123.30848899999999</v>
      </c>
      <c r="AW44" s="941">
        <f t="shared" si="55"/>
        <v>134.59373749999997</v>
      </c>
      <c r="AX44" s="941">
        <f t="shared" si="55"/>
        <v>143.23411149999998</v>
      </c>
      <c r="AY44" s="941">
        <f t="shared" si="55"/>
        <v>118.822587</v>
      </c>
      <c r="AZ44" s="253">
        <f>AZ55+AZ58+AZ62</f>
        <v>519.95892499999991</v>
      </c>
      <c r="BA44" s="145"/>
      <c r="BB44" s="145"/>
      <c r="BC44" s="145"/>
      <c r="BD44" s="145"/>
      <c r="BE44" s="253">
        <f>BE55+BE58+BE62</f>
        <v>532.95789812499993</v>
      </c>
      <c r="BF44" s="145"/>
      <c r="BG44" s="147"/>
      <c r="BH44" s="147"/>
      <c r="BI44" s="147"/>
      <c r="BJ44" s="253">
        <f>BJ55+BJ58+BJ62</f>
        <v>546.28184557812483</v>
      </c>
      <c r="BK44" s="253"/>
      <c r="BL44" s="253"/>
      <c r="BM44" s="253"/>
      <c r="BN44" s="253"/>
      <c r="BO44" s="253">
        <f>BO55+BO58+BO62</f>
        <v>559.93889171757792</v>
      </c>
      <c r="BT44" s="253">
        <f>BT55+BT58+BT62</f>
        <v>573.93736401051729</v>
      </c>
      <c r="BY44" s="253">
        <f>BY55+BY58+BY62</f>
        <v>588.28579811078021</v>
      </c>
      <c r="CD44" s="253">
        <f>CD55+CD58+CD62</f>
        <v>602.99294306354977</v>
      </c>
      <c r="CI44" s="253">
        <f>CI55+CI58+CI62</f>
        <v>618.06776664013842</v>
      </c>
      <c r="CN44" s="253">
        <f>CN55+CN58+CN62</f>
        <v>627.66780065818398</v>
      </c>
      <c r="CS44" s="253">
        <f>CS55+CS58+CS62</f>
        <v>637.42006062446137</v>
      </c>
      <c r="CX44" s="253">
        <f>CX55+CX58+CX62</f>
        <v>647.32703556414299</v>
      </c>
      <c r="DC44" s="253">
        <f>DC55+DC58+DC62</f>
        <v>657.3912569786778</v>
      </c>
      <c r="DH44" s="253">
        <f>DH55+DH58+DH62</f>
        <v>667.61529961145732</v>
      </c>
      <c r="DJ44"/>
      <c r="DK44"/>
      <c r="DL44"/>
      <c r="DM44"/>
      <c r="DN44"/>
      <c r="DO44"/>
    </row>
    <row r="45" spans="1:119" s="155" customFormat="1" ht="12.75" hidden="1" customHeight="1" outlineLevel="1">
      <c r="A45" s="144"/>
      <c r="B45" s="248" t="s">
        <v>691</v>
      </c>
      <c r="C45" s="387"/>
      <c r="D45" s="387"/>
      <c r="E45" s="387"/>
      <c r="F45" s="387"/>
      <c r="G45" s="249"/>
      <c r="H45" s="387"/>
      <c r="I45" s="387"/>
      <c r="J45" s="387"/>
      <c r="K45" s="387"/>
      <c r="L45" s="254">
        <f>L44/(L21+L26)</f>
        <v>7.7429961115958401E-2</v>
      </c>
      <c r="M45" s="390">
        <f>M44/(M21+M26)</f>
        <v>0.1072600923181716</v>
      </c>
      <c r="N45" s="390">
        <f>N44/(N21+N26)</f>
        <v>7.9793226427362085E-2</v>
      </c>
      <c r="O45" s="390">
        <f>O44/(O21+O26)</f>
        <v>9.0618134476118148E-2</v>
      </c>
      <c r="P45" s="390">
        <f>P44/(P21+P26)</f>
        <v>0.10349751130919817</v>
      </c>
      <c r="Q45" s="254">
        <f>Q44/(Q26+Q21)</f>
        <v>9.4927322776259801E-2</v>
      </c>
      <c r="R45" s="390">
        <f>R44/(R21+R26)</f>
        <v>0.13347228921197088</v>
      </c>
      <c r="S45" s="390">
        <f>S44/(S21+S26)</f>
        <v>0.11159196114782255</v>
      </c>
      <c r="T45" s="390">
        <f>T44/(T21+T26)</f>
        <v>0.11101611917039569</v>
      </c>
      <c r="U45" s="390">
        <f>U44/(U21+U26)</f>
        <v>0.14764363238554032</v>
      </c>
      <c r="V45" s="254">
        <f>V44/(V26+V21)</f>
        <v>0.12668538683336314</v>
      </c>
      <c r="W45" s="390">
        <f>W44/(W21+W26)</f>
        <v>0.25867392481379042</v>
      </c>
      <c r="X45" s="390">
        <f>X44/(X21+X26)</f>
        <v>0.20588344297229691</v>
      </c>
      <c r="Y45" s="390">
        <f>Y44/(Y21+Y26)</f>
        <v>0.16557477920949765</v>
      </c>
      <c r="Z45" s="390">
        <f>Z44/(Z21+Z26)</f>
        <v>0.18659966725730751</v>
      </c>
      <c r="AA45" s="254">
        <f>AA44/(AA26+AA21)</f>
        <v>0.19982374417726306</v>
      </c>
      <c r="AB45" s="390">
        <f>AB44/(AB21+AB26)</f>
        <v>0.25816108429684975</v>
      </c>
      <c r="AC45" s="390">
        <f>AC44/(AC21+AC26)</f>
        <v>0.21567655857145482</v>
      </c>
      <c r="AD45" s="390">
        <f>AD44/(AD21+AD26)</f>
        <v>0.19754539206063509</v>
      </c>
      <c r="AE45" s="390">
        <f>AE44/(AE21+AE26)</f>
        <v>0.19638263452409369</v>
      </c>
      <c r="AF45" s="254">
        <f>AF44/(AF26+AF21)</f>
        <v>0.21470860779980966</v>
      </c>
      <c r="AG45" s="390">
        <f t="shared" ref="AG45:AL45" si="56">AG44/(AG21+AG26)</f>
        <v>0.25912088845157794</v>
      </c>
      <c r="AH45" s="390">
        <f t="shared" si="56"/>
        <v>0.19939540610178674</v>
      </c>
      <c r="AI45" s="390">
        <f t="shared" si="56"/>
        <v>0.19155130391940967</v>
      </c>
      <c r="AJ45" s="390">
        <f t="shared" si="56"/>
        <v>0.26337835186287578</v>
      </c>
      <c r="AK45" s="254">
        <f t="shared" si="56"/>
        <v>0.22834066780775072</v>
      </c>
      <c r="AL45" s="390">
        <f t="shared" si="56"/>
        <v>0.22884307558658634</v>
      </c>
      <c r="AM45" s="390">
        <f t="shared" ref="AM45:AY45" si="57">AM44/(AM21+AM26)</f>
        <v>0.20262616533394057</v>
      </c>
      <c r="AN45" s="390">
        <f t="shared" si="57"/>
        <v>0.19961832467017449</v>
      </c>
      <c r="AO45" s="390">
        <f t="shared" si="57"/>
        <v>0.23557654202815489</v>
      </c>
      <c r="AP45" s="254">
        <f>AP44/(AP21+AP26)</f>
        <v>0.21652349153692083</v>
      </c>
      <c r="AQ45" s="942">
        <f t="shared" si="57"/>
        <v>0.1976361482304349</v>
      </c>
      <c r="AR45" s="942">
        <f t="shared" si="57"/>
        <v>0.17257314127862214</v>
      </c>
      <c r="AS45" s="942">
        <f t="shared" si="57"/>
        <v>0.17405526491540518</v>
      </c>
      <c r="AT45" s="942">
        <f t="shared" si="57"/>
        <v>0.16052369414221662</v>
      </c>
      <c r="AU45" s="254">
        <f>AU44/(AU21+AU26)</f>
        <v>0.17551003320760253</v>
      </c>
      <c r="AV45" s="942">
        <f t="shared" si="57"/>
        <v>0.16792929731236031</v>
      </c>
      <c r="AW45" s="942">
        <f t="shared" si="57"/>
        <v>0.17080873108508096</v>
      </c>
      <c r="AX45" s="942">
        <f t="shared" si="57"/>
        <v>0.16992177496233968</v>
      </c>
      <c r="AY45" s="942">
        <f t="shared" si="57"/>
        <v>0.11184731116897288</v>
      </c>
      <c r="AZ45" s="254">
        <f>AZ44/(AZ21+AZ26)</f>
        <v>0.15169885670925312</v>
      </c>
      <c r="BA45" s="145"/>
      <c r="BB45" s="145"/>
      <c r="BC45" s="145"/>
      <c r="BD45" s="145"/>
      <c r="BE45" s="254">
        <f>BE44/(BE21+BE26)</f>
        <v>0.15454992201718509</v>
      </c>
      <c r="BF45" s="145"/>
      <c r="BG45" s="147"/>
      <c r="BH45" s="147"/>
      <c r="BI45" s="147"/>
      <c r="BJ45" s="254">
        <f>BJ44/(BJ21+BJ26)</f>
        <v>0.15738451863059941</v>
      </c>
      <c r="BK45" s="254"/>
      <c r="BL45" s="254"/>
      <c r="BM45" s="254"/>
      <c r="BN45" s="254"/>
      <c r="BO45" s="254">
        <f t="shared" ref="BO45:DH45" si="58">BO44/(BO21+BO26)</f>
        <v>0.16008723338860698</v>
      </c>
      <c r="BP45" s="155" t="e">
        <f t="shared" si="58"/>
        <v>#DIV/0!</v>
      </c>
      <c r="BQ45" s="155" t="e">
        <f t="shared" si="58"/>
        <v>#DIV/0!</v>
      </c>
      <c r="BR45" s="155" t="e">
        <f t="shared" si="58"/>
        <v>#DIV/0!</v>
      </c>
      <c r="BS45" s="155" t="e">
        <f t="shared" si="58"/>
        <v>#DIV/0!</v>
      </c>
      <c r="BT45" s="254">
        <f t="shared" si="58"/>
        <v>0.16045514484444809</v>
      </c>
      <c r="BU45" s="155" t="e">
        <f t="shared" si="58"/>
        <v>#DIV/0!</v>
      </c>
      <c r="BV45" s="155" t="e">
        <f t="shared" si="58"/>
        <v>#DIV/0!</v>
      </c>
      <c r="BW45" s="155" t="e">
        <f t="shared" si="58"/>
        <v>#DIV/0!</v>
      </c>
      <c r="BX45" s="155" t="e">
        <f t="shared" si="58"/>
        <v>#DIV/0!</v>
      </c>
      <c r="BY45" s="254">
        <f t="shared" si="58"/>
        <v>0.16041345735789994</v>
      </c>
      <c r="BZ45" s="155" t="e">
        <f t="shared" si="58"/>
        <v>#DIV/0!</v>
      </c>
      <c r="CA45" s="155" t="e">
        <f t="shared" si="58"/>
        <v>#DIV/0!</v>
      </c>
      <c r="CB45" s="155" t="e">
        <f t="shared" si="58"/>
        <v>#DIV/0!</v>
      </c>
      <c r="CC45" s="155" t="e">
        <f t="shared" si="58"/>
        <v>#DIV/0!</v>
      </c>
      <c r="CD45" s="254">
        <f t="shared" si="58"/>
        <v>0.16347223845204384</v>
      </c>
      <c r="CE45" s="155" t="e">
        <f t="shared" si="58"/>
        <v>#DIV/0!</v>
      </c>
      <c r="CF45" s="155" t="e">
        <f t="shared" si="58"/>
        <v>#DIV/0!</v>
      </c>
      <c r="CG45" s="155" t="e">
        <f t="shared" si="58"/>
        <v>#DIV/0!</v>
      </c>
      <c r="CH45" s="155" t="e">
        <f t="shared" si="58"/>
        <v>#DIV/0!</v>
      </c>
      <c r="CI45" s="254">
        <f t="shared" si="58"/>
        <v>0.16415788268618811</v>
      </c>
      <c r="CJ45" s="155" t="e">
        <f t="shared" si="58"/>
        <v>#DIV/0!</v>
      </c>
      <c r="CK45" s="155" t="e">
        <f t="shared" si="58"/>
        <v>#DIV/0!</v>
      </c>
      <c r="CL45" s="155" t="e">
        <f t="shared" si="58"/>
        <v>#DIV/0!</v>
      </c>
      <c r="CM45" s="155" t="e">
        <f t="shared" si="58"/>
        <v>#DIV/0!</v>
      </c>
      <c r="CN45" s="254">
        <f t="shared" si="58"/>
        <v>0.1645880047790246</v>
      </c>
      <c r="CO45" s="155" t="e">
        <f t="shared" si="58"/>
        <v>#DIV/0!</v>
      </c>
      <c r="CP45" s="155" t="e">
        <f t="shared" si="58"/>
        <v>#DIV/0!</v>
      </c>
      <c r="CQ45" s="155" t="e">
        <f t="shared" si="58"/>
        <v>#DIV/0!</v>
      </c>
      <c r="CR45" s="155" t="e">
        <f t="shared" si="58"/>
        <v>#DIV/0!</v>
      </c>
      <c r="CS45" s="254">
        <f t="shared" si="58"/>
        <v>0.16381964011171085</v>
      </c>
      <c r="CT45" s="155" t="e">
        <f t="shared" si="58"/>
        <v>#DIV/0!</v>
      </c>
      <c r="CU45" s="155" t="e">
        <f t="shared" si="58"/>
        <v>#DIV/0!</v>
      </c>
      <c r="CV45" s="155" t="e">
        <f t="shared" si="58"/>
        <v>#DIV/0!</v>
      </c>
      <c r="CW45" s="155" t="e">
        <f t="shared" si="58"/>
        <v>#DIV/0!</v>
      </c>
      <c r="CX45" s="254">
        <f t="shared" si="58"/>
        <v>0.16383281138506697</v>
      </c>
      <c r="CY45" s="155" t="e">
        <f t="shared" si="58"/>
        <v>#DIV/0!</v>
      </c>
      <c r="CZ45" s="155" t="e">
        <f t="shared" si="58"/>
        <v>#DIV/0!</v>
      </c>
      <c r="DA45" s="155" t="e">
        <f t="shared" si="58"/>
        <v>#DIV/0!</v>
      </c>
      <c r="DB45" s="155" t="e">
        <f t="shared" si="58"/>
        <v>#DIV/0!</v>
      </c>
      <c r="DC45" s="254">
        <f t="shared" si="58"/>
        <v>0.16414219434696475</v>
      </c>
      <c r="DD45" s="155" t="e">
        <f t="shared" si="58"/>
        <v>#DIV/0!</v>
      </c>
      <c r="DE45" s="155" t="e">
        <f t="shared" si="58"/>
        <v>#DIV/0!</v>
      </c>
      <c r="DF45" s="155" t="e">
        <f t="shared" si="58"/>
        <v>#DIV/0!</v>
      </c>
      <c r="DG45" s="155" t="e">
        <f t="shared" si="58"/>
        <v>#DIV/0!</v>
      </c>
      <c r="DH45" s="254">
        <f t="shared" si="58"/>
        <v>0.16416689686597929</v>
      </c>
      <c r="DJ45"/>
      <c r="DK45"/>
      <c r="DL45"/>
      <c r="DM45"/>
      <c r="DN45"/>
      <c r="DO45"/>
    </row>
    <row r="46" spans="1:119" s="155" customFormat="1" ht="12.75" hidden="1" customHeight="1" outlineLevel="1">
      <c r="A46" s="144"/>
      <c r="B46" s="252" t="s">
        <v>692</v>
      </c>
      <c r="C46" s="387"/>
      <c r="D46" s="387"/>
      <c r="E46" s="387"/>
      <c r="F46" s="387"/>
      <c r="G46" s="249"/>
      <c r="H46" s="387"/>
      <c r="I46" s="387"/>
      <c r="J46" s="387"/>
      <c r="K46" s="387"/>
      <c r="L46" s="253">
        <f>L44*L37</f>
        <v>0</v>
      </c>
      <c r="M46" s="389">
        <f>M44*M37</f>
        <v>0.11078036104085091</v>
      </c>
      <c r="N46" s="389">
        <f>N44*N37</f>
        <v>0.20985394228316948</v>
      </c>
      <c r="O46" s="389">
        <f>O44*O37</f>
        <v>-0.15505208612894569</v>
      </c>
      <c r="P46" s="389">
        <f>P44*P37</f>
        <v>0.27570313854690476</v>
      </c>
      <c r="Q46" s="253">
        <f>SUM(M46:P46)</f>
        <v>0.44128535574197947</v>
      </c>
      <c r="R46" s="389">
        <f>R44*R37</f>
        <v>0</v>
      </c>
      <c r="S46" s="389">
        <f>S44*S37</f>
        <v>0</v>
      </c>
      <c r="T46" s="389">
        <f>T44*T37</f>
        <v>0</v>
      </c>
      <c r="U46" s="389">
        <f>U44*U37</f>
        <v>0</v>
      </c>
      <c r="V46" s="253">
        <f>SUM(R46:U46)</f>
        <v>0</v>
      </c>
      <c r="W46" s="389">
        <f>W44*W37</f>
        <v>0</v>
      </c>
      <c r="X46" s="389">
        <f>X44*X37</f>
        <v>0</v>
      </c>
      <c r="Y46" s="389">
        <f>Y44*Y37</f>
        <v>0</v>
      </c>
      <c r="Z46" s="389">
        <f>Z44*Z37</f>
        <v>0</v>
      </c>
      <c r="AA46" s="253">
        <f>SUM(W46:Z46)</f>
        <v>0</v>
      </c>
      <c r="AB46" s="389">
        <f>AB44*AB37</f>
        <v>0</v>
      </c>
      <c r="AC46" s="389">
        <f>AC44*AC37</f>
        <v>0</v>
      </c>
      <c r="AD46" s="389">
        <f>AD44*AD37</f>
        <v>0</v>
      </c>
      <c r="AE46" s="389">
        <f>AE44*AE37</f>
        <v>0</v>
      </c>
      <c r="AF46" s="253">
        <f>SUM(AB46:AE46)</f>
        <v>0</v>
      </c>
      <c r="AG46" s="389">
        <f t="shared" ref="AG46:AL46" si="59">AG44*AG37</f>
        <v>12.946714388350628</v>
      </c>
      <c r="AH46" s="389">
        <f t="shared" si="59"/>
        <v>21.584765309472996</v>
      </c>
      <c r="AI46" s="389">
        <f t="shared" si="59"/>
        <v>19.296603318378047</v>
      </c>
      <c r="AJ46" s="389">
        <f t="shared" si="59"/>
        <v>24.911538242081427</v>
      </c>
      <c r="AK46" s="253">
        <f t="shared" si="59"/>
        <v>81.404518899066431</v>
      </c>
      <c r="AL46" s="389">
        <f t="shared" si="59"/>
        <v>54.097661301416949</v>
      </c>
      <c r="AM46" s="389">
        <f t="shared" ref="AM46:AY46" si="60">AM44*AM37</f>
        <v>44.910749367793194</v>
      </c>
      <c r="AN46" s="389">
        <f t="shared" si="60"/>
        <v>39.567366268617299</v>
      </c>
      <c r="AO46" s="389">
        <f t="shared" si="60"/>
        <v>44.721829585999203</v>
      </c>
      <c r="AP46" s="253">
        <f>AP44*AP37</f>
        <v>183.08684515318973</v>
      </c>
      <c r="AQ46" s="943">
        <f t="shared" si="60"/>
        <v>54.243886990451095</v>
      </c>
      <c r="AR46" s="943">
        <f t="shared" si="60"/>
        <v>34.095083531204601</v>
      </c>
      <c r="AS46" s="943">
        <f t="shared" si="60"/>
        <v>39.888225786230002</v>
      </c>
      <c r="AT46" s="943">
        <f t="shared" si="60"/>
        <v>17.911746250673509</v>
      </c>
      <c r="AU46" s="253">
        <f>AU44*AU37</f>
        <v>142.09293550067653</v>
      </c>
      <c r="AV46" s="943">
        <f t="shared" si="60"/>
        <v>21.729050258151457</v>
      </c>
      <c r="AW46" s="943">
        <f t="shared" si="60"/>
        <v>23.717702733101728</v>
      </c>
      <c r="AX46" s="943">
        <f t="shared" si="60"/>
        <v>25.240283395777961</v>
      </c>
      <c r="AY46" s="943">
        <f t="shared" si="60"/>
        <v>20.938558129007436</v>
      </c>
      <c r="AZ46" s="253">
        <f>AZ44*AZ37</f>
        <v>91.625594516038575</v>
      </c>
      <c r="BA46" s="145"/>
      <c r="BB46" s="145"/>
      <c r="BC46" s="145"/>
      <c r="BD46" s="145"/>
      <c r="BE46" s="253">
        <f>BE44*BE37</f>
        <v>100.17519194897832</v>
      </c>
      <c r="BF46" s="145"/>
      <c r="BG46" s="147"/>
      <c r="BH46" s="147"/>
      <c r="BI46" s="147"/>
      <c r="BJ46" s="253">
        <f>BJ44*BJ37</f>
        <v>103.41098835725531</v>
      </c>
      <c r="BK46" s="253"/>
      <c r="BL46" s="253"/>
      <c r="BM46" s="253"/>
      <c r="BN46" s="253"/>
      <c r="BO46" s="253">
        <f t="shared" ref="BO46:DH46" si="61">BO44*BO37</f>
        <v>103.71805726476968</v>
      </c>
      <c r="BP46" s="155">
        <f t="shared" si="61"/>
        <v>0</v>
      </c>
      <c r="BQ46" s="155">
        <f t="shared" si="61"/>
        <v>0</v>
      </c>
      <c r="BR46" s="155">
        <f t="shared" si="61"/>
        <v>0</v>
      </c>
      <c r="BS46" s="155">
        <f t="shared" si="61"/>
        <v>0</v>
      </c>
      <c r="BT46" s="253">
        <f t="shared" si="61"/>
        <v>104.0653879661095</v>
      </c>
      <c r="BU46" s="155">
        <f t="shared" si="61"/>
        <v>0</v>
      </c>
      <c r="BV46" s="155">
        <f t="shared" si="61"/>
        <v>0</v>
      </c>
      <c r="BW46" s="155">
        <f t="shared" si="61"/>
        <v>0</v>
      </c>
      <c r="BX46" s="155">
        <f t="shared" si="61"/>
        <v>0</v>
      </c>
      <c r="BY46" s="253">
        <f t="shared" si="61"/>
        <v>104.3145519809047</v>
      </c>
      <c r="BZ46" s="155">
        <f t="shared" si="61"/>
        <v>0</v>
      </c>
      <c r="CA46" s="155">
        <f t="shared" si="61"/>
        <v>0</v>
      </c>
      <c r="CB46" s="155">
        <f t="shared" si="61"/>
        <v>0</v>
      </c>
      <c r="CC46" s="155">
        <f t="shared" si="61"/>
        <v>0</v>
      </c>
      <c r="CD46" s="253">
        <f t="shared" si="61"/>
        <v>105.08205501241537</v>
      </c>
      <c r="CE46" s="155">
        <f t="shared" si="61"/>
        <v>0</v>
      </c>
      <c r="CF46" s="155">
        <f t="shared" si="61"/>
        <v>0</v>
      </c>
      <c r="CG46" s="155">
        <f t="shared" si="61"/>
        <v>0</v>
      </c>
      <c r="CH46" s="155">
        <f t="shared" si="61"/>
        <v>0</v>
      </c>
      <c r="CI46" s="253">
        <f t="shared" si="61"/>
        <v>106.0870293614859</v>
      </c>
      <c r="CJ46" s="155">
        <f t="shared" si="61"/>
        <v>0</v>
      </c>
      <c r="CK46" s="155">
        <f t="shared" si="61"/>
        <v>0</v>
      </c>
      <c r="CL46" s="155">
        <f t="shared" si="61"/>
        <v>0</v>
      </c>
      <c r="CM46" s="155">
        <f t="shared" si="61"/>
        <v>0</v>
      </c>
      <c r="CN46" s="253">
        <f t="shared" si="61"/>
        <v>105.13568798200541</v>
      </c>
      <c r="CO46" s="155">
        <f t="shared" si="61"/>
        <v>0</v>
      </c>
      <c r="CP46" s="155">
        <f t="shared" si="61"/>
        <v>0</v>
      </c>
      <c r="CQ46" s="155">
        <f t="shared" si="61"/>
        <v>0</v>
      </c>
      <c r="CR46" s="155">
        <f t="shared" si="61"/>
        <v>0</v>
      </c>
      <c r="CS46" s="253">
        <f t="shared" si="61"/>
        <v>104.18774072473406</v>
      </c>
      <c r="CT46" s="155">
        <f t="shared" si="61"/>
        <v>0</v>
      </c>
      <c r="CU46" s="155">
        <f t="shared" si="61"/>
        <v>0</v>
      </c>
      <c r="CV46" s="155">
        <f t="shared" si="61"/>
        <v>0</v>
      </c>
      <c r="CW46" s="155">
        <f t="shared" si="61"/>
        <v>0</v>
      </c>
      <c r="CX46" s="253">
        <f t="shared" si="61"/>
        <v>103.70576499583599</v>
      </c>
      <c r="CY46" s="155">
        <f t="shared" si="61"/>
        <v>0</v>
      </c>
      <c r="CZ46" s="155">
        <f t="shared" si="61"/>
        <v>0</v>
      </c>
      <c r="DA46" s="155">
        <f t="shared" si="61"/>
        <v>0</v>
      </c>
      <c r="DB46" s="155">
        <f t="shared" si="61"/>
        <v>0</v>
      </c>
      <c r="DC46" s="253">
        <f t="shared" si="61"/>
        <v>102.69129077978964</v>
      </c>
      <c r="DD46" s="155">
        <f t="shared" si="61"/>
        <v>0</v>
      </c>
      <c r="DE46" s="155">
        <f t="shared" si="61"/>
        <v>0</v>
      </c>
      <c r="DF46" s="155">
        <f t="shared" si="61"/>
        <v>0</v>
      </c>
      <c r="DG46" s="155">
        <f t="shared" si="61"/>
        <v>0</v>
      </c>
      <c r="DH46" s="253">
        <f t="shared" si="61"/>
        <v>102.81487989575972</v>
      </c>
      <c r="DJ46"/>
      <c r="DK46"/>
      <c r="DL46"/>
      <c r="DM46"/>
      <c r="DN46"/>
      <c r="DO46"/>
    </row>
    <row r="47" spans="1:119" s="155" customFormat="1" ht="12.75" hidden="1" customHeight="1" outlineLevel="1">
      <c r="A47" s="144"/>
      <c r="B47" s="252" t="s">
        <v>693</v>
      </c>
      <c r="C47" s="387"/>
      <c r="D47" s="387"/>
      <c r="E47" s="387"/>
      <c r="F47" s="387"/>
      <c r="G47" s="249"/>
      <c r="H47" s="387"/>
      <c r="I47" s="387"/>
      <c r="J47" s="387"/>
      <c r="K47" s="387"/>
      <c r="L47" s="253">
        <f>L39-L44+L46</f>
        <v>-104.46800000000003</v>
      </c>
      <c r="M47" s="389">
        <f>M39-M44+M46</f>
        <v>-43.336219638959165</v>
      </c>
      <c r="N47" s="389">
        <f>N39-N44+N46</f>
        <v>-62.295146057716842</v>
      </c>
      <c r="O47" s="389">
        <f>O39-O44+O46</f>
        <v>-62.520052086128956</v>
      </c>
      <c r="P47" s="389">
        <f>P39-P44+P46</f>
        <v>-49.2232968614531</v>
      </c>
      <c r="Q47" s="253">
        <f>SUM(M47:P47)</f>
        <v>-217.37471464425806</v>
      </c>
      <c r="R47" s="389">
        <f>R39-R44+R46</f>
        <v>18.768999999999998</v>
      </c>
      <c r="S47" s="389">
        <f>S39-S44+S46</f>
        <v>83.958999999999961</v>
      </c>
      <c r="T47" s="389">
        <f>T39-T44+T46</f>
        <v>198.86699999999993</v>
      </c>
      <c r="U47" s="389">
        <f>U39-U44+U46</f>
        <v>142.04999999999995</v>
      </c>
      <c r="V47" s="253">
        <f>SUM(R47:U47)</f>
        <v>443.64499999999987</v>
      </c>
      <c r="W47" s="389">
        <f>W39-W44+W46</f>
        <v>149.51199999999994</v>
      </c>
      <c r="X47" s="389">
        <f>X39-X44+X46</f>
        <v>155.02700000000002</v>
      </c>
      <c r="Y47" s="389">
        <f>Y39-Y44+Y46</f>
        <v>233.3069999999999</v>
      </c>
      <c r="Z47" s="389">
        <f>Z39-Z44+Z46</f>
        <v>205.79399999999981</v>
      </c>
      <c r="AA47" s="253">
        <f>SUM(W47:Z47)</f>
        <v>743.63999999999965</v>
      </c>
      <c r="AB47" s="389">
        <f>AB39-AB44+AB46</f>
        <v>182.88699999999994</v>
      </c>
      <c r="AC47" s="389">
        <f>AC39-AC44+AC46</f>
        <v>220.2530000000001</v>
      </c>
      <c r="AD47" s="389">
        <f>AD39-AD44+AD46</f>
        <v>222.55299999999991</v>
      </c>
      <c r="AE47" s="389">
        <f>AE39-AE44+AE46</f>
        <v>246.94400000000007</v>
      </c>
      <c r="AF47" s="253">
        <f>SUM(AB47:AE47)</f>
        <v>872.63700000000006</v>
      </c>
      <c r="AG47" s="389">
        <f t="shared" ref="AG47:AL47" si="62">AG39-AG44+AG46</f>
        <v>245.41171438835056</v>
      </c>
      <c r="AH47" s="389">
        <f t="shared" si="62"/>
        <v>265.45176530947293</v>
      </c>
      <c r="AI47" s="389">
        <f t="shared" si="62"/>
        <v>319.52560331837827</v>
      </c>
      <c r="AJ47" s="389">
        <f t="shared" si="62"/>
        <v>192.62753824208113</v>
      </c>
      <c r="AK47" s="253">
        <f t="shared" si="62"/>
        <v>1025.6815188990665</v>
      </c>
      <c r="AL47" s="389">
        <f t="shared" si="62"/>
        <v>204.64666130141723</v>
      </c>
      <c r="AM47" s="389">
        <f t="shared" ref="AM47:AY47" si="63">AM39-AM44+AM46</f>
        <v>242.33574936779308</v>
      </c>
      <c r="AN47" s="389">
        <f t="shared" si="63"/>
        <v>273.18536626861709</v>
      </c>
      <c r="AO47" s="389">
        <f t="shared" si="63"/>
        <v>242.70582958599925</v>
      </c>
      <c r="AP47" s="253">
        <f>AP39-AP44+AP46</f>
        <v>962.66284515319001</v>
      </c>
      <c r="AQ47" s="943">
        <f t="shared" si="63"/>
        <v>257.05588699045097</v>
      </c>
      <c r="AR47" s="943">
        <f t="shared" si="63"/>
        <v>399.62908353120446</v>
      </c>
      <c r="AS47" s="943">
        <f t="shared" si="63"/>
        <v>385.27822578622988</v>
      </c>
      <c r="AT47" s="943">
        <f t="shared" si="63"/>
        <v>498.27874625067324</v>
      </c>
      <c r="AU47" s="253">
        <f>AU39-AU44+AU46</f>
        <v>1536.195935500677</v>
      </c>
      <c r="AV47" s="943">
        <f t="shared" si="63"/>
        <v>384.86253671688036</v>
      </c>
      <c r="AW47" s="943">
        <f t="shared" si="63"/>
        <v>424.14791711504012</v>
      </c>
      <c r="AX47" s="943">
        <f t="shared" si="63"/>
        <v>420.88562521727971</v>
      </c>
      <c r="AY47" s="943">
        <f t="shared" si="63"/>
        <v>375.65580665954013</v>
      </c>
      <c r="AZ47" s="253">
        <f>AZ39-AZ44+AZ46</f>
        <v>1605.5518857087407</v>
      </c>
      <c r="BA47" s="145"/>
      <c r="BB47" s="145"/>
      <c r="BC47" s="145"/>
      <c r="BD47" s="145"/>
      <c r="BE47" s="253">
        <f>BE39-BE44+BE46</f>
        <v>1871.8263678450983</v>
      </c>
      <c r="BF47" s="145"/>
      <c r="BG47" s="147"/>
      <c r="BH47" s="147"/>
      <c r="BI47" s="147"/>
      <c r="BJ47" s="253">
        <f>BJ39-BJ44+BJ46</f>
        <v>2340.2479172972044</v>
      </c>
      <c r="BK47" s="253"/>
      <c r="BL47" s="253"/>
      <c r="BM47" s="253"/>
      <c r="BN47" s="253"/>
      <c r="BO47" s="253">
        <f t="shared" ref="BO47:DH47" si="64">BO39-BO44+BO46</f>
        <v>2780.1199401133908</v>
      </c>
      <c r="BP47" s="155">
        <f t="shared" si="64"/>
        <v>0</v>
      </c>
      <c r="BQ47" s="155">
        <f t="shared" si="64"/>
        <v>0</v>
      </c>
      <c r="BR47" s="155">
        <f t="shared" si="64"/>
        <v>0</v>
      </c>
      <c r="BS47" s="155">
        <f t="shared" si="64"/>
        <v>0</v>
      </c>
      <c r="BT47" s="253">
        <f t="shared" si="64"/>
        <v>3289.0551407222138</v>
      </c>
      <c r="BU47" s="155">
        <f t="shared" si="64"/>
        <v>0</v>
      </c>
      <c r="BV47" s="155">
        <f t="shared" si="64"/>
        <v>0</v>
      </c>
      <c r="BW47" s="155">
        <f t="shared" si="64"/>
        <v>0</v>
      </c>
      <c r="BX47" s="155">
        <f t="shared" si="64"/>
        <v>0</v>
      </c>
      <c r="BY47" s="253">
        <f t="shared" si="64"/>
        <v>3692.2953240088723</v>
      </c>
      <c r="BZ47" s="155">
        <f t="shared" si="64"/>
        <v>0</v>
      </c>
      <c r="CA47" s="155">
        <f t="shared" si="64"/>
        <v>0</v>
      </c>
      <c r="CB47" s="155">
        <f t="shared" si="64"/>
        <v>0</v>
      </c>
      <c r="CC47" s="155">
        <f t="shared" si="64"/>
        <v>0</v>
      </c>
      <c r="CD47" s="253">
        <f t="shared" si="64"/>
        <v>4114.9685744426715</v>
      </c>
      <c r="CE47" s="155">
        <f t="shared" si="64"/>
        <v>0</v>
      </c>
      <c r="CF47" s="155">
        <f t="shared" si="64"/>
        <v>0</v>
      </c>
      <c r="CG47" s="155">
        <f t="shared" si="64"/>
        <v>0</v>
      </c>
      <c r="CH47" s="155">
        <f t="shared" si="64"/>
        <v>0</v>
      </c>
      <c r="CI47" s="253">
        <f t="shared" si="64"/>
        <v>4499.3506092166808</v>
      </c>
      <c r="CJ47" s="155">
        <f t="shared" si="64"/>
        <v>0</v>
      </c>
      <c r="CK47" s="155">
        <f t="shared" si="64"/>
        <v>0</v>
      </c>
      <c r="CL47" s="155">
        <f t="shared" si="64"/>
        <v>0</v>
      </c>
      <c r="CM47" s="155">
        <f t="shared" si="64"/>
        <v>0</v>
      </c>
      <c r="CN47" s="253">
        <f t="shared" si="64"/>
        <v>4556.7633296578906</v>
      </c>
      <c r="CO47" s="155">
        <f t="shared" si="64"/>
        <v>0</v>
      </c>
      <c r="CP47" s="155">
        <f t="shared" si="64"/>
        <v>0</v>
      </c>
      <c r="CQ47" s="155">
        <f t="shared" si="64"/>
        <v>0</v>
      </c>
      <c r="CR47" s="155">
        <f t="shared" si="64"/>
        <v>0</v>
      </c>
      <c r="CS47" s="253">
        <f t="shared" si="64"/>
        <v>4442.4292626518309</v>
      </c>
      <c r="CT47" s="155">
        <f t="shared" si="64"/>
        <v>0</v>
      </c>
      <c r="CU47" s="155">
        <f t="shared" si="64"/>
        <v>0</v>
      </c>
      <c r="CV47" s="155">
        <f t="shared" si="64"/>
        <v>0</v>
      </c>
      <c r="CW47" s="155">
        <f t="shared" si="64"/>
        <v>0</v>
      </c>
      <c r="CX47" s="253">
        <f t="shared" si="64"/>
        <v>4642.678979807949</v>
      </c>
      <c r="CY47" s="155">
        <f t="shared" si="64"/>
        <v>0</v>
      </c>
      <c r="CZ47" s="155">
        <f t="shared" si="64"/>
        <v>0</v>
      </c>
      <c r="DA47" s="155">
        <f t="shared" si="64"/>
        <v>0</v>
      </c>
      <c r="DB47" s="155">
        <f t="shared" si="64"/>
        <v>0</v>
      </c>
      <c r="DC47" s="253">
        <f t="shared" si="64"/>
        <v>4312.9870001316403</v>
      </c>
      <c r="DD47" s="155">
        <f t="shared" si="64"/>
        <v>0</v>
      </c>
      <c r="DE47" s="155">
        <f t="shared" si="64"/>
        <v>0</v>
      </c>
      <c r="DF47" s="155">
        <f t="shared" si="64"/>
        <v>0</v>
      </c>
      <c r="DG47" s="155">
        <f t="shared" si="64"/>
        <v>0</v>
      </c>
      <c r="DH47" s="253">
        <f t="shared" si="64"/>
        <v>4548.8292743422253</v>
      </c>
      <c r="DJ47"/>
      <c r="DK47"/>
      <c r="DL47"/>
      <c r="DM47"/>
      <c r="DN47"/>
      <c r="DO47"/>
    </row>
    <row r="48" spans="1:119" s="155" customFormat="1" ht="12.75" customHeight="1" collapsed="1">
      <c r="A48" s="144"/>
      <c r="B48" s="252" t="s">
        <v>750</v>
      </c>
      <c r="C48" s="387"/>
      <c r="D48" s="387"/>
      <c r="E48" s="387"/>
      <c r="F48" s="387"/>
      <c r="G48" s="249"/>
      <c r="H48" s="387"/>
      <c r="I48" s="387"/>
      <c r="J48" s="387"/>
      <c r="K48" s="387"/>
      <c r="L48" s="255">
        <f t="shared" ref="L48:AF48" si="65">L47/L79</f>
        <v>-1.2597737742083306</v>
      </c>
      <c r="M48" s="391">
        <f t="shared" si="65"/>
        <v>-0.48603911575513292</v>
      </c>
      <c r="N48" s="391">
        <f t="shared" si="65"/>
        <v>-0.68883128464015253</v>
      </c>
      <c r="O48" s="391">
        <f t="shared" si="65"/>
        <v>-0.68668642319408812</v>
      </c>
      <c r="P48" s="391">
        <f t="shared" si="65"/>
        <v>-0.53621901436270358</v>
      </c>
      <c r="Q48" s="255">
        <f t="shared" si="65"/>
        <v>-2.3990146191839541</v>
      </c>
      <c r="R48" s="391">
        <f t="shared" si="65"/>
        <v>0.16684297079870214</v>
      </c>
      <c r="S48" s="391">
        <f t="shared" si="65"/>
        <v>0.73053563970485835</v>
      </c>
      <c r="T48" s="391">
        <f t="shared" si="65"/>
        <v>1.7168868168868163</v>
      </c>
      <c r="U48" s="391">
        <f t="shared" si="65"/>
        <v>1.2116481998004041</v>
      </c>
      <c r="V48" s="255">
        <f t="shared" si="65"/>
        <v>3.8450104869043686</v>
      </c>
      <c r="W48" s="391">
        <f t="shared" si="65"/>
        <v>1.3146223511826249</v>
      </c>
      <c r="X48" s="391">
        <f t="shared" si="65"/>
        <v>1.3450082855432455</v>
      </c>
      <c r="Y48" s="391">
        <f t="shared" si="65"/>
        <v>2.0100889133955948</v>
      </c>
      <c r="Z48" s="391">
        <f t="shared" si="65"/>
        <v>1.7628405002569798</v>
      </c>
      <c r="AA48" s="255">
        <f t="shared" si="65"/>
        <v>6.4472052920419936</v>
      </c>
      <c r="AB48" s="391">
        <f>AB47/AB79</f>
        <v>1.5606557097264173</v>
      </c>
      <c r="AC48" s="391">
        <f>AC47/AC79</f>
        <v>1.869640507618523</v>
      </c>
      <c r="AD48" s="391">
        <f>AD47/AD79</f>
        <v>1.8917818466194039</v>
      </c>
      <c r="AE48" s="391">
        <f>AE47/AE79</f>
        <v>2.0958540207935505</v>
      </c>
      <c r="AF48" s="255">
        <f t="shared" si="65"/>
        <v>7.3973602563450491</v>
      </c>
      <c r="AG48" s="391">
        <f t="shared" ref="AG48:AL48" si="66">AG47/AG79</f>
        <v>2.1064298352732953</v>
      </c>
      <c r="AH48" s="391">
        <f t="shared" si="66"/>
        <v>2.2692646016693274</v>
      </c>
      <c r="AI48" s="391">
        <f t="shared" si="66"/>
        <v>2.75419865980294</v>
      </c>
      <c r="AJ48" s="391">
        <f t="shared" si="66"/>
        <v>1.6657662055368962</v>
      </c>
      <c r="AK48" s="255">
        <f t="shared" si="66"/>
        <v>8.8151047990981599</v>
      </c>
      <c r="AL48" s="391">
        <f t="shared" si="66"/>
        <v>1.7973692136890123</v>
      </c>
      <c r="AM48" s="391">
        <f t="shared" ref="AM48:AY48" si="67">AM47/AM79</f>
        <v>2.0797245983007056</v>
      </c>
      <c r="AN48" s="391">
        <f t="shared" si="67"/>
        <v>2.342043879399001</v>
      </c>
      <c r="AO48" s="391">
        <f t="shared" si="67"/>
        <v>2.094331802410963</v>
      </c>
      <c r="AP48" s="255">
        <f>AP47/AP79</f>
        <v>8.3183046935660911</v>
      </c>
      <c r="AQ48" s="941">
        <f t="shared" si="67"/>
        <v>2.2318141224057633</v>
      </c>
      <c r="AR48" s="941">
        <f t="shared" si="67"/>
        <v>3.4205447440016816</v>
      </c>
      <c r="AS48" s="941">
        <f t="shared" si="67"/>
        <v>3.2700856889485554</v>
      </c>
      <c r="AT48" s="941">
        <f t="shared" si="67"/>
        <v>4.288039330223862</v>
      </c>
      <c r="AU48" s="255">
        <f>AU47/AU79</f>
        <v>13.185354068726561</v>
      </c>
      <c r="AV48" s="941">
        <f t="shared" si="67"/>
        <v>3.3049027643739941</v>
      </c>
      <c r="AW48" s="941">
        <f t="shared" si="67"/>
        <v>3.6344528552641782</v>
      </c>
      <c r="AX48" s="941">
        <f t="shared" si="67"/>
        <v>3.598789462491276</v>
      </c>
      <c r="AY48" s="941">
        <f t="shared" si="67"/>
        <v>3.2051996267942537</v>
      </c>
      <c r="AZ48" s="255">
        <f>AZ47/AZ79</f>
        <v>13.663370166722967</v>
      </c>
      <c r="BA48" s="145"/>
      <c r="BB48" s="145"/>
      <c r="BC48" s="145"/>
      <c r="BD48" s="145"/>
      <c r="BE48" s="255">
        <f>BE47/BE79</f>
        <v>15.279248601375</v>
      </c>
      <c r="BF48" s="145"/>
      <c r="BG48" s="147"/>
      <c r="BH48" s="147"/>
      <c r="BI48" s="147"/>
      <c r="BJ48" s="255">
        <f>BJ47/BJ79</f>
        <v>18.353770004546423</v>
      </c>
      <c r="BK48" s="255"/>
      <c r="BL48" s="255"/>
      <c r="BM48" s="255"/>
      <c r="BN48" s="255"/>
      <c r="BO48" s="255">
        <f t="shared" ref="BO48:DH48" si="68">BO47/BO79</f>
        <v>21.140350588565244</v>
      </c>
      <c r="BP48" s="155">
        <f t="shared" si="68"/>
        <v>0</v>
      </c>
      <c r="BQ48" s="155">
        <f t="shared" si="68"/>
        <v>0</v>
      </c>
      <c r="BR48" s="155">
        <f t="shared" si="68"/>
        <v>0</v>
      </c>
      <c r="BS48" s="155">
        <f t="shared" si="68"/>
        <v>0</v>
      </c>
      <c r="BT48" s="255">
        <f t="shared" si="68"/>
        <v>24.272081417647435</v>
      </c>
      <c r="BU48" s="155">
        <f t="shared" si="68"/>
        <v>0</v>
      </c>
      <c r="BV48" s="155">
        <f t="shared" si="68"/>
        <v>0</v>
      </c>
      <c r="BW48" s="155">
        <f t="shared" si="68"/>
        <v>0</v>
      </c>
      <c r="BX48" s="155">
        <f t="shared" si="68"/>
        <v>0</v>
      </c>
      <c r="BY48" s="255">
        <f t="shared" si="68"/>
        <v>26.561794748917759</v>
      </c>
      <c r="BZ48" s="155">
        <f t="shared" si="68"/>
        <v>0</v>
      </c>
      <c r="CA48" s="155">
        <f t="shared" si="68"/>
        <v>0</v>
      </c>
      <c r="CB48" s="155">
        <f t="shared" si="68"/>
        <v>0</v>
      </c>
      <c r="CC48" s="155">
        <f t="shared" si="68"/>
        <v>0</v>
      </c>
      <c r="CD48" s="255">
        <f t="shared" si="68"/>
        <v>28.875402035627339</v>
      </c>
      <c r="CE48" s="155">
        <f t="shared" si="68"/>
        <v>0</v>
      </c>
      <c r="CF48" s="155">
        <f t="shared" si="68"/>
        <v>0</v>
      </c>
      <c r="CG48" s="155">
        <f t="shared" si="68"/>
        <v>0</v>
      </c>
      <c r="CH48" s="155">
        <f t="shared" si="68"/>
        <v>0</v>
      </c>
      <c r="CI48" s="255">
        <f t="shared" si="68"/>
        <v>30.921724851196458</v>
      </c>
      <c r="CJ48" s="155">
        <f t="shared" si="68"/>
        <v>0</v>
      </c>
      <c r="CK48" s="155">
        <f t="shared" si="68"/>
        <v>0</v>
      </c>
      <c r="CL48" s="155">
        <f t="shared" si="68"/>
        <v>0</v>
      </c>
      <c r="CM48" s="155">
        <f t="shared" si="68"/>
        <v>0</v>
      </c>
      <c r="CN48" s="255">
        <f t="shared" si="68"/>
        <v>30.683673610689617</v>
      </c>
      <c r="CO48" s="155">
        <f t="shared" si="68"/>
        <v>0</v>
      </c>
      <c r="CP48" s="155">
        <f t="shared" si="68"/>
        <v>0</v>
      </c>
      <c r="CQ48" s="155">
        <f t="shared" si="68"/>
        <v>0</v>
      </c>
      <c r="CR48" s="155">
        <f t="shared" si="68"/>
        <v>0</v>
      </c>
      <c r="CS48" s="255">
        <f t="shared" si="68"/>
        <v>29.418551449523825</v>
      </c>
      <c r="CT48" s="155">
        <f t="shared" si="68"/>
        <v>0</v>
      </c>
      <c r="CU48" s="155">
        <f t="shared" si="68"/>
        <v>0</v>
      </c>
      <c r="CV48" s="155">
        <f t="shared" si="68"/>
        <v>0</v>
      </c>
      <c r="CW48" s="155">
        <f t="shared" si="68"/>
        <v>0</v>
      </c>
      <c r="CX48" s="255">
        <f t="shared" si="68"/>
        <v>30.243938692397936</v>
      </c>
      <c r="CY48" s="155">
        <f t="shared" si="68"/>
        <v>0</v>
      </c>
      <c r="CZ48" s="155">
        <f t="shared" si="68"/>
        <v>0</v>
      </c>
      <c r="DA48" s="155">
        <f t="shared" si="68"/>
        <v>0</v>
      </c>
      <c r="DB48" s="155">
        <f t="shared" si="68"/>
        <v>0</v>
      </c>
      <c r="DC48" s="255">
        <f t="shared" si="68"/>
        <v>27.734868520261148</v>
      </c>
      <c r="DD48" s="155">
        <f t="shared" si="68"/>
        <v>0</v>
      </c>
      <c r="DE48" s="155">
        <f t="shared" si="68"/>
        <v>0</v>
      </c>
      <c r="DF48" s="155">
        <f t="shared" si="68"/>
        <v>0</v>
      </c>
      <c r="DG48" s="155">
        <f t="shared" si="68"/>
        <v>0</v>
      </c>
      <c r="DH48" s="255">
        <f t="shared" si="68"/>
        <v>28.88003462904032</v>
      </c>
      <c r="DJ48"/>
      <c r="DK48"/>
      <c r="DL48"/>
      <c r="DM48"/>
      <c r="DN48"/>
      <c r="DO48"/>
    </row>
    <row r="49" spans="1:119" s="155" customFormat="1" ht="12.75" hidden="1" customHeight="1" outlineLevel="1">
      <c r="A49" s="144"/>
      <c r="B49" s="248"/>
      <c r="C49" s="387"/>
      <c r="D49" s="387"/>
      <c r="E49" s="387"/>
      <c r="F49" s="387"/>
      <c r="G49" s="249"/>
      <c r="H49" s="387"/>
      <c r="I49" s="387"/>
      <c r="J49" s="387"/>
      <c r="K49" s="387"/>
      <c r="L49" s="249"/>
      <c r="M49" s="387"/>
      <c r="N49" s="387"/>
      <c r="O49" s="387"/>
      <c r="P49" s="387"/>
      <c r="Q49" s="249"/>
      <c r="R49" s="387"/>
      <c r="S49" s="387"/>
      <c r="T49" s="387"/>
      <c r="U49" s="387"/>
      <c r="V49" s="249"/>
      <c r="W49" s="387"/>
      <c r="X49" s="387"/>
      <c r="Y49" s="387"/>
      <c r="Z49" s="387"/>
      <c r="AA49" s="249"/>
      <c r="AB49" s="388"/>
      <c r="AC49" s="388"/>
      <c r="AD49" s="388"/>
      <c r="AE49" s="388"/>
      <c r="AF49" s="250"/>
      <c r="AG49" s="388"/>
      <c r="AH49" s="388"/>
      <c r="AI49" s="388"/>
      <c r="AJ49" s="388"/>
      <c r="AK49" s="249"/>
      <c r="AL49" s="388"/>
      <c r="AM49" s="388"/>
      <c r="AN49" s="388"/>
      <c r="AO49" s="388"/>
      <c r="AP49" s="249"/>
      <c r="AQ49" s="936"/>
      <c r="AR49" s="936"/>
      <c r="AS49" s="936"/>
      <c r="AT49" s="936"/>
      <c r="AU49" s="249"/>
      <c r="AV49" s="936"/>
      <c r="AW49" s="936"/>
      <c r="AX49" s="936"/>
      <c r="AY49" s="936"/>
      <c r="AZ49" s="145"/>
      <c r="BA49" s="145"/>
      <c r="BB49" s="145"/>
      <c r="BC49" s="145"/>
      <c r="BD49" s="145"/>
      <c r="BE49" s="145"/>
      <c r="BF49" s="145"/>
      <c r="BG49" s="147"/>
      <c r="BH49" s="147"/>
      <c r="BI49" s="147"/>
      <c r="BJ49" s="147"/>
      <c r="BK49" s="147"/>
      <c r="BL49" s="147"/>
      <c r="BM49" s="147"/>
      <c r="BN49" s="147"/>
      <c r="DJ49"/>
      <c r="DK49"/>
      <c r="DL49"/>
      <c r="DM49"/>
      <c r="DN49"/>
      <c r="DO49"/>
    </row>
    <row r="50" spans="1:119" s="155" customFormat="1" ht="12.75" hidden="1" customHeight="1" outlineLevel="1">
      <c r="A50" s="144"/>
      <c r="B50" s="768" t="s">
        <v>697</v>
      </c>
      <c r="C50" s="387"/>
      <c r="D50" s="387"/>
      <c r="E50" s="387"/>
      <c r="F50" s="387"/>
      <c r="G50" s="249"/>
      <c r="H50" s="387"/>
      <c r="I50" s="387"/>
      <c r="J50" s="387"/>
      <c r="K50" s="387"/>
      <c r="L50" s="249"/>
      <c r="M50" s="387"/>
      <c r="N50" s="387"/>
      <c r="O50" s="387"/>
      <c r="P50" s="387"/>
      <c r="Q50" s="249"/>
      <c r="R50" s="387"/>
      <c r="S50" s="387"/>
      <c r="T50" s="387"/>
      <c r="U50" s="387"/>
      <c r="V50" s="249"/>
      <c r="W50" s="387"/>
      <c r="X50" s="387"/>
      <c r="Y50" s="387"/>
      <c r="Z50" s="387"/>
      <c r="AA50" s="249"/>
      <c r="AB50" s="388"/>
      <c r="AC50" s="388"/>
      <c r="AD50" s="388"/>
      <c r="AE50" s="388"/>
      <c r="AF50" s="250"/>
      <c r="AG50" s="388"/>
      <c r="AH50" s="388"/>
      <c r="AI50" s="388"/>
      <c r="AJ50" s="388"/>
      <c r="AK50" s="878"/>
      <c r="AL50" s="388"/>
      <c r="AM50" s="388"/>
      <c r="AN50" s="388"/>
      <c r="AO50" s="388"/>
      <c r="AP50" s="249"/>
      <c r="AQ50" s="936"/>
      <c r="AR50" s="936"/>
      <c r="AS50" s="936"/>
      <c r="AT50" s="936"/>
      <c r="AU50" s="249"/>
      <c r="AV50" s="936"/>
      <c r="AW50" s="936"/>
      <c r="AX50" s="936"/>
      <c r="AY50" s="936"/>
      <c r="AZ50" s="145"/>
      <c r="BA50" s="145"/>
      <c r="BB50" s="145"/>
      <c r="BC50" s="145"/>
      <c r="BD50" s="145"/>
      <c r="BE50" s="145"/>
      <c r="BF50" s="145"/>
      <c r="BG50" s="147"/>
      <c r="BH50" s="147"/>
      <c r="BI50" s="147"/>
      <c r="BJ50" s="147"/>
      <c r="BK50" s="147"/>
      <c r="BL50" s="147"/>
      <c r="BM50" s="147"/>
      <c r="BN50" s="147"/>
      <c r="DJ50"/>
      <c r="DK50"/>
      <c r="DL50"/>
      <c r="DM50"/>
      <c r="DN50"/>
      <c r="DO50"/>
    </row>
    <row r="51" spans="1:119" s="155" customFormat="1" ht="12.75" hidden="1" customHeight="1" outlineLevel="1">
      <c r="A51" s="144"/>
      <c r="B51" s="248"/>
      <c r="C51" s="387"/>
      <c r="D51" s="387"/>
      <c r="E51" s="387"/>
      <c r="F51" s="387"/>
      <c r="G51" s="249"/>
      <c r="H51" s="387"/>
      <c r="I51" s="387"/>
      <c r="J51" s="387"/>
      <c r="K51" s="387"/>
      <c r="L51" s="249"/>
      <c r="M51" s="387"/>
      <c r="N51" s="387"/>
      <c r="O51" s="387"/>
      <c r="P51" s="387"/>
      <c r="Q51" s="249"/>
      <c r="R51" s="387"/>
      <c r="S51" s="387"/>
      <c r="T51" s="387"/>
      <c r="U51" s="387"/>
      <c r="V51" s="249"/>
      <c r="W51" s="387"/>
      <c r="X51" s="387"/>
      <c r="Y51" s="387"/>
      <c r="Z51" s="387"/>
      <c r="AA51" s="249"/>
      <c r="AB51" s="388"/>
      <c r="AC51" s="388"/>
      <c r="AD51" s="388"/>
      <c r="AE51" s="388"/>
      <c r="AF51" s="250"/>
      <c r="AG51" s="388"/>
      <c r="AH51" s="388"/>
      <c r="AI51" s="388"/>
      <c r="AJ51" s="388"/>
      <c r="AK51" s="249"/>
      <c r="AL51" s="388"/>
      <c r="AM51" s="388"/>
      <c r="AN51" s="388"/>
      <c r="AO51" s="388"/>
      <c r="AP51" s="249"/>
      <c r="AQ51" s="936"/>
      <c r="AR51" s="936"/>
      <c r="AS51" s="936"/>
      <c r="AT51" s="936"/>
      <c r="AU51" s="249"/>
      <c r="AV51" s="936"/>
      <c r="AW51" s="936"/>
      <c r="AX51" s="936"/>
      <c r="AY51" s="936"/>
      <c r="AZ51" s="145"/>
      <c r="BA51" s="145"/>
      <c r="BB51" s="145"/>
      <c r="BC51" s="145"/>
      <c r="BD51" s="145"/>
      <c r="BE51" s="145"/>
      <c r="BF51" s="145"/>
      <c r="BG51" s="147"/>
      <c r="BH51" s="147"/>
      <c r="BI51" s="147"/>
      <c r="BJ51" s="147"/>
      <c r="BK51" s="147"/>
      <c r="BL51" s="147"/>
      <c r="BM51" s="147"/>
      <c r="BN51" s="147"/>
      <c r="DJ51"/>
      <c r="DK51"/>
      <c r="DL51"/>
      <c r="DM51"/>
      <c r="DN51"/>
      <c r="DO51"/>
    </row>
    <row r="52" spans="1:119" s="155" customFormat="1" ht="12.75" hidden="1" customHeight="1" outlineLevel="1">
      <c r="A52" s="144"/>
      <c r="B52" s="252" t="s">
        <v>790</v>
      </c>
      <c r="C52" s="387">
        <f t="shared" ref="C52:M52" si="69">C39</f>
        <v>-17.481000000000002</v>
      </c>
      <c r="D52" s="387">
        <f t="shared" si="69"/>
        <v>-14.938000000000006</v>
      </c>
      <c r="E52" s="387">
        <f t="shared" si="69"/>
        <v>-1.0149999999999968</v>
      </c>
      <c r="F52" s="387">
        <f t="shared" si="69"/>
        <v>-36.489000000000004</v>
      </c>
      <c r="G52" s="249">
        <f t="shared" si="69"/>
        <v>-67.830000000000013</v>
      </c>
      <c r="H52" s="387">
        <f t="shared" si="69"/>
        <v>-30.522000000000009</v>
      </c>
      <c r="I52" s="387">
        <f t="shared" si="69"/>
        <v>-25.474000000000004</v>
      </c>
      <c r="J52" s="387">
        <f t="shared" si="69"/>
        <v>-33.874999999999993</v>
      </c>
      <c r="K52" s="387">
        <f t="shared" si="69"/>
        <v>-1.0579999999999714</v>
      </c>
      <c r="L52" s="253">
        <f t="shared" si="69"/>
        <v>-64.622000000000028</v>
      </c>
      <c r="M52" s="389">
        <f t="shared" si="69"/>
        <v>-28.645000000000014</v>
      </c>
      <c r="N52" s="389">
        <f t="shared" ref="N52:BJ52" si="70">N39</f>
        <v>-50.110000000000007</v>
      </c>
      <c r="O52" s="389">
        <f t="shared" si="70"/>
        <v>-49.001000000000005</v>
      </c>
      <c r="P52" s="389">
        <f t="shared" si="70"/>
        <v>-33.987000000000002</v>
      </c>
      <c r="Q52" s="253">
        <f>Q39</f>
        <v>-161.74299999999999</v>
      </c>
      <c r="R52" s="389">
        <f t="shared" si="70"/>
        <v>42.013999999999996</v>
      </c>
      <c r="S52" s="389">
        <f t="shared" si="70"/>
        <v>103.58199999999997</v>
      </c>
      <c r="T52" s="389">
        <f t="shared" si="70"/>
        <v>219.38399999999993</v>
      </c>
      <c r="U52" s="389">
        <f>U39</f>
        <v>172.82099999999997</v>
      </c>
      <c r="V52" s="253">
        <f>V39</f>
        <v>537.70099999999968</v>
      </c>
      <c r="W52" s="389">
        <f t="shared" si="70"/>
        <v>202.54299999999995</v>
      </c>
      <c r="X52" s="389">
        <f>X39</f>
        <v>199.46900000000002</v>
      </c>
      <c r="Y52" s="389">
        <f t="shared" si="70"/>
        <v>279.05199999999991</v>
      </c>
      <c r="Z52" s="389">
        <f t="shared" si="70"/>
        <v>260.97599999999983</v>
      </c>
      <c r="AA52" s="253">
        <f t="shared" si="70"/>
        <v>942.04000000000008</v>
      </c>
      <c r="AB52" s="389">
        <f>AB39</f>
        <v>264.29499999999996</v>
      </c>
      <c r="AC52" s="389">
        <f t="shared" si="70"/>
        <v>290.7650000000001</v>
      </c>
      <c r="AD52" s="389">
        <f t="shared" si="70"/>
        <v>296.41699999999992</v>
      </c>
      <c r="AE52" s="389">
        <f t="shared" si="70"/>
        <v>328.39900000000006</v>
      </c>
      <c r="AF52" s="253">
        <f t="shared" ref="AF52:AK52" si="71">AF39</f>
        <v>1179.8759999999997</v>
      </c>
      <c r="AG52" s="389">
        <f t="shared" si="71"/>
        <v>336.22399999999993</v>
      </c>
      <c r="AH52" s="389">
        <f t="shared" si="71"/>
        <v>338.12399999999997</v>
      </c>
      <c r="AI52" s="389">
        <f t="shared" si="71"/>
        <v>402.87100000000021</v>
      </c>
      <c r="AJ52" s="389">
        <f t="shared" si="71"/>
        <v>326.10699999999969</v>
      </c>
      <c r="AK52" s="253">
        <f t="shared" si="71"/>
        <v>1403.326</v>
      </c>
      <c r="AL52" s="389">
        <f t="shared" si="70"/>
        <v>292.79900000000026</v>
      </c>
      <c r="AM52" s="389">
        <f t="shared" si="70"/>
        <v>329.11599999999987</v>
      </c>
      <c r="AN52" s="389">
        <f t="shared" si="70"/>
        <v>364.99699999999979</v>
      </c>
      <c r="AO52" s="389">
        <f t="shared" si="70"/>
        <v>352.54200000000003</v>
      </c>
      <c r="AP52" s="253">
        <f t="shared" si="70"/>
        <v>1339.4540000000002</v>
      </c>
      <c r="AQ52" s="937">
        <f t="shared" si="70"/>
        <v>336.60099999999989</v>
      </c>
      <c r="AR52" s="937">
        <f t="shared" si="70"/>
        <v>486.79199999999986</v>
      </c>
      <c r="AS52" s="937">
        <f t="shared" si="70"/>
        <v>470.48699999999985</v>
      </c>
      <c r="AT52" s="937">
        <f t="shared" si="70"/>
        <v>607.49999999999977</v>
      </c>
      <c r="AU52" s="253">
        <f t="shared" si="70"/>
        <v>1901.3800000000006</v>
      </c>
      <c r="AV52" s="937">
        <f t="shared" si="70"/>
        <v>486.4419754587289</v>
      </c>
      <c r="AW52" s="937">
        <f t="shared" si="70"/>
        <v>535.02395188193839</v>
      </c>
      <c r="AX52" s="937">
        <f t="shared" si="70"/>
        <v>538.87945332150173</v>
      </c>
      <c r="AY52" s="937">
        <f t="shared" si="70"/>
        <v>473.53983553053268</v>
      </c>
      <c r="AZ52" s="253">
        <f t="shared" si="70"/>
        <v>2033.885216192702</v>
      </c>
      <c r="BA52" s="253">
        <f t="shared" si="70"/>
        <v>0</v>
      </c>
      <c r="BB52" s="253">
        <f t="shared" si="70"/>
        <v>0</v>
      </c>
      <c r="BC52" s="253">
        <f t="shared" si="70"/>
        <v>0</v>
      </c>
      <c r="BD52" s="253">
        <f t="shared" si="70"/>
        <v>0</v>
      </c>
      <c r="BE52" s="253">
        <f t="shared" si="70"/>
        <v>2304.6090740211198</v>
      </c>
      <c r="BF52" s="253">
        <f t="shared" si="70"/>
        <v>0</v>
      </c>
      <c r="BG52" s="253">
        <f t="shared" si="70"/>
        <v>0</v>
      </c>
      <c r="BH52" s="253">
        <f t="shared" si="70"/>
        <v>0</v>
      </c>
      <c r="BI52" s="253">
        <f t="shared" si="70"/>
        <v>0</v>
      </c>
      <c r="BJ52" s="253">
        <f t="shared" si="70"/>
        <v>2783.1187745180737</v>
      </c>
      <c r="BK52" s="253"/>
      <c r="BL52" s="253"/>
      <c r="BM52" s="253"/>
      <c r="BN52" s="253"/>
      <c r="BO52" s="253">
        <f t="shared" ref="BO52:DH52" si="72">BO39</f>
        <v>3236.3407745661989</v>
      </c>
      <c r="BP52" s="155">
        <f t="shared" si="72"/>
        <v>0</v>
      </c>
      <c r="BQ52" s="155">
        <f t="shared" si="72"/>
        <v>0</v>
      </c>
      <c r="BR52" s="155">
        <f t="shared" si="72"/>
        <v>0</v>
      </c>
      <c r="BS52" s="155">
        <f t="shared" si="72"/>
        <v>0</v>
      </c>
      <c r="BT52" s="253">
        <f t="shared" si="72"/>
        <v>3758.9271167666216</v>
      </c>
      <c r="BU52" s="155">
        <f t="shared" si="72"/>
        <v>0</v>
      </c>
      <c r="BV52" s="155">
        <f t="shared" si="72"/>
        <v>0</v>
      </c>
      <c r="BW52" s="155">
        <f t="shared" si="72"/>
        <v>0</v>
      </c>
      <c r="BX52" s="155">
        <f t="shared" si="72"/>
        <v>0</v>
      </c>
      <c r="BY52" s="253">
        <f t="shared" si="72"/>
        <v>4176.2665701387477</v>
      </c>
      <c r="BZ52" s="155">
        <f t="shared" si="72"/>
        <v>0</v>
      </c>
      <c r="CA52" s="155">
        <f t="shared" si="72"/>
        <v>0</v>
      </c>
      <c r="CB52" s="155">
        <f t="shared" si="72"/>
        <v>0</v>
      </c>
      <c r="CC52" s="155">
        <f t="shared" si="72"/>
        <v>0</v>
      </c>
      <c r="CD52" s="253">
        <f t="shared" si="72"/>
        <v>4612.8794624938064</v>
      </c>
      <c r="CE52" s="155">
        <f t="shared" si="72"/>
        <v>0</v>
      </c>
      <c r="CF52" s="155">
        <f t="shared" si="72"/>
        <v>0</v>
      </c>
      <c r="CG52" s="155">
        <f t="shared" si="72"/>
        <v>0</v>
      </c>
      <c r="CH52" s="155">
        <f t="shared" si="72"/>
        <v>0</v>
      </c>
      <c r="CI52" s="253">
        <f t="shared" si="72"/>
        <v>5011.3313464953326</v>
      </c>
      <c r="CJ52" s="155">
        <f t="shared" si="72"/>
        <v>0</v>
      </c>
      <c r="CK52" s="155">
        <f t="shared" si="72"/>
        <v>0</v>
      </c>
      <c r="CL52" s="155">
        <f t="shared" si="72"/>
        <v>0</v>
      </c>
      <c r="CM52" s="155">
        <f t="shared" si="72"/>
        <v>0</v>
      </c>
      <c r="CN52" s="253">
        <f t="shared" si="72"/>
        <v>5079.2954423340698</v>
      </c>
      <c r="CO52" s="155">
        <f t="shared" si="72"/>
        <v>0</v>
      </c>
      <c r="CP52" s="155">
        <f t="shared" si="72"/>
        <v>0</v>
      </c>
      <c r="CQ52" s="155">
        <f t="shared" si="72"/>
        <v>0</v>
      </c>
      <c r="CR52" s="155">
        <f t="shared" si="72"/>
        <v>0</v>
      </c>
      <c r="CS52" s="253">
        <f t="shared" si="72"/>
        <v>4975.6615825515582</v>
      </c>
      <c r="CT52" s="155">
        <f t="shared" si="72"/>
        <v>0</v>
      </c>
      <c r="CU52" s="155">
        <f t="shared" si="72"/>
        <v>0</v>
      </c>
      <c r="CV52" s="155">
        <f t="shared" si="72"/>
        <v>0</v>
      </c>
      <c r="CW52" s="155">
        <f t="shared" si="72"/>
        <v>0</v>
      </c>
      <c r="CX52" s="253">
        <f t="shared" si="72"/>
        <v>5186.3002503762564</v>
      </c>
      <c r="CY52" s="155">
        <f t="shared" si="72"/>
        <v>0</v>
      </c>
      <c r="CZ52" s="155">
        <f t="shared" si="72"/>
        <v>0</v>
      </c>
      <c r="DA52" s="155">
        <f t="shared" si="72"/>
        <v>0</v>
      </c>
      <c r="DB52" s="155">
        <f t="shared" si="72"/>
        <v>0</v>
      </c>
      <c r="DC52" s="253">
        <f t="shared" si="72"/>
        <v>4867.6869663305288</v>
      </c>
      <c r="DD52" s="155">
        <f t="shared" si="72"/>
        <v>0</v>
      </c>
      <c r="DE52" s="155">
        <f t="shared" si="72"/>
        <v>0</v>
      </c>
      <c r="DF52" s="155">
        <f t="shared" si="72"/>
        <v>0</v>
      </c>
      <c r="DG52" s="155">
        <f t="shared" si="72"/>
        <v>0</v>
      </c>
      <c r="DH52" s="253">
        <f t="shared" si="72"/>
        <v>5113.6296940579223</v>
      </c>
      <c r="DJ52"/>
      <c r="DK52"/>
      <c r="DL52"/>
      <c r="DM52"/>
      <c r="DN52"/>
      <c r="DO52"/>
    </row>
    <row r="53" spans="1:119" s="155" customFormat="1" ht="12.75" hidden="1" customHeight="1" outlineLevel="1">
      <c r="A53" s="144"/>
      <c r="B53" s="248"/>
      <c r="C53" s="387"/>
      <c r="D53" s="387"/>
      <c r="E53" s="387"/>
      <c r="F53" s="387"/>
      <c r="G53" s="249"/>
      <c r="H53" s="387"/>
      <c r="I53" s="387"/>
      <c r="J53" s="387"/>
      <c r="K53" s="387"/>
      <c r="L53" s="249"/>
      <c r="M53" s="387"/>
      <c r="N53" s="387"/>
      <c r="O53" s="387"/>
      <c r="P53" s="387"/>
      <c r="Q53" s="249"/>
      <c r="R53" s="387"/>
      <c r="S53" s="387"/>
      <c r="T53" s="387"/>
      <c r="U53" s="387"/>
      <c r="V53" s="249"/>
      <c r="W53" s="387"/>
      <c r="X53" s="387"/>
      <c r="Y53" s="387"/>
      <c r="Z53" s="387"/>
      <c r="AA53" s="249"/>
      <c r="AB53" s="388"/>
      <c r="AC53" s="388"/>
      <c r="AD53" s="388"/>
      <c r="AE53" s="388"/>
      <c r="AF53" s="250"/>
      <c r="AG53" s="388"/>
      <c r="AH53" s="388"/>
      <c r="AI53" s="388"/>
      <c r="AJ53" s="388"/>
      <c r="AK53" s="249"/>
      <c r="AL53" s="389"/>
      <c r="AM53" s="389"/>
      <c r="AN53" s="389"/>
      <c r="AO53" s="389"/>
      <c r="AP53" s="249"/>
      <c r="AQ53" s="936"/>
      <c r="AR53" s="936"/>
      <c r="AS53" s="936"/>
      <c r="AT53" s="936"/>
      <c r="AU53" s="249"/>
      <c r="AV53" s="936"/>
      <c r="AW53" s="936"/>
      <c r="AX53" s="936"/>
      <c r="AY53" s="936"/>
      <c r="AZ53" s="145"/>
      <c r="BA53" s="145"/>
      <c r="BB53" s="145"/>
      <c r="BC53" s="145"/>
      <c r="BD53" s="145"/>
      <c r="BE53" s="145"/>
      <c r="BF53" s="145"/>
      <c r="BG53" s="147"/>
      <c r="BH53" s="147"/>
      <c r="BI53" s="147"/>
      <c r="BJ53" s="147"/>
      <c r="BK53" s="147"/>
      <c r="BL53" s="147"/>
      <c r="BM53" s="147"/>
      <c r="BN53" s="147"/>
      <c r="BO53" s="147"/>
      <c r="BT53" s="147"/>
      <c r="BY53" s="147"/>
      <c r="CD53" s="147"/>
      <c r="CI53" s="147"/>
      <c r="CN53" s="147"/>
      <c r="CS53" s="147"/>
      <c r="CX53" s="147"/>
      <c r="DC53" s="147"/>
      <c r="DH53" s="147"/>
      <c r="DJ53"/>
      <c r="DK53"/>
      <c r="DL53"/>
      <c r="DM53"/>
      <c r="DN53"/>
      <c r="DO53"/>
    </row>
    <row r="54" spans="1:119" s="155" customFormat="1" ht="12.75" hidden="1" customHeight="1" outlineLevel="1">
      <c r="A54" s="144"/>
      <c r="B54" s="252" t="s">
        <v>6</v>
      </c>
      <c r="C54" s="387"/>
      <c r="D54" s="387"/>
      <c r="E54" s="387"/>
      <c r="F54" s="387"/>
      <c r="G54" s="249"/>
      <c r="H54" s="387"/>
      <c r="I54" s="387"/>
      <c r="J54" s="387"/>
      <c r="K54" s="387"/>
      <c r="L54" s="249"/>
      <c r="M54" s="387"/>
      <c r="N54" s="387"/>
      <c r="O54" s="387"/>
      <c r="P54" s="387"/>
      <c r="Q54" s="249"/>
      <c r="R54" s="387"/>
      <c r="S54" s="387"/>
      <c r="T54" s="387"/>
      <c r="U54" s="387"/>
      <c r="V54" s="249"/>
      <c r="W54" s="387"/>
      <c r="X54" s="387"/>
      <c r="Y54" s="387"/>
      <c r="Z54" s="387"/>
      <c r="AA54" s="249"/>
      <c r="AB54" s="388"/>
      <c r="AC54" s="388"/>
      <c r="AD54" s="388"/>
      <c r="AE54" s="388"/>
      <c r="AF54" s="250"/>
      <c r="AG54" s="388"/>
      <c r="AH54" s="388"/>
      <c r="AI54" s="388"/>
      <c r="AJ54" s="388"/>
      <c r="AK54" s="249"/>
      <c r="AL54" s="389"/>
      <c r="AM54" s="389"/>
      <c r="AN54" s="389"/>
      <c r="AO54" s="389"/>
      <c r="AP54" s="249"/>
      <c r="AQ54" s="936"/>
      <c r="AR54" s="936"/>
      <c r="AS54" s="936"/>
      <c r="AT54" s="936"/>
      <c r="AU54" s="249"/>
      <c r="AV54" s="936"/>
      <c r="AW54" s="936"/>
      <c r="AX54" s="936"/>
      <c r="AY54" s="936"/>
      <c r="AZ54" s="145"/>
      <c r="BA54" s="145"/>
      <c r="BB54" s="145"/>
      <c r="BC54" s="145"/>
      <c r="BD54" s="145"/>
      <c r="BE54" s="145"/>
      <c r="BF54" s="145"/>
      <c r="BG54" s="147"/>
      <c r="BH54" s="147"/>
      <c r="BI54" s="147"/>
      <c r="BJ54" s="147"/>
      <c r="BK54" s="147"/>
      <c r="BL54" s="147"/>
      <c r="BM54" s="147"/>
      <c r="BN54" s="147"/>
      <c r="BO54" s="147"/>
      <c r="BT54" s="147"/>
      <c r="BY54" s="147"/>
      <c r="CD54" s="147"/>
      <c r="CI54" s="147"/>
      <c r="CN54" s="147"/>
      <c r="CS54" s="147"/>
      <c r="CX54" s="147"/>
      <c r="DC54" s="147"/>
      <c r="DH54" s="147"/>
      <c r="DJ54"/>
      <c r="DK54"/>
      <c r="DL54"/>
      <c r="DM54"/>
      <c r="DN54"/>
      <c r="DO54"/>
    </row>
    <row r="55" spans="1:119" ht="12.75" hidden="1" customHeight="1" outlineLevel="1">
      <c r="A55" s="139"/>
      <c r="B55" s="251" t="s">
        <v>690</v>
      </c>
      <c r="C55" s="368"/>
      <c r="D55" s="368"/>
      <c r="E55" s="368"/>
      <c r="F55" s="368"/>
      <c r="G55" s="145"/>
      <c r="H55" s="368"/>
      <c r="I55" s="368"/>
      <c r="J55" s="368"/>
      <c r="K55" s="368"/>
      <c r="L55" s="145"/>
      <c r="M55" s="368"/>
      <c r="N55" s="368"/>
      <c r="O55" s="368"/>
      <c r="P55" s="368"/>
      <c r="Q55" s="145"/>
      <c r="R55" s="392">
        <v>0.111</v>
      </c>
      <c r="S55" s="392">
        <v>0.39100000000000001</v>
      </c>
      <c r="T55" s="392">
        <v>0.15</v>
      </c>
      <c r="U55" s="392">
        <v>0.42199999999999999</v>
      </c>
      <c r="V55" s="151">
        <f>SUM(R55:U55)</f>
        <v>1.0740000000000001</v>
      </c>
      <c r="W55" s="392">
        <v>0.48299999999999998</v>
      </c>
      <c r="X55" s="392">
        <v>0.376</v>
      </c>
      <c r="Y55" s="392">
        <v>0.373</v>
      </c>
      <c r="Z55" s="392">
        <v>0.68100000000000005</v>
      </c>
      <c r="AA55" s="151">
        <f>SUM(W55:Z55)</f>
        <v>1.913</v>
      </c>
      <c r="AB55" s="359">
        <v>0.51700000000000002</v>
      </c>
      <c r="AC55" s="359">
        <v>0.53100000000000003</v>
      </c>
      <c r="AD55" s="359">
        <v>0.89700000000000002</v>
      </c>
      <c r="AE55" s="359">
        <v>0.74399999999999999</v>
      </c>
      <c r="AF55" s="156">
        <f>SUM(AB55:AE55)</f>
        <v>2.6890000000000001</v>
      </c>
      <c r="AG55" s="359">
        <v>2.0819999999999999</v>
      </c>
      <c r="AH55" s="359">
        <v>2.0529999999999999</v>
      </c>
      <c r="AI55" s="359">
        <v>2.5710000000000002</v>
      </c>
      <c r="AJ55" s="359">
        <v>3.609</v>
      </c>
      <c r="AK55" s="151">
        <f>SUM(AG55:AJ55)</f>
        <v>10.315</v>
      </c>
      <c r="AL55" s="395">
        <v>4.0659999999999998</v>
      </c>
      <c r="AM55" s="395">
        <v>4.6440000000000001</v>
      </c>
      <c r="AN55" s="395">
        <v>1.4379999999999999</v>
      </c>
      <c r="AO55" s="395">
        <v>5.4989999999999997</v>
      </c>
      <c r="AP55" s="151">
        <f>SUM(AL55:AO55)</f>
        <v>15.647000000000002</v>
      </c>
      <c r="AQ55" s="973">
        <v>6.4539999999999997</v>
      </c>
      <c r="AR55" s="973">
        <v>7.0220000000000002</v>
      </c>
      <c r="AS55" s="973">
        <v>7.3019999999999996</v>
      </c>
      <c r="AT55" s="973">
        <v>6.226</v>
      </c>
      <c r="AU55" s="151">
        <f>SUM(AQ55:AT55)</f>
        <v>27.003999999999998</v>
      </c>
      <c r="AV55" s="933">
        <v>7</v>
      </c>
      <c r="AW55" s="933">
        <f>AV55*1.025</f>
        <v>7.1749999999999989</v>
      </c>
      <c r="AX55" s="933">
        <f>AW55*1.025</f>
        <v>7.3543749999999983</v>
      </c>
      <c r="AY55" s="933">
        <f>AZ55-SUM(AV55:AX55)</f>
        <v>6.1497249999999966</v>
      </c>
      <c r="AZ55" s="151">
        <f>AU55*1.025</f>
        <v>27.679099999999995</v>
      </c>
      <c r="BA55" s="145"/>
      <c r="BB55" s="145"/>
      <c r="BC55" s="145"/>
      <c r="BD55" s="145"/>
      <c r="BE55" s="151">
        <f>AZ55*1.025</f>
        <v>28.371077499999991</v>
      </c>
      <c r="BF55" s="145"/>
      <c r="BG55" s="147"/>
      <c r="BH55" s="147"/>
      <c r="BI55" s="147"/>
      <c r="BJ55" s="151">
        <f>BE55*1.025</f>
        <v>29.080354437499988</v>
      </c>
      <c r="BK55" s="151"/>
      <c r="BL55" s="151"/>
      <c r="BM55" s="151"/>
      <c r="BN55" s="151"/>
      <c r="BO55" s="151">
        <f>BJ55*1.025</f>
        <v>29.807363298437487</v>
      </c>
      <c r="BP55" s="155"/>
      <c r="BQ55" s="155"/>
      <c r="BR55" s="155"/>
      <c r="BS55" s="155"/>
      <c r="BT55" s="151">
        <f>BO55*1.025</f>
        <v>30.552547380898421</v>
      </c>
      <c r="BU55" s="155"/>
      <c r="BV55" s="155"/>
      <c r="BW55" s="155"/>
      <c r="BX55" s="155"/>
      <c r="BY55" s="151">
        <f>BT55*1.025</f>
        <v>31.316361065420878</v>
      </c>
      <c r="BZ55" s="155"/>
      <c r="CA55" s="155"/>
      <c r="CB55" s="155"/>
      <c r="CC55" s="155"/>
      <c r="CD55" s="151">
        <f>BY55*1.025</f>
        <v>32.0992700920564</v>
      </c>
      <c r="CE55" s="155"/>
      <c r="CF55" s="155"/>
      <c r="CG55" s="155"/>
      <c r="CH55" s="155"/>
      <c r="CI55" s="151">
        <f>CD55*1.025</f>
        <v>32.901751844357804</v>
      </c>
      <c r="CJ55" s="155"/>
      <c r="CK55" s="155"/>
      <c r="CL55" s="155"/>
      <c r="CM55" s="155"/>
      <c r="CN55" s="151">
        <f>CI55*1.025</f>
        <v>33.72429564046675</v>
      </c>
      <c r="CO55" s="155"/>
      <c r="CP55" s="155"/>
      <c r="CQ55" s="155"/>
      <c r="CR55" s="155"/>
      <c r="CS55" s="151">
        <f>CN55*1.025</f>
        <v>34.567403031478413</v>
      </c>
      <c r="CT55" s="155"/>
      <c r="CU55" s="155"/>
      <c r="CV55" s="155"/>
      <c r="CW55" s="155"/>
      <c r="CX55" s="151">
        <f>CS55*1.025</f>
        <v>35.43158810726537</v>
      </c>
      <c r="CY55" s="155"/>
      <c r="CZ55" s="155"/>
      <c r="DA55" s="155"/>
      <c r="DB55" s="155"/>
      <c r="DC55" s="151">
        <f>CX55*1.025</f>
        <v>36.317377809947004</v>
      </c>
      <c r="DD55" s="155"/>
      <c r="DE55" s="155"/>
      <c r="DF55" s="155"/>
      <c r="DG55" s="155"/>
      <c r="DH55" s="151">
        <f>DC55*1.025</f>
        <v>37.225312255195675</v>
      </c>
    </row>
    <row r="56" spans="1:119" s="155" customFormat="1" ht="12.75" hidden="1" customHeight="1" outlineLevel="1">
      <c r="A56" s="144"/>
      <c r="B56" s="248"/>
      <c r="C56" s="387"/>
      <c r="D56" s="387"/>
      <c r="E56" s="387"/>
      <c r="F56" s="387"/>
      <c r="G56" s="249"/>
      <c r="H56" s="387"/>
      <c r="I56" s="387"/>
      <c r="J56" s="387"/>
      <c r="K56" s="387"/>
      <c r="L56" s="249"/>
      <c r="M56" s="387"/>
      <c r="N56" s="387"/>
      <c r="O56" s="387"/>
      <c r="P56" s="387"/>
      <c r="Q56" s="249"/>
      <c r="R56" s="387"/>
      <c r="S56" s="387"/>
      <c r="T56" s="387"/>
      <c r="U56" s="387"/>
      <c r="V56" s="249"/>
      <c r="W56" s="387"/>
      <c r="X56" s="387"/>
      <c r="Y56" s="387"/>
      <c r="Z56" s="387"/>
      <c r="AA56" s="249"/>
      <c r="AB56" s="388"/>
      <c r="AC56" s="388"/>
      <c r="AD56" s="388"/>
      <c r="AE56" s="388"/>
      <c r="AF56" s="250"/>
      <c r="AG56" s="388"/>
      <c r="AH56" s="388"/>
      <c r="AI56" s="388"/>
      <c r="AJ56" s="388"/>
      <c r="AK56" s="249"/>
      <c r="AL56" s="389"/>
      <c r="AM56" s="389"/>
      <c r="AN56" s="389"/>
      <c r="AO56" s="389"/>
      <c r="AP56" s="249"/>
      <c r="AQ56" s="936"/>
      <c r="AR56" s="936"/>
      <c r="AS56" s="936"/>
      <c r="AT56" s="936"/>
      <c r="AU56" s="249"/>
      <c r="AV56" s="936"/>
      <c r="AW56" s="936"/>
      <c r="AX56" s="936"/>
      <c r="AY56" s="936"/>
      <c r="AZ56" s="145"/>
      <c r="BA56" s="145"/>
      <c r="BB56" s="145"/>
      <c r="BC56" s="145"/>
      <c r="BD56" s="145"/>
      <c r="BE56" s="145"/>
      <c r="BF56" s="145"/>
      <c r="BG56" s="147"/>
      <c r="BH56" s="147"/>
      <c r="BI56" s="147"/>
      <c r="BJ56" s="145"/>
      <c r="BK56" s="145"/>
      <c r="BL56" s="145"/>
      <c r="BM56" s="145"/>
      <c r="BN56" s="145"/>
      <c r="BO56" s="145"/>
      <c r="BT56" s="145"/>
      <c r="BY56" s="145"/>
      <c r="CD56" s="145"/>
      <c r="CI56" s="145"/>
      <c r="CN56" s="145"/>
      <c r="CS56" s="145"/>
      <c r="CX56" s="145"/>
      <c r="DC56" s="145"/>
      <c r="DH56" s="145"/>
      <c r="DJ56"/>
      <c r="DK56"/>
      <c r="DL56"/>
      <c r="DM56"/>
      <c r="DN56"/>
      <c r="DO56"/>
    </row>
    <row r="57" spans="1:119" s="155" customFormat="1" ht="12.75" hidden="1" customHeight="1" outlineLevel="1">
      <c r="A57" s="144"/>
      <c r="B57" s="252" t="s">
        <v>2</v>
      </c>
      <c r="C57" s="387"/>
      <c r="D57" s="387"/>
      <c r="E57" s="387"/>
      <c r="F57" s="387"/>
      <c r="G57" s="249"/>
      <c r="H57" s="387"/>
      <c r="I57" s="387"/>
      <c r="J57" s="387"/>
      <c r="K57" s="387"/>
      <c r="L57" s="249"/>
      <c r="M57" s="387"/>
      <c r="N57" s="387"/>
      <c r="O57" s="387"/>
      <c r="P57" s="387"/>
      <c r="Q57" s="249"/>
      <c r="R57" s="387"/>
      <c r="S57" s="387"/>
      <c r="T57" s="387"/>
      <c r="U57" s="387"/>
      <c r="V57" s="249"/>
      <c r="W57" s="387"/>
      <c r="X57" s="387"/>
      <c r="Y57" s="387"/>
      <c r="Z57" s="387"/>
      <c r="AA57" s="249"/>
      <c r="AB57" s="388"/>
      <c r="AC57" s="388"/>
      <c r="AD57" s="388"/>
      <c r="AE57" s="388"/>
      <c r="AF57" s="250"/>
      <c r="AG57" s="388"/>
      <c r="AH57" s="388"/>
      <c r="AI57" s="388"/>
      <c r="AJ57" s="388"/>
      <c r="AK57" s="249"/>
      <c r="AL57" s="389"/>
      <c r="AM57" s="389"/>
      <c r="AN57" s="389"/>
      <c r="AO57" s="389"/>
      <c r="AP57" s="249"/>
      <c r="AQ57" s="936"/>
      <c r="AR57" s="936"/>
      <c r="AS57" s="936"/>
      <c r="AT57" s="936"/>
      <c r="AU57" s="249"/>
      <c r="AV57" s="936"/>
      <c r="AW57" s="936"/>
      <c r="AX57" s="936"/>
      <c r="AY57" s="936"/>
      <c r="AZ57" s="145"/>
      <c r="BA57" s="145"/>
      <c r="BB57" s="145"/>
      <c r="BC57" s="145"/>
      <c r="BD57" s="145"/>
      <c r="BE57" s="145"/>
      <c r="BF57" s="145"/>
      <c r="BG57" s="147"/>
      <c r="BH57" s="147"/>
      <c r="BI57" s="147"/>
      <c r="BJ57" s="145"/>
      <c r="BK57" s="145"/>
      <c r="BL57" s="145"/>
      <c r="BM57" s="145"/>
      <c r="BN57" s="145"/>
      <c r="BO57" s="145"/>
      <c r="BT57" s="145"/>
      <c r="BY57" s="145"/>
      <c r="CD57" s="145"/>
      <c r="CI57" s="145"/>
      <c r="CN57" s="145"/>
      <c r="CS57" s="145"/>
      <c r="CX57" s="145"/>
      <c r="DC57" s="145"/>
      <c r="DH57" s="145"/>
      <c r="DJ57"/>
      <c r="DK57"/>
      <c r="DL57"/>
      <c r="DM57"/>
      <c r="DN57"/>
      <c r="DO57"/>
    </row>
    <row r="58" spans="1:119" s="143" customFormat="1" ht="12.75" hidden="1" customHeight="1" outlineLevel="1">
      <c r="A58" s="139"/>
      <c r="B58" s="251" t="s">
        <v>690</v>
      </c>
      <c r="C58" s="366"/>
      <c r="D58" s="366"/>
      <c r="E58" s="366"/>
      <c r="F58" s="366"/>
      <c r="G58" s="151"/>
      <c r="H58" s="366"/>
      <c r="I58" s="366"/>
      <c r="J58" s="366"/>
      <c r="K58" s="359">
        <v>6.5860000000000003</v>
      </c>
      <c r="L58" s="360">
        <v>17.581</v>
      </c>
      <c r="M58" s="359">
        <v>7.0110000000000001</v>
      </c>
      <c r="N58" s="359">
        <v>4.641</v>
      </c>
      <c r="O58" s="359">
        <v>5.3490000000000002</v>
      </c>
      <c r="P58" s="359">
        <v>6.3140000000000001</v>
      </c>
      <c r="Q58" s="151">
        <f>SUM(M58:P58)</f>
        <v>23.315000000000001</v>
      </c>
      <c r="R58" s="359">
        <v>12.577999999999999</v>
      </c>
      <c r="S58" s="359">
        <v>7.79</v>
      </c>
      <c r="T58" s="359">
        <v>7.03</v>
      </c>
      <c r="U58" s="359">
        <v>11.851000000000001</v>
      </c>
      <c r="V58" s="151">
        <f>SUM(R58:U58)</f>
        <v>39.249000000000002</v>
      </c>
      <c r="W58" s="359">
        <v>25.786999999999999</v>
      </c>
      <c r="X58" s="359">
        <v>16.344000000000001</v>
      </c>
      <c r="Y58" s="359">
        <v>17.114000000000001</v>
      </c>
      <c r="Z58" s="359">
        <v>20.722000000000001</v>
      </c>
      <c r="AA58" s="151">
        <f>SUM(W58:Z58)</f>
        <v>79.967000000000013</v>
      </c>
      <c r="AB58" s="359">
        <v>37.587000000000003</v>
      </c>
      <c r="AC58" s="359">
        <v>26.167000000000002</v>
      </c>
      <c r="AD58" s="359">
        <v>26.917999999999999</v>
      </c>
      <c r="AE58" s="359">
        <v>29.530999999999999</v>
      </c>
      <c r="AF58" s="156">
        <f>SUM(AB58:AE58)</f>
        <v>120.203</v>
      </c>
      <c r="AG58" s="359">
        <v>42.174999999999997</v>
      </c>
      <c r="AH58" s="359">
        <v>32.158999999999999</v>
      </c>
      <c r="AI58" s="359">
        <v>36.481000000000002</v>
      </c>
      <c r="AJ58" s="359">
        <v>82.212000000000003</v>
      </c>
      <c r="AK58" s="151">
        <f>SUM(AG58:AJ58)</f>
        <v>193.02699999999999</v>
      </c>
      <c r="AL58" s="395">
        <v>60.082000000000001</v>
      </c>
      <c r="AM58" s="395">
        <v>47.73</v>
      </c>
      <c r="AN58" s="395">
        <v>49.369</v>
      </c>
      <c r="AO58" s="395">
        <v>74.001999999999995</v>
      </c>
      <c r="AP58" s="151">
        <f>SUM(AL58:AO58)</f>
        <v>231.18299999999999</v>
      </c>
      <c r="AQ58" s="973">
        <v>53.811999999999998</v>
      </c>
      <c r="AR58" s="973">
        <v>44.707999999999998</v>
      </c>
      <c r="AS58" s="973">
        <v>47.671999999999997</v>
      </c>
      <c r="AT58" s="973">
        <v>62.203000000000003</v>
      </c>
      <c r="AU58" s="151">
        <f>SUM(AQ58:AT58)</f>
        <v>208.39500000000001</v>
      </c>
      <c r="AV58" s="933">
        <v>55</v>
      </c>
      <c r="AW58" s="933">
        <f>AV58*1.05</f>
        <v>57.75</v>
      </c>
      <c r="AX58" s="933">
        <f>AW58*1.05</f>
        <v>60.637500000000003</v>
      </c>
      <c r="AY58" s="933">
        <f>AZ58-SUM(AV58:AX58)</f>
        <v>40.217375000000004</v>
      </c>
      <c r="AZ58" s="151">
        <f>AU58*1.025</f>
        <v>213.60487499999999</v>
      </c>
      <c r="BA58" s="129"/>
      <c r="BB58" s="129"/>
      <c r="BC58" s="129"/>
      <c r="BD58" s="129"/>
      <c r="BE58" s="151">
        <f>AZ58*1.025</f>
        <v>218.94499687499999</v>
      </c>
      <c r="BF58" s="129"/>
      <c r="BJ58" s="151">
        <f>BE58*1.025</f>
        <v>224.41862179687496</v>
      </c>
      <c r="BK58" s="151"/>
      <c r="BL58" s="151"/>
      <c r="BM58" s="151"/>
      <c r="BN58" s="151"/>
      <c r="BO58" s="151">
        <f>BJ58*1.025</f>
        <v>230.02908734179681</v>
      </c>
      <c r="BT58" s="151">
        <f>BO58*1.025</f>
        <v>235.77981452534172</v>
      </c>
      <c r="BY58" s="151">
        <f>BT58*1.025</f>
        <v>241.67430988847525</v>
      </c>
      <c r="CD58" s="151">
        <f>BY58*1.025</f>
        <v>247.7161676356871</v>
      </c>
      <c r="CI58" s="151">
        <f>CD58*1.025</f>
        <v>253.90907182657926</v>
      </c>
      <c r="CN58" s="151">
        <f>CI58*1.015</f>
        <v>257.71770790397795</v>
      </c>
      <c r="CS58" s="151">
        <f>CN58*1.015</f>
        <v>261.58347352253759</v>
      </c>
      <c r="CX58" s="151">
        <f>CS58*1.015</f>
        <v>265.50722562537561</v>
      </c>
      <c r="DC58" s="151">
        <f>CX58*1.015</f>
        <v>269.48983400975624</v>
      </c>
      <c r="DH58" s="151">
        <f>DC58*1.015</f>
        <v>273.53218151990257</v>
      </c>
      <c r="DJ58"/>
      <c r="DK58"/>
      <c r="DL58"/>
      <c r="DM58"/>
      <c r="DN58"/>
      <c r="DO58"/>
    </row>
    <row r="59" spans="1:119" s="155" customFormat="1" ht="12.75" hidden="1" customHeight="1" outlineLevel="1">
      <c r="A59" s="144"/>
      <c r="B59" s="251" t="s">
        <v>792</v>
      </c>
      <c r="C59" s="387"/>
      <c r="D59" s="387"/>
      <c r="E59" s="387"/>
      <c r="F59" s="387"/>
      <c r="G59" s="249"/>
      <c r="H59" s="387"/>
      <c r="I59" s="387"/>
      <c r="J59" s="387"/>
      <c r="K59" s="387"/>
      <c r="L59" s="249"/>
      <c r="M59" s="387"/>
      <c r="N59" s="387"/>
      <c r="O59" s="387"/>
      <c r="P59" s="387"/>
      <c r="Q59" s="249"/>
      <c r="R59" s="387"/>
      <c r="S59" s="387"/>
      <c r="T59" s="387"/>
      <c r="U59" s="387"/>
      <c r="V59" s="249"/>
      <c r="W59" s="387"/>
      <c r="X59" s="387"/>
      <c r="Y59" s="387"/>
      <c r="Z59" s="387"/>
      <c r="AA59" s="249"/>
      <c r="AB59" s="388"/>
      <c r="AC59" s="388"/>
      <c r="AD59" s="395">
        <v>40.6</v>
      </c>
      <c r="AE59" s="388"/>
      <c r="AF59" s="253">
        <f>SUM(AB59:AE59)</f>
        <v>40.6</v>
      </c>
      <c r="AG59" s="388"/>
      <c r="AH59" s="388"/>
      <c r="AI59" s="389"/>
      <c r="AJ59" s="388"/>
      <c r="AK59" s="253">
        <f>SUM(AG59:AJ59)</f>
        <v>0</v>
      </c>
      <c r="AL59" s="389"/>
      <c r="AM59" s="389"/>
      <c r="AN59" s="389"/>
      <c r="AO59" s="389"/>
      <c r="AP59" s="249"/>
      <c r="AQ59" s="936"/>
      <c r="AR59" s="936"/>
      <c r="AS59" s="936"/>
      <c r="AT59" s="936"/>
      <c r="AU59" s="249"/>
      <c r="AV59" s="936"/>
      <c r="AW59" s="936"/>
      <c r="AX59" s="936"/>
      <c r="AY59" s="936"/>
      <c r="AZ59" s="145"/>
      <c r="BA59" s="145"/>
      <c r="BB59" s="145"/>
      <c r="BC59" s="145"/>
      <c r="BD59" s="145"/>
      <c r="BE59" s="145"/>
      <c r="BF59" s="145"/>
      <c r="BG59" s="147"/>
      <c r="BH59" s="147"/>
      <c r="BI59" s="147"/>
      <c r="BJ59" s="145"/>
      <c r="BK59" s="145"/>
      <c r="BL59" s="145"/>
      <c r="BM59" s="145"/>
      <c r="BN59" s="145"/>
      <c r="BO59" s="145"/>
      <c r="BT59" s="145"/>
      <c r="BY59" s="145"/>
      <c r="CD59" s="145"/>
      <c r="CI59" s="145"/>
      <c r="CN59" s="145"/>
      <c r="CS59" s="145"/>
      <c r="CX59" s="145"/>
      <c r="DC59" s="145"/>
      <c r="DH59" s="145"/>
      <c r="DJ59"/>
      <c r="DK59"/>
      <c r="DL59"/>
      <c r="DM59"/>
      <c r="DN59"/>
      <c r="DO59"/>
    </row>
    <row r="60" spans="1:119" s="155" customFormat="1" ht="12.75" hidden="1" customHeight="1" outlineLevel="1">
      <c r="A60" s="144"/>
      <c r="B60" s="251"/>
      <c r="C60" s="387"/>
      <c r="D60" s="387"/>
      <c r="E60" s="387"/>
      <c r="F60" s="387"/>
      <c r="G60" s="249"/>
      <c r="H60" s="387"/>
      <c r="I60" s="387"/>
      <c r="J60" s="387"/>
      <c r="K60" s="387"/>
      <c r="L60" s="249"/>
      <c r="M60" s="387"/>
      <c r="N60" s="387"/>
      <c r="O60" s="387"/>
      <c r="P60" s="387"/>
      <c r="Q60" s="249"/>
      <c r="R60" s="387"/>
      <c r="S60" s="387"/>
      <c r="T60" s="387"/>
      <c r="U60" s="387"/>
      <c r="V60" s="249"/>
      <c r="W60" s="387"/>
      <c r="X60" s="387"/>
      <c r="Y60" s="387"/>
      <c r="Z60" s="387"/>
      <c r="AA60" s="249"/>
      <c r="AB60" s="388"/>
      <c r="AC60" s="388"/>
      <c r="AD60" s="388"/>
      <c r="AE60" s="388"/>
      <c r="AF60" s="250"/>
      <c r="AG60" s="388"/>
      <c r="AH60" s="388"/>
      <c r="AI60" s="388"/>
      <c r="AJ60" s="388"/>
      <c r="AK60" s="249"/>
      <c r="AL60" s="389"/>
      <c r="AM60" s="389"/>
      <c r="AN60" s="389"/>
      <c r="AO60" s="389"/>
      <c r="AP60" s="249"/>
      <c r="AQ60" s="936"/>
      <c r="AR60" s="936"/>
      <c r="AS60" s="936"/>
      <c r="AT60" s="936"/>
      <c r="AU60" s="249"/>
      <c r="AV60" s="936"/>
      <c r="AW60" s="936"/>
      <c r="AX60" s="936"/>
      <c r="AY60" s="936"/>
      <c r="AZ60" s="145"/>
      <c r="BA60" s="145"/>
      <c r="BB60" s="145"/>
      <c r="BC60" s="145"/>
      <c r="BD60" s="145"/>
      <c r="BE60" s="145"/>
      <c r="BF60" s="145"/>
      <c r="BG60" s="147"/>
      <c r="BH60" s="147"/>
      <c r="BI60" s="147"/>
      <c r="BJ60" s="145"/>
      <c r="BK60" s="145"/>
      <c r="BL60" s="145"/>
      <c r="BM60" s="145"/>
      <c r="BN60" s="145"/>
      <c r="BO60" s="145"/>
      <c r="BT60" s="145"/>
      <c r="BY60" s="145"/>
      <c r="CD60" s="145"/>
      <c r="CI60" s="145"/>
      <c r="CN60" s="145"/>
      <c r="CS60" s="145"/>
      <c r="CX60" s="145"/>
      <c r="DC60" s="145"/>
      <c r="DH60" s="145"/>
      <c r="DJ60"/>
      <c r="DK60"/>
      <c r="DL60"/>
      <c r="DM60"/>
      <c r="DN60"/>
      <c r="DO60"/>
    </row>
    <row r="61" spans="1:119" s="155" customFormat="1" ht="12.75" hidden="1" customHeight="1" outlineLevel="1">
      <c r="A61" s="144"/>
      <c r="B61" s="252" t="s">
        <v>4</v>
      </c>
      <c r="C61" s="387"/>
      <c r="D61" s="387"/>
      <c r="E61" s="387"/>
      <c r="F61" s="387"/>
      <c r="G61" s="249"/>
      <c r="H61" s="387"/>
      <c r="I61" s="387"/>
      <c r="J61" s="387"/>
      <c r="K61" s="387"/>
      <c r="L61" s="249"/>
      <c r="M61" s="387"/>
      <c r="N61" s="387"/>
      <c r="O61" s="387"/>
      <c r="P61" s="387"/>
      <c r="Q61" s="249"/>
      <c r="R61" s="387"/>
      <c r="S61" s="387"/>
      <c r="T61" s="387"/>
      <c r="U61" s="387"/>
      <c r="V61" s="249"/>
      <c r="W61" s="387"/>
      <c r="X61" s="387"/>
      <c r="Y61" s="387"/>
      <c r="Z61" s="387"/>
      <c r="AA61" s="249"/>
      <c r="AB61" s="388"/>
      <c r="AC61" s="388"/>
      <c r="AD61" s="388"/>
      <c r="AE61" s="388"/>
      <c r="AF61" s="250"/>
      <c r="AG61" s="388"/>
      <c r="AH61" s="388"/>
      <c r="AI61" s="388"/>
      <c r="AJ61" s="388"/>
      <c r="AK61" s="249"/>
      <c r="AL61" s="389"/>
      <c r="AM61" s="389"/>
      <c r="AN61" s="389"/>
      <c r="AO61" s="389"/>
      <c r="AP61" s="249"/>
      <c r="AQ61" s="936"/>
      <c r="AR61" s="936"/>
      <c r="AS61" s="936"/>
      <c r="AT61" s="936"/>
      <c r="AU61" s="249"/>
      <c r="AV61" s="936"/>
      <c r="AW61" s="936"/>
      <c r="AX61" s="936"/>
      <c r="AY61" s="936"/>
      <c r="AZ61" s="145"/>
      <c r="BA61" s="145"/>
      <c r="BB61" s="145"/>
      <c r="BC61" s="145"/>
      <c r="BD61" s="145"/>
      <c r="BE61" s="145"/>
      <c r="BF61" s="145"/>
      <c r="BG61" s="147"/>
      <c r="BH61" s="147"/>
      <c r="BI61" s="147"/>
      <c r="BJ61" s="145"/>
      <c r="BK61" s="145"/>
      <c r="BL61" s="145"/>
      <c r="BM61" s="145"/>
      <c r="BN61" s="145"/>
      <c r="BO61" s="145"/>
      <c r="BT61" s="145"/>
      <c r="BY61" s="145"/>
      <c r="CD61" s="145"/>
      <c r="CI61" s="145"/>
      <c r="CN61" s="145"/>
      <c r="CS61" s="145"/>
      <c r="CX61" s="145"/>
      <c r="DC61" s="145"/>
      <c r="DH61" s="145"/>
      <c r="DJ61"/>
      <c r="DK61"/>
      <c r="DL61"/>
      <c r="DM61"/>
      <c r="DN61"/>
      <c r="DO61"/>
    </row>
    <row r="62" spans="1:119" s="143" customFormat="1" ht="12.75" hidden="1" customHeight="1" outlineLevel="1">
      <c r="A62" s="139"/>
      <c r="B62" s="251" t="s">
        <v>690</v>
      </c>
      <c r="C62" s="361"/>
      <c r="D62" s="361"/>
      <c r="E62" s="361"/>
      <c r="F62" s="361"/>
      <c r="G62" s="165"/>
      <c r="H62" s="393"/>
      <c r="I62" s="393"/>
      <c r="J62" s="393"/>
      <c r="K62" s="359">
        <v>6.9530000000000003</v>
      </c>
      <c r="L62" s="360">
        <v>22.265000000000001</v>
      </c>
      <c r="M62" s="359">
        <v>7.7910000000000004</v>
      </c>
      <c r="N62" s="359">
        <v>7.7539999999999996</v>
      </c>
      <c r="O62" s="359">
        <v>8.0150000000000006</v>
      </c>
      <c r="P62" s="359">
        <v>9.1980000000000004</v>
      </c>
      <c r="Q62" s="151">
        <f>SUM(M62:P62)</f>
        <v>32.758000000000003</v>
      </c>
      <c r="R62" s="359">
        <v>10.555999999999999</v>
      </c>
      <c r="S62" s="359">
        <v>11.442</v>
      </c>
      <c r="T62" s="359">
        <v>13.337</v>
      </c>
      <c r="U62" s="359">
        <v>18.498000000000001</v>
      </c>
      <c r="V62" s="151">
        <f>SUM(R62:U62)</f>
        <v>53.832999999999998</v>
      </c>
      <c r="W62" s="359">
        <v>26.760999999999999</v>
      </c>
      <c r="X62" s="359">
        <v>27.722000000000001</v>
      </c>
      <c r="Y62" s="359">
        <v>28.257999999999999</v>
      </c>
      <c r="Z62" s="359">
        <v>33.779000000000003</v>
      </c>
      <c r="AA62" s="151">
        <f>SUM(W62:Z62)</f>
        <v>116.52000000000001</v>
      </c>
      <c r="AB62" s="359">
        <v>43.304000000000002</v>
      </c>
      <c r="AC62" s="359">
        <v>43.814</v>
      </c>
      <c r="AD62" s="359">
        <v>46.048999999999999</v>
      </c>
      <c r="AE62" s="359">
        <v>51.18</v>
      </c>
      <c r="AF62" s="156">
        <f>SUM(AB62:AE62)</f>
        <v>184.34700000000001</v>
      </c>
      <c r="AG62" s="359">
        <v>59.502000000000002</v>
      </c>
      <c r="AH62" s="359">
        <v>60.045000000000002</v>
      </c>
      <c r="AI62" s="359">
        <v>63.59</v>
      </c>
      <c r="AJ62" s="359">
        <v>72.569999999999993</v>
      </c>
      <c r="AK62" s="151">
        <f>SUM(AG62:AJ62)</f>
        <v>255.70699999999999</v>
      </c>
      <c r="AL62" s="395">
        <v>78.102000000000004</v>
      </c>
      <c r="AM62" s="395">
        <v>79.316999999999993</v>
      </c>
      <c r="AN62" s="395">
        <v>80.572000000000003</v>
      </c>
      <c r="AO62" s="395">
        <v>75.057000000000002</v>
      </c>
      <c r="AP62" s="151">
        <f>SUM(AL62:AO62)</f>
        <v>313.048</v>
      </c>
      <c r="AQ62" s="973">
        <v>73.522999999999996</v>
      </c>
      <c r="AR62" s="973">
        <v>69.528000000000006</v>
      </c>
      <c r="AS62" s="973">
        <v>70.123000000000005</v>
      </c>
      <c r="AT62" s="973">
        <v>58.704000000000001</v>
      </c>
      <c r="AU62" s="151">
        <f>SUM(AQ62:AT62)</f>
        <v>271.87799999999999</v>
      </c>
      <c r="AV62" s="933">
        <f>AZ62*0.22</f>
        <v>61.308488999999994</v>
      </c>
      <c r="AW62" s="933">
        <f>AZ62*0.25</f>
        <v>69.668737499999992</v>
      </c>
      <c r="AX62" s="933">
        <f>AZ62*0.27</f>
        <v>75.24223649999999</v>
      </c>
      <c r="AY62" s="933">
        <f>AZ62-SUM(AV62:AX62)</f>
        <v>72.455487000000005</v>
      </c>
      <c r="AZ62" s="151">
        <f>AU62*1.025</f>
        <v>278.67494999999997</v>
      </c>
      <c r="BA62" s="129"/>
      <c r="BB62" s="129"/>
      <c r="BC62" s="129"/>
      <c r="BD62" s="129"/>
      <c r="BE62" s="151">
        <f>AZ62*1.025</f>
        <v>285.64182374999996</v>
      </c>
      <c r="BF62" s="129"/>
      <c r="BJ62" s="151">
        <f>BE62*1.025</f>
        <v>292.78286934374995</v>
      </c>
      <c r="BK62" s="151"/>
      <c r="BL62" s="151"/>
      <c r="BM62" s="151"/>
      <c r="BN62" s="151"/>
      <c r="BO62" s="151">
        <f>BJ62*1.025</f>
        <v>300.10244107734366</v>
      </c>
      <c r="BT62" s="151">
        <f>BO62*1.025</f>
        <v>307.60500210427722</v>
      </c>
      <c r="BY62" s="151">
        <f>BT62*1.025</f>
        <v>315.29512715688412</v>
      </c>
      <c r="CD62" s="151">
        <f>BY62*1.025</f>
        <v>323.17750533580619</v>
      </c>
      <c r="CI62" s="151">
        <f>CD62*1.025</f>
        <v>331.2569429692013</v>
      </c>
      <c r="CN62" s="151">
        <f>CI62*1.015</f>
        <v>336.2257971137393</v>
      </c>
      <c r="CS62" s="151">
        <f>CN62*1.015</f>
        <v>341.26918407044536</v>
      </c>
      <c r="CX62" s="151">
        <f>CS62*1.015</f>
        <v>346.38822183150199</v>
      </c>
      <c r="DC62" s="151">
        <f>CX62*1.015</f>
        <v>351.5840451589745</v>
      </c>
      <c r="DH62" s="151">
        <f>DC62*1.015</f>
        <v>356.85780583635909</v>
      </c>
      <c r="DJ62"/>
      <c r="DK62"/>
      <c r="DL62"/>
      <c r="DM62"/>
      <c r="DN62"/>
      <c r="DO62"/>
    </row>
    <row r="63" spans="1:119" s="143" customFormat="1" ht="12.75" hidden="1" customHeight="1" outlineLevel="1">
      <c r="A63" s="139"/>
      <c r="B63" s="251" t="s">
        <v>815</v>
      </c>
      <c r="C63" s="361"/>
      <c r="D63" s="361"/>
      <c r="E63" s="361"/>
      <c r="F63" s="361"/>
      <c r="G63" s="165"/>
      <c r="H63" s="393"/>
      <c r="I63" s="393"/>
      <c r="J63" s="393"/>
      <c r="K63" s="359"/>
      <c r="L63" s="360"/>
      <c r="M63" s="359"/>
      <c r="N63" s="359"/>
      <c r="O63" s="359"/>
      <c r="P63" s="359"/>
      <c r="Q63" s="151"/>
      <c r="R63" s="359"/>
      <c r="S63" s="359"/>
      <c r="T63" s="359"/>
      <c r="U63" s="359"/>
      <c r="V63" s="151"/>
      <c r="W63" s="359"/>
      <c r="X63" s="359"/>
      <c r="Y63" s="359"/>
      <c r="Z63" s="359"/>
      <c r="AA63" s="151"/>
      <c r="AB63" s="359"/>
      <c r="AC63" s="359"/>
      <c r="AD63" s="359"/>
      <c r="AE63" s="359"/>
      <c r="AF63" s="156"/>
      <c r="AG63" s="359"/>
      <c r="AH63" s="359"/>
      <c r="AI63" s="359"/>
      <c r="AJ63" s="359"/>
      <c r="AK63" s="151"/>
      <c r="AL63" s="395"/>
      <c r="AM63" s="395">
        <v>75</v>
      </c>
      <c r="AN63" s="395">
        <v>25</v>
      </c>
      <c r="AO63" s="389"/>
      <c r="AP63" s="151">
        <f>SUM(AL63:AO63)</f>
        <v>100</v>
      </c>
      <c r="AQ63" s="931"/>
      <c r="AR63" s="931"/>
      <c r="AS63" s="931"/>
      <c r="AT63" s="973">
        <v>25</v>
      </c>
      <c r="AU63" s="151">
        <f>SUM(AQ63:AT63)</f>
        <v>25</v>
      </c>
      <c r="AV63" s="931"/>
      <c r="AW63" s="931"/>
      <c r="AX63" s="931"/>
      <c r="AY63" s="931"/>
      <c r="AZ63" s="151"/>
      <c r="BA63" s="129"/>
      <c r="BB63" s="129"/>
      <c r="BC63" s="129"/>
      <c r="BD63" s="129"/>
      <c r="BE63" s="151"/>
      <c r="BF63" s="129"/>
      <c r="BJ63" s="151"/>
      <c r="BK63" s="151"/>
      <c r="BL63" s="151"/>
      <c r="BM63" s="151"/>
      <c r="BN63" s="151"/>
      <c r="BO63" s="151"/>
      <c r="BT63" s="151"/>
      <c r="BY63" s="151"/>
      <c r="CD63" s="151"/>
      <c r="CI63" s="151"/>
      <c r="CN63" s="151"/>
      <c r="CS63" s="151"/>
      <c r="CX63" s="151"/>
      <c r="DC63" s="151"/>
      <c r="DH63" s="151"/>
      <c r="DJ63"/>
      <c r="DK63"/>
      <c r="DL63"/>
      <c r="DM63"/>
      <c r="DN63"/>
      <c r="DO63"/>
    </row>
    <row r="64" spans="1:119" s="155" customFormat="1" ht="12.75" hidden="1" customHeight="1" outlineLevel="1">
      <c r="A64" s="144"/>
      <c r="B64" s="248"/>
      <c r="C64" s="387"/>
      <c r="D64" s="387"/>
      <c r="E64" s="387"/>
      <c r="F64" s="387"/>
      <c r="G64" s="249"/>
      <c r="H64" s="387"/>
      <c r="I64" s="387"/>
      <c r="J64" s="387"/>
      <c r="K64" s="387"/>
      <c r="L64" s="249"/>
      <c r="M64" s="387"/>
      <c r="N64" s="387"/>
      <c r="O64" s="387"/>
      <c r="P64" s="387"/>
      <c r="Q64" s="249"/>
      <c r="R64" s="387"/>
      <c r="S64" s="387"/>
      <c r="T64" s="387"/>
      <c r="U64" s="387"/>
      <c r="V64" s="249"/>
      <c r="W64" s="387"/>
      <c r="X64" s="387"/>
      <c r="Y64" s="387"/>
      <c r="Z64" s="387"/>
      <c r="AA64" s="249"/>
      <c r="AB64" s="388"/>
      <c r="AC64" s="388"/>
      <c r="AD64" s="388"/>
      <c r="AE64" s="388"/>
      <c r="AF64" s="250"/>
      <c r="AG64" s="388"/>
      <c r="AH64" s="388"/>
      <c r="AI64" s="388"/>
      <c r="AJ64" s="388"/>
      <c r="AK64" s="249"/>
      <c r="AL64" s="389"/>
      <c r="AM64" s="389"/>
      <c r="AN64" s="389"/>
      <c r="AO64" s="389"/>
      <c r="AP64" s="249"/>
      <c r="AQ64" s="936"/>
      <c r="AR64" s="936"/>
      <c r="AS64" s="936"/>
      <c r="AT64" s="936"/>
      <c r="AU64" s="249"/>
      <c r="AV64" s="936"/>
      <c r="AW64" s="936"/>
      <c r="AX64" s="936"/>
      <c r="AY64" s="936"/>
      <c r="AZ64" s="145"/>
      <c r="BA64" s="145"/>
      <c r="BB64" s="145"/>
      <c r="BC64" s="145"/>
      <c r="BD64" s="145"/>
      <c r="BE64" s="145"/>
      <c r="BF64" s="145"/>
      <c r="BG64" s="147"/>
      <c r="BH64" s="147"/>
      <c r="BI64" s="147"/>
      <c r="BJ64" s="147"/>
      <c r="BK64" s="147"/>
      <c r="BL64" s="147"/>
      <c r="BM64" s="147"/>
      <c r="BN64" s="147"/>
      <c r="BO64" s="147"/>
      <c r="BT64" s="147"/>
      <c r="BY64" s="147"/>
      <c r="CD64" s="147"/>
      <c r="CI64" s="147"/>
      <c r="CN64" s="147"/>
      <c r="CS64" s="147"/>
      <c r="CX64" s="147"/>
      <c r="DC64" s="147"/>
      <c r="DH64" s="147"/>
      <c r="DJ64"/>
      <c r="DK64"/>
      <c r="DL64"/>
      <c r="DM64"/>
      <c r="DN64"/>
      <c r="DO64"/>
    </row>
    <row r="65" spans="1:119" s="155" customFormat="1" ht="12.75" hidden="1" customHeight="1" outlineLevel="1">
      <c r="A65" s="144"/>
      <c r="B65" s="252" t="s">
        <v>694</v>
      </c>
      <c r="C65" s="387"/>
      <c r="D65" s="387"/>
      <c r="E65" s="387"/>
      <c r="F65" s="387"/>
      <c r="G65" s="249"/>
      <c r="H65" s="387"/>
      <c r="I65" s="387"/>
      <c r="J65" s="387"/>
      <c r="K65" s="387"/>
      <c r="L65" s="394">
        <v>0</v>
      </c>
      <c r="M65" s="387"/>
      <c r="N65" s="387"/>
      <c r="O65" s="387"/>
      <c r="P65" s="389">
        <f>P66+P67</f>
        <v>3.944</v>
      </c>
      <c r="Q65" s="151">
        <f>SUM(M65:P65)</f>
        <v>3.944</v>
      </c>
      <c r="R65" s="389">
        <f>R66+R67</f>
        <v>7.1180000000000003</v>
      </c>
      <c r="S65" s="389">
        <f t="shared" ref="S65:Y65" si="73">S66+S67</f>
        <v>7.2159999999999993</v>
      </c>
      <c r="T65" s="389">
        <f t="shared" si="73"/>
        <v>7.3989999999999991</v>
      </c>
      <c r="U65" s="389">
        <f t="shared" si="73"/>
        <v>7.4909999999999997</v>
      </c>
      <c r="V65" s="151">
        <f>SUM(R65:U65)</f>
        <v>29.223999999999997</v>
      </c>
      <c r="W65" s="389">
        <f t="shared" si="73"/>
        <v>7.6809999999999992</v>
      </c>
      <c r="X65" s="389">
        <f t="shared" si="73"/>
        <v>7.335</v>
      </c>
      <c r="Y65" s="389">
        <f t="shared" si="73"/>
        <v>7.6230000000000002</v>
      </c>
      <c r="Z65" s="389">
        <f>Z66+Z67</f>
        <v>7.641</v>
      </c>
      <c r="AA65" s="151">
        <f>SUM(W65:Z65)</f>
        <v>30.28</v>
      </c>
      <c r="AB65" s="389">
        <f t="shared" ref="AB65" si="74">AB66+AB67</f>
        <v>7.6240000000000006</v>
      </c>
      <c r="AC65" s="389">
        <f>AC66+AC67</f>
        <v>6.3469999999999995</v>
      </c>
      <c r="AD65" s="389">
        <f>AD66+AD67</f>
        <v>5.875</v>
      </c>
      <c r="AE65" s="389">
        <f>AE66+AE67</f>
        <v>2.9750000000000001</v>
      </c>
      <c r="AF65" s="253">
        <f>SUM(AB65:AE65)</f>
        <v>22.821000000000002</v>
      </c>
      <c r="AG65" s="389">
        <f>AG66+AG67</f>
        <v>2.2480000000000002</v>
      </c>
      <c r="AH65" s="389">
        <f>AH66+AH67</f>
        <v>0.33500000000000002</v>
      </c>
      <c r="AI65" s="389">
        <f>AI66+AI67</f>
        <v>0.19400000000000001</v>
      </c>
      <c r="AJ65" s="389">
        <f>AJ66+AJ67</f>
        <v>4.1000000000000002E-2</v>
      </c>
      <c r="AK65" s="253">
        <f>SUM(AG65:AJ65)</f>
        <v>2.8180000000000001</v>
      </c>
      <c r="AL65" s="389">
        <f>AL66+AL67</f>
        <v>8.4000000000000005E-2</v>
      </c>
      <c r="AM65" s="389">
        <f>AM66+AM67</f>
        <v>0.49399999999999999</v>
      </c>
      <c r="AN65" s="389">
        <f>AN66+AN67</f>
        <v>3.6999999999999998E-2</v>
      </c>
      <c r="AO65" s="389">
        <f>AO66+AO67</f>
        <v>1E-3</v>
      </c>
      <c r="AP65" s="887">
        <f>SUM(AL65:AO65)</f>
        <v>0.61599999999999999</v>
      </c>
      <c r="AQ65" s="936"/>
      <c r="AR65" s="936"/>
      <c r="AS65" s="936"/>
      <c r="AT65" s="936"/>
      <c r="AU65" s="249"/>
      <c r="AV65" s="936"/>
      <c r="AW65" s="936"/>
      <c r="AX65" s="936"/>
      <c r="AY65" s="936"/>
      <c r="AZ65" s="145"/>
      <c r="BA65" s="145"/>
      <c r="BB65" s="145"/>
      <c r="BC65" s="145"/>
      <c r="BD65" s="145"/>
      <c r="BE65" s="145"/>
      <c r="BF65" s="145"/>
      <c r="BG65" s="147"/>
      <c r="BH65" s="147"/>
      <c r="BI65" s="147"/>
      <c r="BJ65" s="147"/>
      <c r="BK65" s="147"/>
      <c r="BL65" s="147"/>
      <c r="BM65" s="147"/>
      <c r="BN65" s="147"/>
      <c r="BO65" s="147"/>
      <c r="BT65" s="147"/>
      <c r="BY65" s="147"/>
      <c r="CD65" s="147"/>
      <c r="CI65" s="147"/>
      <c r="CN65" s="147"/>
      <c r="CS65" s="147"/>
      <c r="CX65" s="147"/>
      <c r="DC65" s="147"/>
      <c r="DH65" s="147"/>
      <c r="DJ65"/>
      <c r="DK65"/>
      <c r="DL65"/>
      <c r="DM65"/>
      <c r="DN65"/>
      <c r="DO65"/>
    </row>
    <row r="66" spans="1:119" s="155" customFormat="1" ht="12.75" hidden="1" customHeight="1" outlineLevel="1">
      <c r="A66" s="144"/>
      <c r="B66" s="251" t="s">
        <v>695</v>
      </c>
      <c r="C66" s="387"/>
      <c r="D66" s="387"/>
      <c r="E66" s="387"/>
      <c r="F66" s="387"/>
      <c r="G66" s="249"/>
      <c r="H66" s="387"/>
      <c r="I66" s="387"/>
      <c r="J66" s="387"/>
      <c r="K66" s="387"/>
      <c r="L66" s="249"/>
      <c r="M66" s="387"/>
      <c r="N66" s="387"/>
      <c r="O66" s="387"/>
      <c r="P66" s="395">
        <v>3.944</v>
      </c>
      <c r="Q66" s="151">
        <f>SUM(M66:P66)</f>
        <v>3.944</v>
      </c>
      <c r="R66" s="395">
        <v>5.218</v>
      </c>
      <c r="S66" s="395">
        <v>5.3159999999999998</v>
      </c>
      <c r="T66" s="395">
        <v>5.4989999999999997</v>
      </c>
      <c r="U66" s="395">
        <v>5.5910000000000002</v>
      </c>
      <c r="V66" s="151">
        <f>SUM(R66:U66)</f>
        <v>21.623999999999999</v>
      </c>
      <c r="W66" s="395">
        <v>5.7809999999999997</v>
      </c>
      <c r="X66" s="395">
        <v>5.5350000000000001</v>
      </c>
      <c r="Y66" s="395">
        <v>5.8230000000000004</v>
      </c>
      <c r="Z66" s="395">
        <v>5.8410000000000002</v>
      </c>
      <c r="AA66" s="151">
        <f>SUM(W66:Z66)</f>
        <v>22.98</v>
      </c>
      <c r="AB66" s="395">
        <v>5.9240000000000004</v>
      </c>
      <c r="AC66" s="395">
        <v>4.9470000000000001</v>
      </c>
      <c r="AD66" s="395">
        <v>4.5750000000000002</v>
      </c>
      <c r="AE66" s="395">
        <v>2.375</v>
      </c>
      <c r="AF66" s="253">
        <f>SUM(AB66:AE66)</f>
        <v>17.821000000000002</v>
      </c>
      <c r="AG66" s="395">
        <f>2.248</f>
        <v>2.2480000000000002</v>
      </c>
      <c r="AH66" s="395">
        <v>0.33500000000000002</v>
      </c>
      <c r="AI66" s="395">
        <v>0.19400000000000001</v>
      </c>
      <c r="AJ66" s="395">
        <v>4.1000000000000002E-2</v>
      </c>
      <c r="AK66" s="253">
        <f>SUM(AG66:AJ66)</f>
        <v>2.8180000000000001</v>
      </c>
      <c r="AL66" s="395">
        <v>8.4000000000000005E-2</v>
      </c>
      <c r="AM66" s="395">
        <v>0.49399999999999999</v>
      </c>
      <c r="AN66" s="395">
        <v>3.6999999999999998E-2</v>
      </c>
      <c r="AO66" s="395">
        <v>1E-3</v>
      </c>
      <c r="AP66" s="887">
        <f>SUM(AL66:AO66)</f>
        <v>0.61599999999999999</v>
      </c>
      <c r="AQ66" s="936"/>
      <c r="AR66" s="936"/>
      <c r="AS66" s="936"/>
      <c r="AT66" s="936"/>
      <c r="AU66" s="249"/>
      <c r="AV66" s="936"/>
      <c r="AW66" s="936"/>
      <c r="AX66" s="936"/>
      <c r="AY66" s="936"/>
      <c r="AZ66" s="145"/>
      <c r="BA66" s="145"/>
      <c r="BB66" s="145"/>
      <c r="BC66" s="145"/>
      <c r="BD66" s="145"/>
      <c r="BE66" s="145"/>
      <c r="BF66" s="145"/>
      <c r="BG66" s="147"/>
      <c r="BH66" s="147"/>
      <c r="BI66" s="147"/>
      <c r="BJ66" s="147"/>
      <c r="BK66" s="147"/>
      <c r="BL66" s="147"/>
      <c r="BM66" s="147"/>
      <c r="BN66" s="147"/>
      <c r="BO66" s="147"/>
      <c r="BT66" s="147"/>
      <c r="BY66" s="147"/>
      <c r="CD66" s="147"/>
      <c r="CI66" s="147"/>
      <c r="CN66" s="147"/>
      <c r="CS66" s="147"/>
      <c r="CX66" s="147"/>
      <c r="DC66" s="147"/>
      <c r="DH66" s="147"/>
      <c r="DJ66"/>
      <c r="DK66"/>
      <c r="DL66"/>
      <c r="DM66"/>
      <c r="DN66"/>
      <c r="DO66"/>
    </row>
    <row r="67" spans="1:119" s="155" customFormat="1" ht="12.75" hidden="1" customHeight="1" outlineLevel="1">
      <c r="A67" s="144"/>
      <c r="B67" s="251" t="s">
        <v>696</v>
      </c>
      <c r="C67" s="387"/>
      <c r="D67" s="387"/>
      <c r="E67" s="387"/>
      <c r="F67" s="387"/>
      <c r="G67" s="249"/>
      <c r="H67" s="387"/>
      <c r="I67" s="387"/>
      <c r="J67" s="387"/>
      <c r="K67" s="387"/>
      <c r="L67" s="249"/>
      <c r="M67" s="387"/>
      <c r="N67" s="387"/>
      <c r="O67" s="387"/>
      <c r="P67" s="395">
        <v>0</v>
      </c>
      <c r="Q67" s="151">
        <f>SUM(M67:P67)</f>
        <v>0</v>
      </c>
      <c r="R67" s="395">
        <v>1.9</v>
      </c>
      <c r="S67" s="395">
        <v>1.9</v>
      </c>
      <c r="T67" s="395">
        <v>1.9</v>
      </c>
      <c r="U67" s="395">
        <v>1.9</v>
      </c>
      <c r="V67" s="151">
        <f>SUM(R67:U67)</f>
        <v>7.6</v>
      </c>
      <c r="W67" s="395">
        <v>1.9</v>
      </c>
      <c r="X67" s="395">
        <v>1.8</v>
      </c>
      <c r="Y67" s="395">
        <v>1.8</v>
      </c>
      <c r="Z67" s="395">
        <v>1.8</v>
      </c>
      <c r="AA67" s="151">
        <f>SUM(W67:Z67)</f>
        <v>7.3</v>
      </c>
      <c r="AB67" s="395">
        <v>1.7</v>
      </c>
      <c r="AC67" s="395">
        <v>1.4</v>
      </c>
      <c r="AD67" s="395">
        <v>1.3</v>
      </c>
      <c r="AE67" s="395">
        <v>0.6</v>
      </c>
      <c r="AF67" s="253">
        <f>SUM(AB67:AE67)</f>
        <v>4.9999999999999991</v>
      </c>
      <c r="AG67" s="395">
        <v>0</v>
      </c>
      <c r="AH67" s="395">
        <v>0</v>
      </c>
      <c r="AI67" s="395">
        <v>0</v>
      </c>
      <c r="AJ67" s="395">
        <v>0</v>
      </c>
      <c r="AK67" s="253">
        <f>SUM(AG67:AJ67)</f>
        <v>0</v>
      </c>
      <c r="AL67" s="395">
        <v>0</v>
      </c>
      <c r="AM67" s="395">
        <v>0</v>
      </c>
      <c r="AN67" s="389"/>
      <c r="AO67" s="389"/>
      <c r="AP67" s="887">
        <f>SUM(AL67:AO67)</f>
        <v>0</v>
      </c>
      <c r="AQ67" s="936"/>
      <c r="AR67" s="936"/>
      <c r="AS67" s="936"/>
      <c r="AT67" s="936"/>
      <c r="AU67" s="249"/>
      <c r="AV67" s="936"/>
      <c r="AW67" s="936"/>
      <c r="AX67" s="936"/>
      <c r="AY67" s="936"/>
      <c r="AZ67" s="145"/>
      <c r="BA67" s="145"/>
      <c r="BB67" s="145"/>
      <c r="BC67" s="145"/>
      <c r="BD67" s="145"/>
      <c r="BE67" s="145"/>
      <c r="BF67" s="145"/>
      <c r="BG67" s="147"/>
      <c r="BH67" s="147"/>
      <c r="BI67" s="147"/>
      <c r="BJ67" s="147"/>
      <c r="BK67" s="147"/>
      <c r="BL67" s="147"/>
      <c r="BM67" s="147"/>
      <c r="BN67" s="147"/>
      <c r="BO67" s="147"/>
      <c r="BT67" s="147"/>
      <c r="BY67" s="147"/>
      <c r="CD67" s="147"/>
      <c r="CI67" s="147"/>
      <c r="CN67" s="147"/>
      <c r="CS67" s="147"/>
      <c r="CX67" s="147"/>
      <c r="DC67" s="147"/>
      <c r="DH67" s="147"/>
      <c r="DJ67"/>
      <c r="DK67"/>
      <c r="DL67"/>
      <c r="DM67"/>
      <c r="DN67"/>
      <c r="DO67"/>
    </row>
    <row r="68" spans="1:119" s="155" customFormat="1" ht="12.75" hidden="1" customHeight="1" outlineLevel="1">
      <c r="A68" s="144"/>
      <c r="B68" s="251" t="s">
        <v>791</v>
      </c>
      <c r="C68" s="387"/>
      <c r="D68" s="387"/>
      <c r="E68" s="387"/>
      <c r="F68" s="387"/>
      <c r="G68" s="249"/>
      <c r="H68" s="387"/>
      <c r="I68" s="387"/>
      <c r="J68" s="387"/>
      <c r="K68" s="387"/>
      <c r="L68" s="249"/>
      <c r="M68" s="387"/>
      <c r="N68" s="387"/>
      <c r="O68" s="387"/>
      <c r="P68" s="395"/>
      <c r="Q68" s="151"/>
      <c r="R68" s="395"/>
      <c r="S68" s="395"/>
      <c r="T68" s="395"/>
      <c r="U68" s="395"/>
      <c r="V68" s="151"/>
      <c r="W68" s="395"/>
      <c r="X68" s="395"/>
      <c r="Y68" s="395"/>
      <c r="Z68" s="395"/>
      <c r="AA68" s="151"/>
      <c r="AB68" s="395"/>
      <c r="AC68" s="395">
        <v>10.787000000000001</v>
      </c>
      <c r="AD68" s="388"/>
      <c r="AE68" s="823">
        <v>22.681999999999999</v>
      </c>
      <c r="AF68" s="253">
        <f>SUM(AB68:AE68)</f>
        <v>33.469000000000001</v>
      </c>
      <c r="AG68" s="395">
        <v>0.94199999999999995</v>
      </c>
      <c r="AH68" s="395">
        <v>15.964</v>
      </c>
      <c r="AI68" s="395">
        <v>2.1000000000000001E-2</v>
      </c>
      <c r="AJ68" s="395">
        <v>1.9339999999999999</v>
      </c>
      <c r="AK68" s="253">
        <f>SUM(AG68:AJ68)</f>
        <v>18.861000000000001</v>
      </c>
      <c r="AL68" s="395">
        <v>0</v>
      </c>
      <c r="AM68" s="395">
        <v>0</v>
      </c>
      <c r="AN68" s="389"/>
      <c r="AO68" s="389"/>
      <c r="AP68" s="887">
        <f>SUM(AL68:AO68)</f>
        <v>0</v>
      </c>
      <c r="AQ68" s="936"/>
      <c r="AR68" s="395">
        <v>30.1</v>
      </c>
      <c r="AS68" s="936"/>
      <c r="AT68" s="936"/>
      <c r="AU68" s="887">
        <f>SUM(AQ68:AT68)</f>
        <v>30.1</v>
      </c>
      <c r="AV68" s="936"/>
      <c r="AW68" s="395"/>
      <c r="AX68" s="936"/>
      <c r="AY68" s="936"/>
      <c r="AZ68" s="145"/>
      <c r="BA68" s="145"/>
      <c r="BB68" s="145"/>
      <c r="BC68" s="145"/>
      <c r="BD68" s="145"/>
      <c r="BE68" s="145"/>
      <c r="BF68" s="145"/>
      <c r="BG68" s="147"/>
      <c r="BH68" s="147"/>
      <c r="BI68" s="147"/>
      <c r="BJ68" s="147"/>
      <c r="BK68" s="147"/>
      <c r="BL68" s="147"/>
      <c r="BM68" s="147"/>
      <c r="BN68" s="147"/>
      <c r="BO68" s="147"/>
      <c r="BT68" s="147"/>
      <c r="BY68" s="147"/>
      <c r="CD68" s="147"/>
      <c r="CI68" s="147"/>
      <c r="CN68" s="147"/>
      <c r="CS68" s="147"/>
      <c r="CX68" s="147"/>
      <c r="DC68" s="147"/>
      <c r="DH68" s="147"/>
      <c r="DJ68"/>
      <c r="DK68"/>
      <c r="DL68"/>
      <c r="DM68"/>
      <c r="DN68"/>
      <c r="DO68"/>
    </row>
    <row r="69" spans="1:119" s="155" customFormat="1" ht="12.75" hidden="1" customHeight="1" outlineLevel="1">
      <c r="A69" s="144"/>
      <c r="B69" s="251"/>
      <c r="C69" s="387"/>
      <c r="D69" s="387"/>
      <c r="E69" s="387"/>
      <c r="F69" s="387"/>
      <c r="G69" s="249"/>
      <c r="H69" s="387"/>
      <c r="I69" s="387"/>
      <c r="J69" s="387"/>
      <c r="K69" s="387"/>
      <c r="L69" s="249"/>
      <c r="M69" s="387"/>
      <c r="N69" s="387"/>
      <c r="O69" s="387"/>
      <c r="P69" s="387"/>
      <c r="Q69" s="249"/>
      <c r="R69" s="387"/>
      <c r="S69" s="387"/>
      <c r="T69" s="387"/>
      <c r="U69" s="387"/>
      <c r="V69" s="249"/>
      <c r="W69" s="387"/>
      <c r="X69" s="387"/>
      <c r="Y69" s="387"/>
      <c r="Z69" s="387"/>
      <c r="AA69" s="249"/>
      <c r="AB69" s="388"/>
      <c r="AC69" s="388"/>
      <c r="AD69" s="388"/>
      <c r="AE69" s="388"/>
      <c r="AF69" s="253"/>
      <c r="AG69" s="388"/>
      <c r="AH69" s="388"/>
      <c r="AI69" s="388"/>
      <c r="AJ69" s="388"/>
      <c r="AK69" s="249"/>
      <c r="AL69" s="389"/>
      <c r="AM69" s="389"/>
      <c r="AN69" s="389"/>
      <c r="AO69" s="389"/>
      <c r="AP69" s="249"/>
      <c r="AQ69" s="936"/>
      <c r="AR69" s="395"/>
      <c r="AS69" s="936"/>
      <c r="AT69" s="936"/>
      <c r="AU69" s="249"/>
      <c r="AV69" s="936"/>
      <c r="AW69" s="395"/>
      <c r="AX69" s="936"/>
      <c r="AY69" s="936"/>
      <c r="AZ69" s="145"/>
      <c r="BA69" s="145"/>
      <c r="BB69" s="145"/>
      <c r="BC69" s="145"/>
      <c r="BD69" s="145"/>
      <c r="BE69" s="145"/>
      <c r="BF69" s="145"/>
      <c r="BG69" s="147"/>
      <c r="BH69" s="147"/>
      <c r="BI69" s="147"/>
      <c r="BJ69" s="147"/>
      <c r="BK69" s="147"/>
      <c r="BL69" s="147"/>
      <c r="BM69" s="147"/>
      <c r="BN69" s="147"/>
      <c r="BO69" s="147"/>
      <c r="BT69" s="147"/>
      <c r="BY69" s="147"/>
      <c r="CD69" s="147"/>
      <c r="CI69" s="147"/>
      <c r="CN69" s="147"/>
      <c r="CS69" s="147"/>
      <c r="CX69" s="147"/>
      <c r="DC69" s="147"/>
      <c r="DH69" s="147"/>
      <c r="DJ69"/>
      <c r="DK69"/>
      <c r="DL69"/>
      <c r="DM69"/>
      <c r="DN69"/>
      <c r="DO69"/>
    </row>
    <row r="70" spans="1:119" s="155" customFormat="1" ht="12.75" hidden="1" customHeight="1" outlineLevel="1">
      <c r="A70" s="144"/>
      <c r="B70" s="252" t="s">
        <v>698</v>
      </c>
      <c r="C70" s="387"/>
      <c r="D70" s="387"/>
      <c r="E70" s="387"/>
      <c r="F70" s="387"/>
      <c r="G70" s="249"/>
      <c r="H70" s="387"/>
      <c r="I70" s="387"/>
      <c r="J70" s="387"/>
      <c r="K70" s="387"/>
      <c r="L70" s="394">
        <v>0</v>
      </c>
      <c r="M70" s="395">
        <v>0</v>
      </c>
      <c r="N70" s="395">
        <v>0</v>
      </c>
      <c r="O70" s="395">
        <v>0</v>
      </c>
      <c r="P70" s="395">
        <v>0</v>
      </c>
      <c r="Q70" s="394">
        <v>0</v>
      </c>
      <c r="R70" s="395">
        <v>0</v>
      </c>
      <c r="S70" s="395">
        <v>0</v>
      </c>
      <c r="T70" s="395">
        <v>0</v>
      </c>
      <c r="U70" s="395">
        <f>-(340.156-4.308)</f>
        <v>-335.84800000000001</v>
      </c>
      <c r="V70" s="151">
        <f>SUM(R70:U70)</f>
        <v>-335.84800000000001</v>
      </c>
      <c r="W70" s="395">
        <v>42.957000000000001</v>
      </c>
      <c r="X70" s="395">
        <v>60.316000000000003</v>
      </c>
      <c r="Y70" s="395">
        <v>84.378</v>
      </c>
      <c r="Z70" s="395">
        <v>101.34699999999999</v>
      </c>
      <c r="AA70" s="151">
        <f>SUM(W70:Z70)</f>
        <v>288.99799999999999</v>
      </c>
      <c r="AB70" s="395">
        <v>109.82</v>
      </c>
      <c r="AC70" s="395">
        <v>110.384</v>
      </c>
      <c r="AD70" s="395">
        <v>96.358000000000004</v>
      </c>
      <c r="AE70" s="395">
        <v>111.111</v>
      </c>
      <c r="AF70" s="253">
        <f>SUM(AB70:AE70)</f>
        <v>427.673</v>
      </c>
      <c r="AG70" s="395">
        <v>152.56800000000001</v>
      </c>
      <c r="AH70" s="395">
        <v>32.924999999999997</v>
      </c>
      <c r="AI70" s="395">
        <v>89.616</v>
      </c>
      <c r="AJ70" s="395">
        <v>11.433</v>
      </c>
      <c r="AK70" s="394">
        <v>287.11</v>
      </c>
      <c r="AL70" s="395">
        <v>-15.271000000000001</v>
      </c>
      <c r="AM70" s="395">
        <v>-74.287000000000006</v>
      </c>
      <c r="AN70" s="395">
        <v>-56.222999999999999</v>
      </c>
      <c r="AO70" s="395">
        <v>-55.131999999999998</v>
      </c>
      <c r="AP70" s="887">
        <f>SUM(AL70:AO70)</f>
        <v>-200.91300000000001</v>
      </c>
      <c r="AQ70" s="395">
        <v>-46.179000000000002</v>
      </c>
      <c r="AR70" s="395">
        <v>-52.31</v>
      </c>
      <c r="AS70" s="395">
        <v>-42.957999999999998</v>
      </c>
      <c r="AT70" s="1097">
        <f>-44.581+326.202</f>
        <v>281.62099999999998</v>
      </c>
      <c r="AU70" s="887">
        <f>SUM(AQ70:AT70)</f>
        <v>140.17399999999998</v>
      </c>
      <c r="AV70" s="395"/>
      <c r="AW70" s="395"/>
      <c r="AX70" s="395"/>
      <c r="AY70" s="936"/>
      <c r="AZ70" s="145"/>
      <c r="BA70" s="145"/>
      <c r="BB70" s="145"/>
      <c r="BC70" s="145"/>
      <c r="BD70" s="145"/>
      <c r="BE70" s="145"/>
      <c r="BF70" s="145"/>
      <c r="BG70" s="147"/>
      <c r="BH70" s="147"/>
      <c r="BI70" s="147"/>
      <c r="BJ70" s="147"/>
      <c r="BK70" s="147"/>
      <c r="BL70" s="147"/>
      <c r="BM70" s="147"/>
      <c r="BN70" s="147"/>
      <c r="BO70" s="147"/>
      <c r="BT70" s="147"/>
      <c r="BY70" s="147"/>
      <c r="CD70" s="147"/>
      <c r="CI70" s="147"/>
      <c r="CN70" s="147"/>
      <c r="CS70" s="147"/>
      <c r="CX70" s="147"/>
      <c r="DC70" s="147"/>
      <c r="DH70" s="147"/>
      <c r="DJ70"/>
      <c r="DK70"/>
      <c r="DL70"/>
      <c r="DM70"/>
      <c r="DN70"/>
      <c r="DO70"/>
    </row>
    <row r="71" spans="1:119" s="155" customFormat="1" ht="12.75" hidden="1" customHeight="1" outlineLevel="1">
      <c r="A71" s="144"/>
      <c r="B71" s="248" t="s">
        <v>758</v>
      </c>
      <c r="C71" s="387"/>
      <c r="D71" s="387"/>
      <c r="E71" s="387"/>
      <c r="F71" s="387"/>
      <c r="G71" s="249"/>
      <c r="H71" s="387"/>
      <c r="I71" s="387"/>
      <c r="J71" s="387"/>
      <c r="K71" s="387"/>
      <c r="L71" s="249"/>
      <c r="M71" s="387"/>
      <c r="N71" s="387"/>
      <c r="O71" s="387"/>
      <c r="P71" s="387"/>
      <c r="Q71" s="249"/>
      <c r="R71" s="387"/>
      <c r="S71" s="387"/>
      <c r="T71" s="387"/>
      <c r="U71" s="396">
        <f t="shared" ref="U71:AD71" si="75">U70/(U52-U55-U58-U62-U65)</f>
        <v>-2.4959162895086919</v>
      </c>
      <c r="V71" s="323">
        <f t="shared" si="75"/>
        <v>-0.81059854557215349</v>
      </c>
      <c r="W71" s="396">
        <f t="shared" si="75"/>
        <v>0.30287454787740353</v>
      </c>
      <c r="X71" s="396">
        <f t="shared" si="75"/>
        <v>0.40839043414673781</v>
      </c>
      <c r="Y71" s="396">
        <f t="shared" si="75"/>
        <v>0.37387674801935461</v>
      </c>
      <c r="Z71" s="396">
        <f t="shared" si="75"/>
        <v>0.51145831756269178</v>
      </c>
      <c r="AA71" s="323">
        <f t="shared" si="75"/>
        <v>0.40512223842099354</v>
      </c>
      <c r="AB71" s="396">
        <f>AB70/(AB52-AB55-AB58-AB62-AB65)</f>
        <v>0.62660116510615482</v>
      </c>
      <c r="AC71" s="396">
        <f t="shared" si="75"/>
        <v>0.51603975578057626</v>
      </c>
      <c r="AD71" s="396">
        <f t="shared" si="75"/>
        <v>0.4447059692262253</v>
      </c>
      <c r="AE71" s="396">
        <f>AE70/(AE52-AE55-AE58-AE62-AE65)</f>
        <v>0.45543081293115106</v>
      </c>
      <c r="AF71" s="397"/>
      <c r="AG71" s="396">
        <f>AG70/(AG52-AG55-AG58-AG62-AG65)</f>
        <v>0.66271387430120299</v>
      </c>
      <c r="AH71" s="396">
        <f t="shared" ref="AH71:AI71" si="76">AH70/(AH52-AH55-AH58-AH62-AH65)</f>
        <v>0.135197838477079</v>
      </c>
      <c r="AI71" s="396">
        <f t="shared" si="76"/>
        <v>0.29868515339877</v>
      </c>
      <c r="AJ71" s="396">
        <f>AJ70/(AJ52-AJ55-AJ58-AJ62-AJ65)</f>
        <v>6.8185477858953444E-2</v>
      </c>
      <c r="AK71" s="249"/>
      <c r="AL71" s="396">
        <f>AL70/(AL52-AL55-AL58-AL62-AL65)</f>
        <v>-0.10149204133851708</v>
      </c>
      <c r="AM71" s="396">
        <f>AM70/(AM52-AM55-AM58-AM62-AM65-AM63)</f>
        <v>-0.60925441438190542</v>
      </c>
      <c r="AN71" s="396">
        <f>AN70/(AN52-AN55-AN58-AN62-AN65-AN63)</f>
        <v>-0.26954995900873063</v>
      </c>
      <c r="AO71" s="396">
        <f>AO70/(AO52-AO55-AO58-AO62-AO65-AO63)</f>
        <v>-0.27846835334346892</v>
      </c>
      <c r="AP71" s="249"/>
      <c r="AQ71" s="396">
        <f>AQ70/(AQ52-AQ55-AQ58-AQ62-AQ65-AQ63)</f>
        <v>-0.2276936275960004</v>
      </c>
      <c r="AR71" s="396">
        <f>AR70/(AR52-AR55-AR58-AR62-AR65-AR63)</f>
        <v>-0.14310570288947136</v>
      </c>
      <c r="AS71" s="936"/>
      <c r="AT71" s="936"/>
      <c r="AU71" s="249"/>
      <c r="AV71" s="396"/>
      <c r="AW71" s="396"/>
      <c r="AX71" s="936"/>
      <c r="AY71" s="936"/>
      <c r="AZ71" s="145"/>
      <c r="BA71" s="145"/>
      <c r="BB71" s="145"/>
      <c r="BC71" s="145"/>
      <c r="BD71" s="145"/>
      <c r="BE71" s="145"/>
      <c r="BF71" s="145"/>
      <c r="BG71" s="147"/>
      <c r="BH71" s="147"/>
      <c r="BI71" s="147"/>
      <c r="BJ71" s="147"/>
      <c r="BK71" s="147"/>
      <c r="BL71" s="147"/>
      <c r="BM71" s="147"/>
      <c r="BN71" s="147"/>
      <c r="BO71" s="147"/>
      <c r="BT71" s="147"/>
      <c r="BY71" s="147"/>
      <c r="CD71" s="147"/>
      <c r="CI71" s="147"/>
      <c r="CN71" s="147"/>
      <c r="CS71" s="147"/>
      <c r="CX71" s="147"/>
      <c r="DC71" s="147"/>
      <c r="DH71" s="147"/>
      <c r="DJ71"/>
      <c r="DK71"/>
      <c r="DL71"/>
      <c r="DM71"/>
      <c r="DN71"/>
      <c r="DO71"/>
    </row>
    <row r="72" spans="1:119" s="155" customFormat="1" ht="12.75" hidden="1" customHeight="1" outlineLevel="1">
      <c r="A72" s="144"/>
      <c r="B72" s="252"/>
      <c r="C72" s="387"/>
      <c r="D72" s="387"/>
      <c r="E72" s="387"/>
      <c r="F72" s="387"/>
      <c r="G72" s="249"/>
      <c r="H72" s="387"/>
      <c r="I72" s="387"/>
      <c r="J72" s="387"/>
      <c r="K72" s="387"/>
      <c r="L72" s="249"/>
      <c r="M72" s="387"/>
      <c r="N72" s="387"/>
      <c r="O72" s="387"/>
      <c r="P72" s="387"/>
      <c r="Q72" s="249"/>
      <c r="R72" s="387"/>
      <c r="S72" s="387"/>
      <c r="T72" s="387"/>
      <c r="U72" s="387"/>
      <c r="V72" s="249"/>
      <c r="W72" s="387"/>
      <c r="X72" s="387"/>
      <c r="Y72" s="387"/>
      <c r="Z72" s="387"/>
      <c r="AA72" s="249"/>
      <c r="AB72" s="388"/>
      <c r="AC72" s="388"/>
      <c r="AD72" s="388"/>
      <c r="AE72" s="388"/>
      <c r="AF72" s="250"/>
      <c r="AG72" s="388"/>
      <c r="AH72" s="388"/>
      <c r="AI72" s="388"/>
      <c r="AJ72" s="388"/>
      <c r="AK72" s="249"/>
      <c r="AL72" s="389"/>
      <c r="AM72" s="389"/>
      <c r="AN72" s="389"/>
      <c r="AO72" s="389"/>
      <c r="AP72" s="249"/>
      <c r="AQ72" s="936"/>
      <c r="AR72" s="936"/>
      <c r="AS72" s="936"/>
      <c r="AT72" s="936"/>
      <c r="AU72" s="249"/>
      <c r="AV72" s="936"/>
      <c r="AW72" s="936"/>
      <c r="AX72" s="936"/>
      <c r="AY72" s="936"/>
      <c r="AZ72" s="145"/>
      <c r="BA72" s="145"/>
      <c r="BB72" s="145"/>
      <c r="BC72" s="145"/>
      <c r="BD72" s="145"/>
      <c r="BE72" s="145"/>
      <c r="BF72" s="145"/>
      <c r="BG72" s="147"/>
      <c r="BH72" s="147"/>
      <c r="BI72" s="147"/>
      <c r="BJ72" s="147"/>
      <c r="BK72" s="147"/>
      <c r="BL72" s="147"/>
      <c r="BM72" s="147"/>
      <c r="BN72" s="147"/>
      <c r="BO72" s="147"/>
      <c r="BT72" s="147"/>
      <c r="BY72" s="147"/>
      <c r="CD72" s="147"/>
      <c r="CI72" s="147"/>
      <c r="CN72" s="147"/>
      <c r="CS72" s="147"/>
      <c r="CX72" s="147"/>
      <c r="DC72" s="147"/>
      <c r="DH72" s="147"/>
      <c r="DJ72"/>
      <c r="DK72"/>
      <c r="DL72"/>
      <c r="DM72"/>
      <c r="DN72"/>
      <c r="DO72"/>
    </row>
    <row r="73" spans="1:119" s="155" customFormat="1" ht="12.75" hidden="1" customHeight="1" outlineLevel="1">
      <c r="A73" s="144"/>
      <c r="B73" s="252" t="s">
        <v>699</v>
      </c>
      <c r="C73" s="387">
        <f t="shared" ref="C73:T73" si="77">C52-C55-C58-C62-C65+C70</f>
        <v>-17.481000000000002</v>
      </c>
      <c r="D73" s="387">
        <f t="shared" si="77"/>
        <v>-14.938000000000006</v>
      </c>
      <c r="E73" s="387">
        <f t="shared" si="77"/>
        <v>-1.0149999999999968</v>
      </c>
      <c r="F73" s="387">
        <f t="shared" si="77"/>
        <v>-36.489000000000004</v>
      </c>
      <c r="G73" s="249">
        <f t="shared" si="77"/>
        <v>-67.830000000000013</v>
      </c>
      <c r="H73" s="387">
        <f t="shared" si="77"/>
        <v>-30.522000000000009</v>
      </c>
      <c r="I73" s="387">
        <f t="shared" si="77"/>
        <v>-25.474000000000004</v>
      </c>
      <c r="J73" s="387">
        <f t="shared" si="77"/>
        <v>-33.874999999999993</v>
      </c>
      <c r="K73" s="387">
        <f t="shared" si="77"/>
        <v>-14.596999999999973</v>
      </c>
      <c r="L73" s="253">
        <f t="shared" si="77"/>
        <v>-104.46800000000003</v>
      </c>
      <c r="M73" s="389">
        <f t="shared" si="77"/>
        <v>-43.447000000000017</v>
      </c>
      <c r="N73" s="389">
        <f t="shared" si="77"/>
        <v>-62.505000000000003</v>
      </c>
      <c r="O73" s="389">
        <f t="shared" si="77"/>
        <v>-62.365000000000009</v>
      </c>
      <c r="P73" s="389">
        <f t="shared" si="77"/>
        <v>-53.443000000000005</v>
      </c>
      <c r="Q73" s="253">
        <f t="shared" si="77"/>
        <v>-221.76</v>
      </c>
      <c r="R73" s="389">
        <f t="shared" si="77"/>
        <v>11.650999999999998</v>
      </c>
      <c r="S73" s="389">
        <f t="shared" si="77"/>
        <v>76.742999999999952</v>
      </c>
      <c r="T73" s="389">
        <f t="shared" si="77"/>
        <v>191.46799999999993</v>
      </c>
      <c r="U73" s="389">
        <f t="shared" ref="U73:AA73" si="78">U52-U55-U58-U62-U65-U70</f>
        <v>470.40699999999998</v>
      </c>
      <c r="V73" s="253">
        <f t="shared" si="78"/>
        <v>750.16899999999976</v>
      </c>
      <c r="W73" s="389">
        <f t="shared" si="78"/>
        <v>98.873999999999938</v>
      </c>
      <c r="X73" s="389">
        <f t="shared" si="78"/>
        <v>87.376000000000005</v>
      </c>
      <c r="Y73" s="389">
        <f>Y52-Y55-Y58-Y62-Y65-Y70</f>
        <v>141.30599999999993</v>
      </c>
      <c r="Z73" s="389">
        <f t="shared" si="78"/>
        <v>96.805999999999855</v>
      </c>
      <c r="AA73" s="253">
        <f t="shared" si="78"/>
        <v>424.36200000000014</v>
      </c>
      <c r="AB73" s="389">
        <f>AB52-AB55-AB58-AB62-AB65-AB70-AB59</f>
        <v>65.442999999999984</v>
      </c>
      <c r="AC73" s="389">
        <f>AC52-AC55-AC58-AC62-AC65-AC70-AC68-AC59</f>
        <v>92.735000000000113</v>
      </c>
      <c r="AD73" s="389">
        <f>AD52-AD55-AD58-AD62-AD65-AD70-AD68-AD59+2.803</f>
        <v>82.522999999999911</v>
      </c>
      <c r="AE73" s="389">
        <f>AE52-AE55-AE58-AE62-AE65-AE70-AE68-AE59</f>
        <v>110.176</v>
      </c>
      <c r="AF73" s="253">
        <f>AF52-AF55-AF58-AF62-AF65-AF70-AF68-AF59</f>
        <v>348.07399999999967</v>
      </c>
      <c r="AG73" s="389">
        <f>AG52-AG55-AG58-AG62-AG65-AG70-AG68-AG59</f>
        <v>76.706999999999923</v>
      </c>
      <c r="AH73" s="389">
        <f t="shared" ref="AH73:AL73" si="79">AH52-AH55-AH58-AH62-AH65-AH70-AH68-AH59</f>
        <v>194.64299999999997</v>
      </c>
      <c r="AI73" s="389">
        <f t="shared" si="79"/>
        <v>210.39800000000017</v>
      </c>
      <c r="AJ73" s="389">
        <f t="shared" si="79"/>
        <v>154.30799999999974</v>
      </c>
      <c r="AK73" s="253">
        <f t="shared" si="79"/>
        <v>635.48799999999994</v>
      </c>
      <c r="AL73" s="389">
        <f t="shared" si="79"/>
        <v>165.73600000000027</v>
      </c>
      <c r="AM73" s="389">
        <f t="shared" ref="AM73:AR73" si="80">AM52-AM55-AM58-AM62-AM65-AM70-AM68-AM59-AM63</f>
        <v>196.21799999999985</v>
      </c>
      <c r="AN73" s="389">
        <f t="shared" si="80"/>
        <v>264.8039999999998</v>
      </c>
      <c r="AO73" s="389">
        <f t="shared" si="80"/>
        <v>253.11499999999998</v>
      </c>
      <c r="AP73" s="971">
        <f t="shared" si="80"/>
        <v>879.87300000000027</v>
      </c>
      <c r="AQ73" s="937">
        <f t="shared" si="80"/>
        <v>248.99099999999987</v>
      </c>
      <c r="AR73" s="937">
        <f t="shared" si="80"/>
        <v>387.74399999999986</v>
      </c>
      <c r="AS73" s="937">
        <f t="shared" ref="AS73:AU73" si="81">AS52-AS55-AS58-AS62-AS65-AS70-AS68-AS59-AS63</f>
        <v>388.34799999999984</v>
      </c>
      <c r="AT73" s="937">
        <f t="shared" si="81"/>
        <v>173.74599999999981</v>
      </c>
      <c r="AU73" s="253">
        <f t="shared" si="81"/>
        <v>1198.8290000000009</v>
      </c>
      <c r="AV73" s="937">
        <f t="shared" ref="AV73:BJ73" si="82">AV47</f>
        <v>384.86253671688036</v>
      </c>
      <c r="AW73" s="937">
        <f t="shared" si="82"/>
        <v>424.14791711504012</v>
      </c>
      <c r="AX73" s="937">
        <f t="shared" si="82"/>
        <v>420.88562521727971</v>
      </c>
      <c r="AY73" s="937">
        <f t="shared" si="82"/>
        <v>375.65580665954013</v>
      </c>
      <c r="AZ73" s="253">
        <f t="shared" si="82"/>
        <v>1605.5518857087407</v>
      </c>
      <c r="BA73" s="253">
        <f t="shared" si="82"/>
        <v>0</v>
      </c>
      <c r="BB73" s="253">
        <f t="shared" si="82"/>
        <v>0</v>
      </c>
      <c r="BC73" s="253">
        <f t="shared" si="82"/>
        <v>0</v>
      </c>
      <c r="BD73" s="253">
        <f t="shared" si="82"/>
        <v>0</v>
      </c>
      <c r="BE73" s="253">
        <f t="shared" si="82"/>
        <v>1871.8263678450983</v>
      </c>
      <c r="BF73" s="253">
        <f t="shared" si="82"/>
        <v>0</v>
      </c>
      <c r="BG73" s="253">
        <f t="shared" si="82"/>
        <v>0</v>
      </c>
      <c r="BH73" s="253">
        <f t="shared" si="82"/>
        <v>0</v>
      </c>
      <c r="BI73" s="253">
        <f t="shared" si="82"/>
        <v>0</v>
      </c>
      <c r="BJ73" s="253">
        <f t="shared" si="82"/>
        <v>2340.2479172972044</v>
      </c>
      <c r="BK73" s="253"/>
      <c r="BL73" s="253"/>
      <c r="BM73" s="253"/>
      <c r="BN73" s="253"/>
      <c r="BO73" s="253">
        <f t="shared" ref="BO73" si="83">BO47</f>
        <v>2780.1199401133908</v>
      </c>
      <c r="BT73" s="253">
        <f t="shared" ref="BT73" si="84">BT47</f>
        <v>3289.0551407222138</v>
      </c>
      <c r="BY73" s="253">
        <f t="shared" ref="BY73" si="85">BY47</f>
        <v>3692.2953240088723</v>
      </c>
      <c r="CD73" s="253">
        <f t="shared" ref="CD73" si="86">CD47</f>
        <v>4114.9685744426715</v>
      </c>
      <c r="CI73" s="253">
        <f t="shared" ref="CI73" si="87">CI47</f>
        <v>4499.3506092166808</v>
      </c>
      <c r="CN73" s="253">
        <f t="shared" ref="CN73" si="88">CN47</f>
        <v>4556.7633296578906</v>
      </c>
      <c r="CS73" s="253">
        <f t="shared" ref="CS73" si="89">CS47</f>
        <v>4442.4292626518309</v>
      </c>
      <c r="CX73" s="253">
        <f t="shared" ref="CX73" si="90">CX47</f>
        <v>4642.678979807949</v>
      </c>
      <c r="DC73" s="253">
        <f t="shared" ref="DC73" si="91">DC47</f>
        <v>4312.9870001316403</v>
      </c>
      <c r="DH73" s="253">
        <f t="shared" ref="DH73" si="92">DH47</f>
        <v>4548.8292743422253</v>
      </c>
      <c r="DJ73"/>
      <c r="DK73"/>
      <c r="DL73"/>
      <c r="DM73"/>
      <c r="DN73"/>
      <c r="DO73"/>
    </row>
    <row r="74" spans="1:119" s="155" customFormat="1" ht="12.75" hidden="1" customHeight="1" outlineLevel="1">
      <c r="A74" s="144"/>
      <c r="B74" s="251"/>
      <c r="C74" s="387"/>
      <c r="D74" s="387"/>
      <c r="E74" s="387"/>
      <c r="F74" s="387"/>
      <c r="G74" s="249"/>
      <c r="H74" s="387"/>
      <c r="I74" s="387"/>
      <c r="J74" s="387"/>
      <c r="K74" s="387"/>
      <c r="L74" s="249"/>
      <c r="M74" s="387"/>
      <c r="N74" s="387"/>
      <c r="O74" s="387"/>
      <c r="P74" s="387"/>
      <c r="Q74" s="249"/>
      <c r="R74" s="387"/>
      <c r="S74" s="387"/>
      <c r="T74" s="387"/>
      <c r="U74" s="387"/>
      <c r="V74" s="249"/>
      <c r="W74" s="387"/>
      <c r="X74" s="387"/>
      <c r="Y74" s="387"/>
      <c r="Z74" s="387"/>
      <c r="AA74" s="249"/>
      <c r="AB74" s="388"/>
      <c r="AC74" s="388"/>
      <c r="AD74" s="388"/>
      <c r="AE74" s="388"/>
      <c r="AF74" s="250"/>
      <c r="AG74" s="388"/>
      <c r="AH74" s="388"/>
      <c r="AI74" s="388"/>
      <c r="AJ74" s="388"/>
      <c r="AK74" s="249"/>
      <c r="AL74" s="389"/>
      <c r="AM74" s="389"/>
      <c r="AN74" s="389"/>
      <c r="AO74" s="389"/>
      <c r="AP74" s="249"/>
      <c r="AQ74" s="936"/>
      <c r="AR74" s="936"/>
      <c r="AS74" s="936"/>
      <c r="AT74" s="936"/>
      <c r="AU74" s="249"/>
      <c r="AV74" s="936"/>
      <c r="AW74" s="936"/>
      <c r="AX74" s="936"/>
      <c r="AY74" s="936"/>
      <c r="AZ74" s="145"/>
      <c r="BA74" s="145"/>
      <c r="BB74" s="145"/>
      <c r="BC74" s="145"/>
      <c r="BD74" s="145"/>
      <c r="BE74" s="145"/>
      <c r="BF74" s="145"/>
      <c r="BG74" s="147"/>
      <c r="BH74" s="147"/>
      <c r="BI74" s="147"/>
      <c r="BJ74" s="147"/>
      <c r="BK74" s="147"/>
      <c r="BL74" s="147"/>
      <c r="BM74" s="147"/>
      <c r="BN74" s="147"/>
      <c r="BO74" s="147"/>
      <c r="BT74" s="147"/>
      <c r="BY74" s="147"/>
      <c r="CD74" s="147"/>
      <c r="CI74" s="147"/>
      <c r="CN74" s="147"/>
      <c r="CS74" s="147"/>
      <c r="CX74" s="147"/>
      <c r="DC74" s="147"/>
      <c r="DH74" s="147"/>
      <c r="DJ74"/>
      <c r="DK74"/>
      <c r="DL74"/>
      <c r="DM74"/>
      <c r="DN74"/>
      <c r="DO74"/>
    </row>
    <row r="75" spans="1:119" s="155" customFormat="1" ht="12.75" customHeight="1" collapsed="1">
      <c r="A75" s="144"/>
      <c r="B75" s="252" t="s">
        <v>700</v>
      </c>
      <c r="C75" s="387"/>
      <c r="D75" s="387"/>
      <c r="E75" s="387"/>
      <c r="F75" s="387"/>
      <c r="G75" s="249"/>
      <c r="H75" s="387"/>
      <c r="I75" s="387"/>
      <c r="J75" s="387"/>
      <c r="K75" s="387"/>
      <c r="L75" s="851">
        <f t="shared" ref="L75:AJ75" si="93">L73/L79</f>
        <v>-1.2597737742083306</v>
      </c>
      <c r="M75" s="852">
        <f t="shared" si="93"/>
        <v>-0.4872815773535813</v>
      </c>
      <c r="N75" s="852">
        <f t="shared" si="93"/>
        <v>-0.69115175372639215</v>
      </c>
      <c r="O75" s="852">
        <f t="shared" si="93"/>
        <v>-0.68498341497704462</v>
      </c>
      <c r="P75" s="852">
        <f t="shared" si="93"/>
        <v>-0.58218678170310589</v>
      </c>
      <c r="Q75" s="851">
        <f t="shared" si="93"/>
        <v>-2.4474119854320713</v>
      </c>
      <c r="R75" s="852">
        <f>R73/R79</f>
        <v>0.1035690475132228</v>
      </c>
      <c r="S75" s="852">
        <f>S73/S79</f>
        <v>0.6677485034108307</v>
      </c>
      <c r="T75" s="852">
        <f>T73/T79</f>
        <v>1.6530087196753858</v>
      </c>
      <c r="U75" s="852">
        <f t="shared" si="93"/>
        <v>4.0124448766174501</v>
      </c>
      <c r="V75" s="851">
        <f>V73/V79</f>
        <v>6.5016120365394929</v>
      </c>
      <c r="W75" s="852">
        <f>W73/W78</f>
        <v>0.90404045021898283</v>
      </c>
      <c r="X75" s="852">
        <f>X73/X78</f>
        <v>0.78674590311543313</v>
      </c>
      <c r="Y75" s="852">
        <f>Y73/Y78</f>
        <v>1.2536796997684378</v>
      </c>
      <c r="Z75" s="852">
        <f>Z73/Z78</f>
        <v>0.86006201302451069</v>
      </c>
      <c r="AA75" s="851">
        <f t="shared" ref="AA75" si="94">AA73/AA78</f>
        <v>3.8131188786054464</v>
      </c>
      <c r="AB75" s="852">
        <f t="shared" ref="AB75:AH75" si="95">AB73/AB78</f>
        <v>0.58352578220434936</v>
      </c>
      <c r="AC75" s="852">
        <f t="shared" si="95"/>
        <v>0.82043138226343082</v>
      </c>
      <c r="AD75" s="852">
        <f t="shared" si="95"/>
        <v>0.702783952036653</v>
      </c>
      <c r="AE75" s="852">
        <f t="shared" si="95"/>
        <v>0.96437512035432316</v>
      </c>
      <c r="AF75" s="851">
        <f t="shared" si="95"/>
        <v>3.069083791099783</v>
      </c>
      <c r="AG75" s="852">
        <f t="shared" si="95"/>
        <v>0.66981898200298573</v>
      </c>
      <c r="AH75" s="852">
        <f t="shared" si="95"/>
        <v>1.6887444798237012</v>
      </c>
      <c r="AI75" s="852">
        <f t="shared" si="93"/>
        <v>1.813556984501872</v>
      </c>
      <c r="AJ75" s="852">
        <f t="shared" si="93"/>
        <v>1.3343941057947557</v>
      </c>
      <c r="AK75" s="851">
        <f t="shared" ref="AK75:AU75" si="96">AK73/AK78</f>
        <v>5.5149527032890733</v>
      </c>
      <c r="AL75" s="852">
        <f t="shared" si="96"/>
        <v>1.4509227159715681</v>
      </c>
      <c r="AM75" s="852">
        <f t="shared" si="96"/>
        <v>1.6881726905902887</v>
      </c>
      <c r="AN75" s="852">
        <f t="shared" si="96"/>
        <v>2.2736592653649979</v>
      </c>
      <c r="AO75" s="852">
        <f t="shared" si="96"/>
        <v>2.186021003903686</v>
      </c>
      <c r="AP75" s="851">
        <f t="shared" si="96"/>
        <v>7.6062094646141363</v>
      </c>
      <c r="AQ75" s="938">
        <f t="shared" si="96"/>
        <v>2.1631452747901925</v>
      </c>
      <c r="AR75" s="938">
        <f t="shared" si="96"/>
        <v>3.3386775962871424</v>
      </c>
      <c r="AS75" s="938">
        <f t="shared" si="96"/>
        <v>3.3184195235328282</v>
      </c>
      <c r="AT75" s="938">
        <f t="shared" si="96"/>
        <v>1.4994131657979202</v>
      </c>
      <c r="AU75" s="851">
        <f t="shared" si="96"/>
        <v>10.331459645327888</v>
      </c>
      <c r="AV75" s="938">
        <f t="shared" ref="AV75:BJ75" si="97">AV73/AV79</f>
        <v>3.3049027643739941</v>
      </c>
      <c r="AW75" s="938">
        <f t="shared" si="97"/>
        <v>3.6344528552641782</v>
      </c>
      <c r="AX75" s="938">
        <f t="shared" si="97"/>
        <v>3.598789462491276</v>
      </c>
      <c r="AY75" s="938">
        <f t="shared" si="97"/>
        <v>3.2051996267942537</v>
      </c>
      <c r="AZ75" s="851">
        <f t="shared" si="97"/>
        <v>13.663370166722967</v>
      </c>
      <c r="BA75" s="851">
        <f t="shared" si="97"/>
        <v>0</v>
      </c>
      <c r="BB75" s="851">
        <f t="shared" si="97"/>
        <v>0</v>
      </c>
      <c r="BC75" s="851">
        <f t="shared" si="97"/>
        <v>0</v>
      </c>
      <c r="BD75" s="851">
        <f t="shared" si="97"/>
        <v>0</v>
      </c>
      <c r="BE75" s="851">
        <f t="shared" si="97"/>
        <v>15.279248601375</v>
      </c>
      <c r="BF75" s="851">
        <f t="shared" si="97"/>
        <v>0</v>
      </c>
      <c r="BG75" s="851">
        <f t="shared" si="97"/>
        <v>0</v>
      </c>
      <c r="BH75" s="851">
        <f t="shared" si="97"/>
        <v>0</v>
      </c>
      <c r="BI75" s="851">
        <f t="shared" si="97"/>
        <v>0</v>
      </c>
      <c r="BJ75" s="851">
        <f t="shared" si="97"/>
        <v>18.353770004546423</v>
      </c>
      <c r="BK75" s="851"/>
      <c r="BL75" s="851"/>
      <c r="BM75" s="851"/>
      <c r="BN75" s="851"/>
      <c r="BO75" s="851">
        <f t="shared" ref="BO75" si="98">BO73/BO79</f>
        <v>21.140350588565244</v>
      </c>
      <c r="BT75" s="851">
        <f t="shared" ref="BT75" si="99">BT73/BT79</f>
        <v>24.272081417647435</v>
      </c>
      <c r="BY75" s="851">
        <f t="shared" ref="BY75" si="100">BY73/BY79</f>
        <v>26.561794748917759</v>
      </c>
      <c r="CD75" s="851">
        <f t="shared" ref="CD75" si="101">CD73/CD79</f>
        <v>28.875402035627339</v>
      </c>
      <c r="CI75" s="851">
        <f t="shared" ref="CI75" si="102">CI73/CI79</f>
        <v>30.921724851196458</v>
      </c>
      <c r="CN75" s="851">
        <f t="shared" ref="CN75" si="103">CN73/CN79</f>
        <v>30.683673610689617</v>
      </c>
      <c r="CS75" s="851">
        <f t="shared" ref="CS75" si="104">CS73/CS79</f>
        <v>29.418551449523825</v>
      </c>
      <c r="CX75" s="851">
        <f t="shared" ref="CX75" si="105">CX73/CX79</f>
        <v>30.243938692397936</v>
      </c>
      <c r="DC75" s="851">
        <f t="shared" ref="DC75" si="106">DC73/DC79</f>
        <v>27.734868520261148</v>
      </c>
      <c r="DH75" s="851">
        <f t="shared" ref="DH75" si="107">DH73/DH79</f>
        <v>28.88003462904032</v>
      </c>
      <c r="DJ75"/>
      <c r="DK75"/>
      <c r="DL75"/>
      <c r="DM75"/>
      <c r="DN75"/>
      <c r="DO75"/>
    </row>
    <row r="76" spans="1:119" s="155" customFormat="1" ht="12.75" customHeight="1">
      <c r="A76" s="144"/>
      <c r="B76" s="248"/>
      <c r="C76" s="387"/>
      <c r="D76" s="387"/>
      <c r="E76" s="387"/>
      <c r="F76" s="387"/>
      <c r="G76" s="249"/>
      <c r="H76" s="387"/>
      <c r="I76" s="387"/>
      <c r="J76" s="387"/>
      <c r="K76" s="387"/>
      <c r="L76" s="249"/>
      <c r="M76" s="387"/>
      <c r="N76" s="387"/>
      <c r="O76" s="387"/>
      <c r="P76" s="387"/>
      <c r="Q76" s="249"/>
      <c r="R76" s="387"/>
      <c r="S76" s="387"/>
      <c r="T76" s="387"/>
      <c r="U76" s="387"/>
      <c r="V76" s="249"/>
      <c r="W76" s="387"/>
      <c r="X76" s="387"/>
      <c r="Y76" s="387"/>
      <c r="Z76" s="387"/>
      <c r="AA76" s="249"/>
      <c r="AB76" s="388"/>
      <c r="AC76" s="388"/>
      <c r="AD76" s="388"/>
      <c r="AE76" s="388"/>
      <c r="AF76" s="250"/>
      <c r="AG76" s="388"/>
      <c r="AH76" s="388"/>
      <c r="AI76" s="388"/>
      <c r="AJ76" s="388"/>
      <c r="AK76" s="249"/>
      <c r="AL76" s="391"/>
      <c r="AM76" s="391"/>
      <c r="AN76" s="391"/>
      <c r="AO76" s="391"/>
      <c r="AP76" s="249"/>
      <c r="AQ76" s="936"/>
      <c r="AR76" s="936"/>
      <c r="AS76" s="936"/>
      <c r="AT76" s="936"/>
      <c r="AU76" s="249"/>
      <c r="AV76" s="936"/>
      <c r="AW76" s="936"/>
      <c r="AX76" s="936"/>
      <c r="AY76" s="936"/>
      <c r="AZ76" s="145"/>
      <c r="BA76" s="145"/>
      <c r="BB76" s="145"/>
      <c r="BC76" s="145"/>
      <c r="BD76" s="145"/>
      <c r="BE76" s="145"/>
      <c r="BF76" s="145"/>
      <c r="BG76" s="147"/>
      <c r="BH76" s="147"/>
      <c r="BI76" s="147"/>
      <c r="BJ76" s="147"/>
      <c r="BK76" s="147"/>
      <c r="BL76" s="147"/>
      <c r="BM76" s="147"/>
      <c r="BN76" s="147"/>
      <c r="BO76" s="147"/>
      <c r="BT76" s="147"/>
      <c r="BY76" s="147"/>
      <c r="CD76" s="147"/>
      <c r="CI76" s="147"/>
      <c r="CN76" s="147"/>
      <c r="CS76" s="147"/>
      <c r="CX76" s="147"/>
      <c r="DC76" s="147"/>
      <c r="DH76" s="147"/>
      <c r="DJ76"/>
      <c r="DK76"/>
      <c r="DL76"/>
      <c r="DM76"/>
      <c r="DN76"/>
      <c r="DO76"/>
    </row>
    <row r="77" spans="1:119" s="143" customFormat="1" ht="12.75" customHeight="1">
      <c r="A77" s="139"/>
      <c r="B77" s="129" t="s">
        <v>18</v>
      </c>
      <c r="C77" s="359">
        <v>79.498000000000005</v>
      </c>
      <c r="D77" s="359">
        <v>79.626000000000005</v>
      </c>
      <c r="E77" s="359">
        <v>79.866</v>
      </c>
      <c r="F77" s="359">
        <v>80.137</v>
      </c>
      <c r="G77" s="360">
        <v>79.781999999999996</v>
      </c>
      <c r="H77" s="359">
        <v>81.168999999999997</v>
      </c>
      <c r="I77" s="359">
        <v>81.492000000000004</v>
      </c>
      <c r="J77" s="359">
        <v>81.638000000000005</v>
      </c>
      <c r="K77" s="359">
        <v>87.405000000000001</v>
      </c>
      <c r="L77" s="360">
        <v>82.926000000000002</v>
      </c>
      <c r="M77" s="359">
        <v>89.162000000000006</v>
      </c>
      <c r="N77" s="359">
        <v>90.436000000000007</v>
      </c>
      <c r="O77" s="359">
        <v>91.046000000000006</v>
      </c>
      <c r="P77" s="359">
        <v>91.796999999999997</v>
      </c>
      <c r="Q77" s="360">
        <v>90.61</v>
      </c>
      <c r="R77" s="359">
        <v>93.445999999999998</v>
      </c>
      <c r="S77" s="359">
        <v>94.588999999999999</v>
      </c>
      <c r="T77" s="359">
        <v>95.012</v>
      </c>
      <c r="U77" s="359">
        <v>95.691000000000003</v>
      </c>
      <c r="V77" s="360">
        <v>94.685000000000002</v>
      </c>
      <c r="W77" s="359">
        <v>96.878</v>
      </c>
      <c r="X77" s="359">
        <v>97.7</v>
      </c>
      <c r="Y77" s="359">
        <v>98.225999999999999</v>
      </c>
      <c r="Z77" s="359">
        <v>98.861999999999995</v>
      </c>
      <c r="AA77" s="360">
        <v>97.917000000000002</v>
      </c>
      <c r="AB77" s="359">
        <v>98.709000000000003</v>
      </c>
      <c r="AC77" s="359">
        <v>100.39100000000001</v>
      </c>
      <c r="AD77" s="359">
        <v>100.79600000000001</v>
      </c>
      <c r="AE77" s="359">
        <v>101.467</v>
      </c>
      <c r="AF77" s="360">
        <v>100.61199999999999</v>
      </c>
      <c r="AG77" s="359">
        <v>102.227</v>
      </c>
      <c r="AH77" s="359">
        <v>102.886</v>
      </c>
      <c r="AI77" s="359">
        <v>103.348</v>
      </c>
      <c r="AJ77" s="359">
        <v>103.765</v>
      </c>
      <c r="AK77" s="360">
        <v>103.06100000000001</v>
      </c>
      <c r="AL77" s="882">
        <v>104.29</v>
      </c>
      <c r="AM77" s="882">
        <v>104.633</v>
      </c>
      <c r="AN77" s="882">
        <v>104.833</v>
      </c>
      <c r="AO77" s="882">
        <v>105.113</v>
      </c>
      <c r="AP77" s="151">
        <f>AVERAGE(AL77:AO77)</f>
        <v>104.71724999999999</v>
      </c>
      <c r="AQ77" s="973">
        <v>105.572</v>
      </c>
      <c r="AR77" s="973">
        <v>106.03400000000001</v>
      </c>
      <c r="AS77" s="973">
        <v>106.706</v>
      </c>
      <c r="AT77" s="973">
        <v>107.02200000000001</v>
      </c>
      <c r="AU77" s="151">
        <f>AVERAGE(AQ77:AT77)</f>
        <v>106.3335</v>
      </c>
      <c r="AV77" s="933">
        <f>AV78*(AT77/AT78)</f>
        <v>107.55398826331596</v>
      </c>
      <c r="AW77" s="933">
        <f>AW78*(AV77/AV78)</f>
        <v>107.78488594704685</v>
      </c>
      <c r="AX77" s="933">
        <f>AX78*(AW77/AW78)</f>
        <v>108.01578363077772</v>
      </c>
      <c r="AY77" s="933">
        <f>AY78*(AX77/AX78)</f>
        <v>108.24668131450861</v>
      </c>
      <c r="AZ77" s="151">
        <f>AVERAGE(AV77:AY77)</f>
        <v>107.90033478891229</v>
      </c>
      <c r="BA77" s="151">
        <f>BA78*(AY77/AY78)</f>
        <v>109.40116973316303</v>
      </c>
      <c r="BB77" s="151">
        <f>BB78*(BA77/BA78)</f>
        <v>110.55565815181745</v>
      </c>
      <c r="BC77" s="151">
        <f>BC78*(BB77/BB78)</f>
        <v>111.71014657047188</v>
      </c>
      <c r="BD77" s="151">
        <f>BD78*(BC77/BC78)</f>
        <v>112.8646349891263</v>
      </c>
      <c r="BE77" s="151">
        <f>AVERAGE(BA77:BD77)</f>
        <v>111.13290236114466</v>
      </c>
      <c r="BF77" s="151">
        <f>BF78*(BD77/BD78)</f>
        <v>114.01912340778073</v>
      </c>
      <c r="BG77" s="151">
        <f>BG78*(BF77/BF78)</f>
        <v>115.17361182643515</v>
      </c>
      <c r="BH77" s="151">
        <f>BH78*(BG77/BG78)</f>
        <v>116.32810024508957</v>
      </c>
      <c r="BI77" s="151">
        <f>BI78*(BH77/BH78)</f>
        <v>117.482588663744</v>
      </c>
      <c r="BJ77" s="161">
        <f>AVERAGE(BF77:BI77)</f>
        <v>115.75085603576235</v>
      </c>
      <c r="BK77" s="161">
        <f>BK78*(BI77/BI78)</f>
        <v>118.40617939866753</v>
      </c>
      <c r="BL77" s="161">
        <f>BL78*(BK77/BK78)</f>
        <v>119.32977013359108</v>
      </c>
      <c r="BM77" s="161">
        <f>BM78*(BL77/BL78)</f>
        <v>120.25336086851462</v>
      </c>
      <c r="BN77" s="161">
        <f>BN78*(BM77/BM78)</f>
        <v>121.17695160343816</v>
      </c>
      <c r="BO77" s="161">
        <f>AVERAGE(BK77:BN77)</f>
        <v>119.79156550105284</v>
      </c>
      <c r="BP77" s="161">
        <f>BP78*(BN77/BN78)</f>
        <v>122.10054233836169</v>
      </c>
      <c r="BQ77" s="161">
        <f>BQ78*(BP77/BP78)</f>
        <v>123.02413307328523</v>
      </c>
      <c r="BR77" s="161">
        <f>BR78*(BQ77/BQ78)</f>
        <v>123.94772380820876</v>
      </c>
      <c r="BS77" s="161">
        <f>BS78*(BR77/BR78)</f>
        <v>124.87131454313231</v>
      </c>
      <c r="BT77" s="161">
        <f>AVERAGE(BP77:BS77)</f>
        <v>123.485928440747</v>
      </c>
      <c r="BU77" s="161">
        <f>BU78*(BS77/BS78)</f>
        <v>125.67945643619041</v>
      </c>
      <c r="BV77" s="161">
        <f>BV78*(BU77/BU78)</f>
        <v>126.4875983292485</v>
      </c>
      <c r="BW77" s="161">
        <f>BW78*(BV77/BV78)</f>
        <v>127.29574022230661</v>
      </c>
      <c r="BX77" s="161">
        <f>BX78*(BW77/BW78)</f>
        <v>128.10388211536468</v>
      </c>
      <c r="BY77" s="161">
        <f>AVERAGE(BU77:BX77)</f>
        <v>126.89166927577755</v>
      </c>
      <c r="BZ77" s="161">
        <f>BZ78*(BX77/BX78)</f>
        <v>128.91202400842278</v>
      </c>
      <c r="CA77" s="161">
        <f>CA78*(BZ77/BZ78)</f>
        <v>129.72016590148087</v>
      </c>
      <c r="CB77" s="161">
        <f>CB78*(CA77/CA78)</f>
        <v>130.52830779453896</v>
      </c>
      <c r="CC77" s="161">
        <f>CC78*(CB77/CB78)</f>
        <v>131.33644968759705</v>
      </c>
      <c r="CD77" s="161">
        <f>AVERAGE(BZ77:CC77)</f>
        <v>130.1242368480099</v>
      </c>
      <c r="CE77" s="161">
        <f>CE78*(CC77/CC78)</f>
        <v>132.02914273878972</v>
      </c>
      <c r="CF77" s="161">
        <f>CF78*(CE77/CE78)</f>
        <v>132.72183578998238</v>
      </c>
      <c r="CG77" s="161">
        <f>CG78*(CF77/CF78)</f>
        <v>133.41452884117504</v>
      </c>
      <c r="CH77" s="161">
        <f>CH78*(CG77/CG78)</f>
        <v>134.1072218923677</v>
      </c>
      <c r="CI77" s="161">
        <f>AVERAGE(CE77:CH77)</f>
        <v>133.06818231557872</v>
      </c>
      <c r="CJ77" s="161">
        <f>CJ78*(CH77/CH78)</f>
        <v>134.79991494356037</v>
      </c>
      <c r="CK77" s="161">
        <f>CK78*(CJ77/CJ78)</f>
        <v>135.49260799475303</v>
      </c>
      <c r="CL77" s="161">
        <f>CL78*(CK77/CK78)</f>
        <v>136.18530104594566</v>
      </c>
      <c r="CM77" s="161">
        <f>CM78*(CL77/CL78)</f>
        <v>136.87799409713833</v>
      </c>
      <c r="CN77" s="161">
        <f>AVERAGE(CJ77:CM77)</f>
        <v>135.83895452034935</v>
      </c>
      <c r="CO77" s="161">
        <f>CO78*(CM77/CM78)</f>
        <v>137.45523830646553</v>
      </c>
      <c r="CP77" s="161">
        <f>CP78*(CO77/CO78)</f>
        <v>138.03248251579274</v>
      </c>
      <c r="CQ77" s="161">
        <f>CQ78*(CP77/CP78)</f>
        <v>138.60972672511994</v>
      </c>
      <c r="CR77" s="161">
        <f>CR78*(CQ77/CQ78)</f>
        <v>139.18697093444715</v>
      </c>
      <c r="CS77" s="161">
        <f>AVERAGE(CO77:CR77)</f>
        <v>138.32110462045634</v>
      </c>
      <c r="CT77" s="161">
        <f>CT78*(CR77/CR78)</f>
        <v>139.76421514377435</v>
      </c>
      <c r="CU77" s="161">
        <f>CU78*(CT77/CT78)</f>
        <v>140.34145935310158</v>
      </c>
      <c r="CV77" s="161">
        <f>CV78*(CU77/CU78)</f>
        <v>140.91870356242879</v>
      </c>
      <c r="CW77" s="161">
        <f>CW78*(CV77/CV78)</f>
        <v>141.49594777175599</v>
      </c>
      <c r="CX77" s="161">
        <f>AVERAGE(CT77:CW77)</f>
        <v>140.63008145776519</v>
      </c>
      <c r="CY77" s="161">
        <f>CY78*(CW77/CW78)</f>
        <v>141.95774313921777</v>
      </c>
      <c r="CZ77" s="161">
        <f>CZ78*(CY77/CY78)</f>
        <v>142.41953850667954</v>
      </c>
      <c r="DA77" s="161">
        <f>DA78*(CZ77/CZ78)</f>
        <v>142.88133387414132</v>
      </c>
      <c r="DB77" s="161">
        <f>DB78*(DA77/DA78)</f>
        <v>143.34312924160309</v>
      </c>
      <c r="DC77" s="161">
        <f>AVERAGE(CY77:DB77)</f>
        <v>142.65043619041043</v>
      </c>
      <c r="DD77" s="161">
        <f>DD78*(DB77/DB78)</f>
        <v>143.80492460906487</v>
      </c>
      <c r="DE77" s="161">
        <f>DE78*(DD77/DD78)</f>
        <v>144.26671997652664</v>
      </c>
      <c r="DF77" s="161">
        <f>DF78*(DE77/DE78)</f>
        <v>144.72851534398842</v>
      </c>
      <c r="DG77" s="161">
        <f>DG78*(DF77/DF78)</f>
        <v>145.19031071145019</v>
      </c>
      <c r="DH77" s="161">
        <f>AVERAGE(DD77:DG77)</f>
        <v>144.49761766025753</v>
      </c>
      <c r="DJ77"/>
      <c r="DK77"/>
      <c r="DL77"/>
      <c r="DM77"/>
      <c r="DN77"/>
      <c r="DO77"/>
    </row>
    <row r="78" spans="1:119" s="143" customFormat="1" ht="12.75" customHeight="1">
      <c r="A78" s="139"/>
      <c r="B78" s="129" t="s">
        <v>756</v>
      </c>
      <c r="C78" s="359">
        <v>79.498000000000005</v>
      </c>
      <c r="D78" s="359">
        <v>79.626000000000005</v>
      </c>
      <c r="E78" s="359">
        <v>79.866</v>
      </c>
      <c r="F78" s="359">
        <v>80.137</v>
      </c>
      <c r="G78" s="360">
        <v>79.781999999999996</v>
      </c>
      <c r="H78" s="359">
        <v>81.168999999999997</v>
      </c>
      <c r="I78" s="359">
        <v>81.492000000000004</v>
      </c>
      <c r="J78" s="359">
        <v>81.638000000000005</v>
      </c>
      <c r="K78" s="359">
        <v>87.405000000000001</v>
      </c>
      <c r="L78" s="360">
        <v>82.926000000000002</v>
      </c>
      <c r="M78" s="359">
        <v>89.162000000000006</v>
      </c>
      <c r="N78" s="359">
        <v>90.436000000000007</v>
      </c>
      <c r="O78" s="359">
        <v>91.046000000000006</v>
      </c>
      <c r="P78" s="359">
        <v>91.796999999999997</v>
      </c>
      <c r="Q78" s="360">
        <v>90.61</v>
      </c>
      <c r="R78" s="359">
        <v>107.73399999999999</v>
      </c>
      <c r="S78" s="359">
        <v>110.167</v>
      </c>
      <c r="T78" s="359">
        <v>115.83</v>
      </c>
      <c r="U78" s="359">
        <v>117.23699999999999</v>
      </c>
      <c r="V78" s="360">
        <v>115.38200000000001</v>
      </c>
      <c r="W78" s="359">
        <v>109.369</v>
      </c>
      <c r="X78" s="359">
        <v>111.06</v>
      </c>
      <c r="Y78" s="359">
        <v>112.71299999999999</v>
      </c>
      <c r="Z78" s="359">
        <v>112.557</v>
      </c>
      <c r="AA78" s="360">
        <v>111.29</v>
      </c>
      <c r="AB78" s="359">
        <v>112.151</v>
      </c>
      <c r="AC78" s="359">
        <v>113.032</v>
      </c>
      <c r="AD78" s="359">
        <v>117.423</v>
      </c>
      <c r="AE78" s="359">
        <v>114.246</v>
      </c>
      <c r="AF78" s="360">
        <v>113.413</v>
      </c>
      <c r="AG78" s="359">
        <v>114.51900000000001</v>
      </c>
      <c r="AH78" s="359">
        <v>115.259</v>
      </c>
      <c r="AI78" s="359">
        <v>116.014</v>
      </c>
      <c r="AJ78" s="359">
        <v>115.496</v>
      </c>
      <c r="AK78" s="360">
        <v>115.23</v>
      </c>
      <c r="AL78" s="882">
        <v>114.22799999999999</v>
      </c>
      <c r="AM78" s="882">
        <v>116.23099999999999</v>
      </c>
      <c r="AN78" s="882">
        <v>116.46599999999999</v>
      </c>
      <c r="AO78" s="882">
        <v>115.788</v>
      </c>
      <c r="AP78" s="151">
        <f>AVERAGE(AL78:AO78)</f>
        <v>115.67825000000001</v>
      </c>
      <c r="AQ78" s="973">
        <v>115.10599999999999</v>
      </c>
      <c r="AR78" s="973">
        <v>116.137</v>
      </c>
      <c r="AS78" s="973">
        <v>117.02800000000001</v>
      </c>
      <c r="AT78" s="973">
        <v>115.876</v>
      </c>
      <c r="AU78" s="151">
        <f>AVERAGE(AQ78:AT78)</f>
        <v>116.03675000000001</v>
      </c>
      <c r="AV78" s="933">
        <f t="shared" ref="AV78:DD78" si="108">AV79</f>
        <v>116.452</v>
      </c>
      <c r="AW78" s="933">
        <f t="shared" si="108"/>
        <v>116.702</v>
      </c>
      <c r="AX78" s="933">
        <f t="shared" si="108"/>
        <v>116.952</v>
      </c>
      <c r="AY78" s="933">
        <f t="shared" si="108"/>
        <v>117.202</v>
      </c>
      <c r="AZ78" s="151">
        <f t="shared" si="108"/>
        <v>117.50775</v>
      </c>
      <c r="BA78" s="151">
        <f t="shared" si="108"/>
        <v>118.452</v>
      </c>
      <c r="BB78" s="151">
        <f t="shared" si="108"/>
        <v>119.702</v>
      </c>
      <c r="BC78" s="151">
        <f t="shared" si="108"/>
        <v>120.952</v>
      </c>
      <c r="BD78" s="151">
        <f t="shared" si="108"/>
        <v>122.202</v>
      </c>
      <c r="BE78" s="151">
        <f t="shared" si="108"/>
        <v>122.50775</v>
      </c>
      <c r="BF78" s="151">
        <f t="shared" si="108"/>
        <v>123.452</v>
      </c>
      <c r="BG78" s="151">
        <f t="shared" si="108"/>
        <v>124.702</v>
      </c>
      <c r="BH78" s="151">
        <f t="shared" si="108"/>
        <v>125.952</v>
      </c>
      <c r="BI78" s="151">
        <f t="shared" si="108"/>
        <v>127.202</v>
      </c>
      <c r="BJ78" s="161">
        <f t="shared" si="108"/>
        <v>127.50775</v>
      </c>
      <c r="BK78" s="161">
        <f t="shared" si="108"/>
        <v>128.202</v>
      </c>
      <c r="BL78" s="161">
        <f t="shared" si="108"/>
        <v>129.202</v>
      </c>
      <c r="BM78" s="161">
        <f t="shared" si="108"/>
        <v>130.202</v>
      </c>
      <c r="BN78" s="161">
        <f t="shared" si="108"/>
        <v>131.202</v>
      </c>
      <c r="BO78" s="161">
        <f t="shared" ref="BO78" si="109">BO79</f>
        <v>131.50774999999999</v>
      </c>
      <c r="BP78" s="161">
        <f t="shared" si="108"/>
        <v>132.202</v>
      </c>
      <c r="BQ78" s="161">
        <f t="shared" si="108"/>
        <v>133.202</v>
      </c>
      <c r="BR78" s="161">
        <f t="shared" si="108"/>
        <v>134.202</v>
      </c>
      <c r="BS78" s="161">
        <f t="shared" si="108"/>
        <v>135.202</v>
      </c>
      <c r="BT78" s="161">
        <f t="shared" ref="BT78" si="110">BT79</f>
        <v>135.50774999999999</v>
      </c>
      <c r="BU78" s="161">
        <f t="shared" si="108"/>
        <v>136.077</v>
      </c>
      <c r="BV78" s="161">
        <f t="shared" si="108"/>
        <v>136.952</v>
      </c>
      <c r="BW78" s="161">
        <f t="shared" si="108"/>
        <v>137.827</v>
      </c>
      <c r="BX78" s="161">
        <f t="shared" si="108"/>
        <v>138.702</v>
      </c>
      <c r="BY78" s="161">
        <f t="shared" ref="BY78" si="111">BY79</f>
        <v>139.00774999999999</v>
      </c>
      <c r="BZ78" s="161">
        <f t="shared" si="108"/>
        <v>139.577</v>
      </c>
      <c r="CA78" s="161">
        <f t="shared" si="108"/>
        <v>140.452</v>
      </c>
      <c r="CB78" s="161">
        <f t="shared" si="108"/>
        <v>141.327</v>
      </c>
      <c r="CC78" s="161">
        <f t="shared" si="108"/>
        <v>142.202</v>
      </c>
      <c r="CD78" s="161">
        <f t="shared" ref="CD78" si="112">CD79</f>
        <v>142.50774999999999</v>
      </c>
      <c r="CE78" s="161">
        <f t="shared" si="108"/>
        <v>142.952</v>
      </c>
      <c r="CF78" s="161">
        <f t="shared" si="108"/>
        <v>143.702</v>
      </c>
      <c r="CG78" s="161">
        <f t="shared" si="108"/>
        <v>144.452</v>
      </c>
      <c r="CH78" s="161">
        <f t="shared" si="108"/>
        <v>145.202</v>
      </c>
      <c r="CI78" s="161">
        <f t="shared" ref="CI78" si="113">CI79</f>
        <v>145.50774999999999</v>
      </c>
      <c r="CJ78" s="161">
        <f t="shared" si="108"/>
        <v>145.952</v>
      </c>
      <c r="CK78" s="161">
        <f t="shared" si="108"/>
        <v>146.702</v>
      </c>
      <c r="CL78" s="161">
        <f t="shared" si="108"/>
        <v>147.452</v>
      </c>
      <c r="CM78" s="161">
        <f t="shared" si="108"/>
        <v>148.202</v>
      </c>
      <c r="CN78" s="161">
        <f t="shared" ref="CN78" si="114">CN79</f>
        <v>148.50774999999999</v>
      </c>
      <c r="CO78" s="161">
        <f t="shared" si="108"/>
        <v>148.827</v>
      </c>
      <c r="CP78" s="161">
        <f t="shared" si="108"/>
        <v>149.452</v>
      </c>
      <c r="CQ78" s="161">
        <f t="shared" si="108"/>
        <v>150.077</v>
      </c>
      <c r="CR78" s="161">
        <f t="shared" si="108"/>
        <v>150.702</v>
      </c>
      <c r="CS78" s="161">
        <f t="shared" ref="CS78" si="115">CS79</f>
        <v>151.00774999999999</v>
      </c>
      <c r="CT78" s="161">
        <f t="shared" si="108"/>
        <v>151.327</v>
      </c>
      <c r="CU78" s="161">
        <f t="shared" si="108"/>
        <v>151.952</v>
      </c>
      <c r="CV78" s="161">
        <f t="shared" si="108"/>
        <v>152.577</v>
      </c>
      <c r="CW78" s="161">
        <f t="shared" si="108"/>
        <v>153.202</v>
      </c>
      <c r="CX78" s="161">
        <f t="shared" ref="CX78" si="116">CX79</f>
        <v>153.50774999999999</v>
      </c>
      <c r="CY78" s="161">
        <f t="shared" si="108"/>
        <v>153.702</v>
      </c>
      <c r="CZ78" s="161">
        <f t="shared" si="108"/>
        <v>154.202</v>
      </c>
      <c r="DA78" s="161">
        <f t="shared" si="108"/>
        <v>154.702</v>
      </c>
      <c r="DB78" s="161">
        <f t="shared" si="108"/>
        <v>155.202</v>
      </c>
      <c r="DC78" s="161">
        <f t="shared" ref="DC78" si="117">DC79</f>
        <v>155.50774999999999</v>
      </c>
      <c r="DD78" s="161">
        <f t="shared" si="108"/>
        <v>155.702</v>
      </c>
      <c r="DE78" s="161">
        <f t="shared" ref="DE78:DG78" si="118">DE79</f>
        <v>156.202</v>
      </c>
      <c r="DF78" s="161">
        <f t="shared" si="118"/>
        <v>156.702</v>
      </c>
      <c r="DG78" s="161">
        <f t="shared" si="118"/>
        <v>157.202</v>
      </c>
      <c r="DH78" s="161">
        <f t="shared" ref="DH78" si="119">DH79</f>
        <v>157.50774999999999</v>
      </c>
      <c r="DJ78"/>
      <c r="DK78"/>
      <c r="DL78"/>
      <c r="DM78"/>
      <c r="DN78"/>
      <c r="DO78"/>
    </row>
    <row r="79" spans="1:119" s="143" customFormat="1" ht="12.75" customHeight="1">
      <c r="A79" s="139"/>
      <c r="B79" s="129" t="s">
        <v>757</v>
      </c>
      <c r="C79" s="359">
        <f>C77</f>
        <v>79.498000000000005</v>
      </c>
      <c r="D79" s="359">
        <f>D77</f>
        <v>79.626000000000005</v>
      </c>
      <c r="E79" s="359">
        <f>E77</f>
        <v>79.866</v>
      </c>
      <c r="F79" s="359">
        <v>80.137</v>
      </c>
      <c r="G79" s="360">
        <f>G77</f>
        <v>79.781999999999996</v>
      </c>
      <c r="H79" s="359">
        <v>81.168999999999997</v>
      </c>
      <c r="I79" s="359">
        <v>81.492000000000004</v>
      </c>
      <c r="J79" s="359">
        <v>81.638000000000005</v>
      </c>
      <c r="K79" s="359">
        <v>87.405000000000001</v>
      </c>
      <c r="L79" s="360">
        <v>82.926000000000002</v>
      </c>
      <c r="M79" s="359">
        <v>89.162000000000006</v>
      </c>
      <c r="N79" s="359">
        <v>90.436000000000007</v>
      </c>
      <c r="O79" s="359">
        <v>91.046000000000006</v>
      </c>
      <c r="P79" s="359">
        <v>91.796999999999997</v>
      </c>
      <c r="Q79" s="360">
        <v>90.61</v>
      </c>
      <c r="R79" s="359">
        <v>112.495</v>
      </c>
      <c r="S79" s="359">
        <v>114.928</v>
      </c>
      <c r="T79" s="359">
        <v>115.83</v>
      </c>
      <c r="U79" s="359">
        <v>117.23699999999999</v>
      </c>
      <c r="V79" s="360">
        <v>115.38200000000001</v>
      </c>
      <c r="W79" s="359">
        <v>113.73</v>
      </c>
      <c r="X79" s="359">
        <v>115.261</v>
      </c>
      <c r="Y79" s="359">
        <v>116.068</v>
      </c>
      <c r="Z79" s="359">
        <v>116.74</v>
      </c>
      <c r="AA79" s="360">
        <v>115.343</v>
      </c>
      <c r="AB79" s="359">
        <v>117.18600000000001</v>
      </c>
      <c r="AC79" s="359">
        <v>117.80500000000001</v>
      </c>
      <c r="AD79" s="359">
        <v>117.642</v>
      </c>
      <c r="AE79" s="359">
        <v>117.825</v>
      </c>
      <c r="AF79" s="360">
        <v>117.96599999999999</v>
      </c>
      <c r="AG79" s="359">
        <v>116.506</v>
      </c>
      <c r="AH79" s="359">
        <v>116.977</v>
      </c>
      <c r="AI79" s="359">
        <f>AI78</f>
        <v>116.014</v>
      </c>
      <c r="AJ79" s="359">
        <v>115.639</v>
      </c>
      <c r="AK79" s="360">
        <v>116.355</v>
      </c>
      <c r="AL79" s="882">
        <v>113.85899999999999</v>
      </c>
      <c r="AM79" s="882">
        <v>116.523</v>
      </c>
      <c r="AN79" s="882">
        <v>116.64400000000001</v>
      </c>
      <c r="AO79" s="882">
        <v>115.887</v>
      </c>
      <c r="AP79" s="151">
        <f>AVERAGE(AL79:AO79)</f>
        <v>115.72825</v>
      </c>
      <c r="AQ79" s="973">
        <v>115.178</v>
      </c>
      <c r="AR79" s="973">
        <v>116.83199999999999</v>
      </c>
      <c r="AS79" s="973">
        <v>117.819</v>
      </c>
      <c r="AT79" s="973">
        <v>116.202</v>
      </c>
      <c r="AU79" s="151">
        <f>AVERAGE(AQ79:AT79)</f>
        <v>116.50775</v>
      </c>
      <c r="AV79" s="933">
        <f>AT79+(AZ79-AU79)/4</f>
        <v>116.452</v>
      </c>
      <c r="AW79" s="933">
        <f>AV79+(AZ79-AU79)/4</f>
        <v>116.702</v>
      </c>
      <c r="AX79" s="933">
        <f>AW79+(AZ79-AU79)/4</f>
        <v>116.952</v>
      </c>
      <c r="AY79" s="933">
        <f>AX79+(AZ79-AU79)/4</f>
        <v>117.202</v>
      </c>
      <c r="AZ79" s="151">
        <f>AU79+1</f>
        <v>117.50775</v>
      </c>
      <c r="BA79" s="151">
        <f>AY79+(BE79-AZ79)/4</f>
        <v>118.452</v>
      </c>
      <c r="BB79" s="151">
        <f>BA79+(BE79-AZ79)/4</f>
        <v>119.702</v>
      </c>
      <c r="BC79" s="151">
        <f>BB79+(BE79-AZ79)/4</f>
        <v>120.952</v>
      </c>
      <c r="BD79" s="151">
        <f>BC79+(BE79-AZ79)/4</f>
        <v>122.202</v>
      </c>
      <c r="BE79" s="151">
        <f>AZ79+5</f>
        <v>122.50775</v>
      </c>
      <c r="BF79" s="151">
        <f>BD79+(BJ79-BE79)/4</f>
        <v>123.452</v>
      </c>
      <c r="BG79" s="151">
        <f>BF79+(BJ79-BE79)/4</f>
        <v>124.702</v>
      </c>
      <c r="BH79" s="151">
        <f>BG79+(BJ79-BE79)/4</f>
        <v>125.952</v>
      </c>
      <c r="BI79" s="151">
        <f>BH79+(BJ79-BE79)/4</f>
        <v>127.202</v>
      </c>
      <c r="BJ79" s="151">
        <f>BE79+5</f>
        <v>127.50775</v>
      </c>
      <c r="BK79" s="151">
        <f>BI79+(BO79-BJ79)/4</f>
        <v>128.202</v>
      </c>
      <c r="BL79" s="151">
        <f>BK79+(BO79-BJ79)/4</f>
        <v>129.202</v>
      </c>
      <c r="BM79" s="151">
        <f>BL79+(BO79-BJ79)/4</f>
        <v>130.202</v>
      </c>
      <c r="BN79" s="151">
        <f>BM79+(BO79-BJ79)/4</f>
        <v>131.202</v>
      </c>
      <c r="BO79" s="151">
        <f>BJ79+4</f>
        <v>131.50774999999999</v>
      </c>
      <c r="BP79" s="151">
        <f>BN79+(BT79-BO79)/4</f>
        <v>132.202</v>
      </c>
      <c r="BQ79" s="151">
        <f>BP79+(BT79-BO79)/4</f>
        <v>133.202</v>
      </c>
      <c r="BR79" s="151">
        <f>BQ79+(BT79-BO79)/4</f>
        <v>134.202</v>
      </c>
      <c r="BS79" s="151">
        <f>BR79+(BT79-BO79)/4</f>
        <v>135.202</v>
      </c>
      <c r="BT79" s="151">
        <f>BO79+4</f>
        <v>135.50774999999999</v>
      </c>
      <c r="BU79" s="151">
        <f>BS79+(BY79-BT79)/4</f>
        <v>136.077</v>
      </c>
      <c r="BV79" s="151">
        <f>BU79+(BY79-BT79)/4</f>
        <v>136.952</v>
      </c>
      <c r="BW79" s="151">
        <f>BV79+(BY79-BT79)/4</f>
        <v>137.827</v>
      </c>
      <c r="BX79" s="151">
        <f>BW79+(BY79-BT79)/4</f>
        <v>138.702</v>
      </c>
      <c r="BY79" s="151">
        <f>BT79+3.5</f>
        <v>139.00774999999999</v>
      </c>
      <c r="BZ79" s="151">
        <f>BX79+(CD79-BY79)/4</f>
        <v>139.577</v>
      </c>
      <c r="CA79" s="151">
        <f>BZ79+(CD79-BY79)/4</f>
        <v>140.452</v>
      </c>
      <c r="CB79" s="151">
        <f>CA79+(CD79-BY79)/4</f>
        <v>141.327</v>
      </c>
      <c r="CC79" s="151">
        <f>CB79+(CD79-BY79)/4</f>
        <v>142.202</v>
      </c>
      <c r="CD79" s="151">
        <f>BY79+3.5</f>
        <v>142.50774999999999</v>
      </c>
      <c r="CE79" s="151">
        <f>CC79+(CI79-CD79)/4</f>
        <v>142.952</v>
      </c>
      <c r="CF79" s="151">
        <f>CE79+(CI79-CD79)/4</f>
        <v>143.702</v>
      </c>
      <c r="CG79" s="151">
        <f>CF79+(CI79-CD79)/4</f>
        <v>144.452</v>
      </c>
      <c r="CH79" s="151">
        <f>CG79+(CI79-CD79)/4</f>
        <v>145.202</v>
      </c>
      <c r="CI79" s="151">
        <f>CD79+3</f>
        <v>145.50774999999999</v>
      </c>
      <c r="CJ79" s="151">
        <f>CH79+(CN79-CI79)/4</f>
        <v>145.952</v>
      </c>
      <c r="CK79" s="151">
        <f>CJ79+(CN79-CI79)/4</f>
        <v>146.702</v>
      </c>
      <c r="CL79" s="151">
        <f>CK79+(CN79-CI79)/4</f>
        <v>147.452</v>
      </c>
      <c r="CM79" s="151">
        <f>CL79+(CN79-CI79)/4</f>
        <v>148.202</v>
      </c>
      <c r="CN79" s="151">
        <f>CI79+3</f>
        <v>148.50774999999999</v>
      </c>
      <c r="CO79" s="151">
        <f>CM79+(CS79-CN79)/4</f>
        <v>148.827</v>
      </c>
      <c r="CP79" s="151">
        <f>CO79+(CS79-CN79)/4</f>
        <v>149.452</v>
      </c>
      <c r="CQ79" s="151">
        <f>CP79+(CS79-CN79)/4</f>
        <v>150.077</v>
      </c>
      <c r="CR79" s="151">
        <f>CQ79+(CS79-CN79)/4</f>
        <v>150.702</v>
      </c>
      <c r="CS79" s="151">
        <f>CN79+2.5</f>
        <v>151.00774999999999</v>
      </c>
      <c r="CT79" s="151">
        <f>CR79+(CX79-CS79)/4</f>
        <v>151.327</v>
      </c>
      <c r="CU79" s="151">
        <f>CT79+(CX79-CS79)/4</f>
        <v>151.952</v>
      </c>
      <c r="CV79" s="151">
        <f>CU79+(CX79-CS79)/4</f>
        <v>152.577</v>
      </c>
      <c r="CW79" s="151">
        <f>CV79+(CX79-CS79)/4</f>
        <v>153.202</v>
      </c>
      <c r="CX79" s="151">
        <f>CS79+2.5</f>
        <v>153.50774999999999</v>
      </c>
      <c r="CY79" s="151">
        <f>CW79+(DC79-CX79)/4</f>
        <v>153.702</v>
      </c>
      <c r="CZ79" s="151">
        <f>CY79+(DC79-CX79)/4</f>
        <v>154.202</v>
      </c>
      <c r="DA79" s="151">
        <f>CZ79+(DC79-CX79)/4</f>
        <v>154.702</v>
      </c>
      <c r="DB79" s="151">
        <f>DA79+(DC79-CX79)/4</f>
        <v>155.202</v>
      </c>
      <c r="DC79" s="151">
        <f>CX79+2</f>
        <v>155.50774999999999</v>
      </c>
      <c r="DD79" s="151">
        <f>DB79+(DH79-DC79)/4</f>
        <v>155.702</v>
      </c>
      <c r="DE79" s="151">
        <f>DD79+(DH79-DC79)/4</f>
        <v>156.202</v>
      </c>
      <c r="DF79" s="151">
        <f>DE79+(DH79-DC79)/4</f>
        <v>156.702</v>
      </c>
      <c r="DG79" s="151">
        <f>DF79+(DH79-DC79)/4</f>
        <v>157.202</v>
      </c>
      <c r="DH79" s="151">
        <f>DC79+2</f>
        <v>157.50774999999999</v>
      </c>
      <c r="DJ79"/>
      <c r="DK79"/>
      <c r="DL79"/>
      <c r="DM79"/>
      <c r="DN79"/>
      <c r="DO79"/>
    </row>
    <row r="80" spans="1:119" s="143" customFormat="1" ht="12.75" customHeight="1" thickBot="1">
      <c r="A80" s="139"/>
      <c r="B80" s="129"/>
      <c r="C80" s="129"/>
      <c r="D80" s="129"/>
      <c r="E80" s="129"/>
      <c r="F80" s="129"/>
      <c r="G80" s="129"/>
      <c r="H80" s="129"/>
      <c r="I80" s="129"/>
      <c r="J80" s="129"/>
      <c r="K80" s="129"/>
      <c r="L80" s="129"/>
      <c r="M80" s="129"/>
      <c r="N80" s="129"/>
      <c r="O80" s="129"/>
      <c r="P80" s="129"/>
      <c r="Q80" s="129"/>
      <c r="R80" s="129"/>
      <c r="S80" s="129"/>
      <c r="T80" s="129"/>
      <c r="U80" s="129"/>
      <c r="V80" s="129"/>
      <c r="W80" s="129"/>
      <c r="X80" s="129"/>
      <c r="Y80" s="129"/>
      <c r="Z80" s="129"/>
      <c r="AA80" s="129"/>
      <c r="AB80" s="129"/>
      <c r="AC80" s="129"/>
      <c r="AD80" s="129"/>
      <c r="AE80" s="129"/>
      <c r="AF80" s="129"/>
      <c r="AG80" s="129"/>
      <c r="AH80" s="129"/>
      <c r="AI80" s="129"/>
      <c r="AJ80" s="129"/>
      <c r="AK80" s="129"/>
      <c r="AL80" s="129"/>
      <c r="AM80" s="129"/>
      <c r="AN80" s="129"/>
      <c r="AO80" s="129"/>
      <c r="AP80" s="129"/>
      <c r="AQ80" s="129"/>
      <c r="AR80" s="129"/>
      <c r="AS80" s="129"/>
      <c r="AT80" s="129"/>
      <c r="AU80" s="129"/>
      <c r="AV80" s="129"/>
      <c r="AW80" s="129"/>
      <c r="AX80" s="129"/>
      <c r="AY80" s="129"/>
      <c r="AZ80" s="129"/>
      <c r="BA80" s="129"/>
      <c r="BB80" s="129"/>
      <c r="BC80" s="129"/>
      <c r="BD80" s="129"/>
      <c r="BE80" s="129"/>
      <c r="BF80" s="129"/>
      <c r="DJ80"/>
      <c r="DK80"/>
      <c r="DL80"/>
      <c r="DM80"/>
      <c r="DN80"/>
      <c r="DO80"/>
    </row>
    <row r="81" spans="1:119" s="143" customFormat="1" ht="12.75" customHeight="1" thickBot="1">
      <c r="A81" s="139"/>
      <c r="B81" s="398" t="s">
        <v>19</v>
      </c>
      <c r="C81" s="399"/>
      <c r="D81" s="399"/>
      <c r="E81" s="399"/>
      <c r="F81" s="399"/>
      <c r="G81" s="399"/>
      <c r="H81" s="399"/>
      <c r="I81" s="399"/>
      <c r="J81" s="399"/>
      <c r="K81" s="399"/>
      <c r="L81" s="399"/>
      <c r="M81" s="399"/>
      <c r="N81" s="399"/>
      <c r="O81" s="399"/>
      <c r="P81" s="399"/>
      <c r="Q81" s="399"/>
      <c r="R81" s="399"/>
      <c r="S81" s="399"/>
      <c r="T81" s="399"/>
      <c r="U81" s="399"/>
      <c r="V81" s="399"/>
      <c r="W81" s="399"/>
      <c r="X81" s="399"/>
      <c r="Y81" s="399"/>
      <c r="Z81" s="399"/>
      <c r="AA81" s="399"/>
      <c r="AB81" s="399"/>
      <c r="AC81" s="399"/>
      <c r="AD81" s="399"/>
      <c r="AE81" s="399"/>
      <c r="AF81" s="399"/>
      <c r="AG81" s="399"/>
      <c r="AH81" s="399"/>
      <c r="AI81" s="399"/>
      <c r="AJ81" s="399"/>
      <c r="AK81" s="399"/>
      <c r="AL81" s="399"/>
      <c r="AM81" s="399"/>
      <c r="AN81" s="399"/>
      <c r="AO81" s="399"/>
      <c r="AP81" s="399"/>
      <c r="AQ81" s="399"/>
      <c r="AR81" s="399"/>
      <c r="AS81" s="399"/>
      <c r="AT81" s="399"/>
      <c r="AU81" s="399"/>
      <c r="AV81" s="399"/>
      <c r="AW81" s="399"/>
      <c r="AX81" s="399"/>
      <c r="AY81" s="399"/>
      <c r="AZ81" s="399"/>
      <c r="BA81" s="399"/>
      <c r="BB81" s="399"/>
      <c r="BC81" s="399"/>
      <c r="BD81" s="399"/>
      <c r="BE81" s="399"/>
      <c r="BF81" s="399"/>
      <c r="BG81" s="400"/>
      <c r="BH81" s="400"/>
      <c r="BI81" s="400"/>
      <c r="BJ81" s="400"/>
      <c r="BK81" s="548"/>
      <c r="BL81" s="548"/>
      <c r="BM81" s="548"/>
      <c r="BN81" s="548"/>
      <c r="BO81" s="400"/>
      <c r="BT81" s="400"/>
      <c r="BY81" s="400"/>
      <c r="CD81" s="400"/>
      <c r="CI81" s="400"/>
      <c r="CN81" s="400"/>
      <c r="CS81" s="400"/>
      <c r="CX81" s="400"/>
      <c r="DC81" s="400"/>
      <c r="DH81" s="400"/>
      <c r="DJ81"/>
      <c r="DK81"/>
      <c r="DL81"/>
      <c r="DM81"/>
      <c r="DN81"/>
      <c r="DO81"/>
    </row>
    <row r="82" spans="1:119" s="143" customFormat="1" ht="12.75" customHeight="1">
      <c r="A82" s="139"/>
      <c r="B82" s="128" t="s">
        <v>224</v>
      </c>
      <c r="C82" s="401"/>
      <c r="D82" s="401"/>
      <c r="E82" s="401"/>
      <c r="F82" s="401"/>
      <c r="G82" s="175"/>
      <c r="H82" s="401">
        <f t="shared" ref="H82:AP82" si="120">(H4-H13-H14)/H4</f>
        <v>0.92722289890377585</v>
      </c>
      <c r="I82" s="401">
        <f t="shared" si="120"/>
        <v>0.92207042524533378</v>
      </c>
      <c r="J82" s="401">
        <f t="shared" si="120"/>
        <v>0.92463533225283634</v>
      </c>
      <c r="K82" s="401">
        <f t="shared" si="120"/>
        <v>0.8863161890301765</v>
      </c>
      <c r="L82" s="205">
        <f t="shared" si="120"/>
        <v>0.91712204007285969</v>
      </c>
      <c r="M82" s="401">
        <f t="shared" si="120"/>
        <v>0.91371131691890672</v>
      </c>
      <c r="N82" s="401">
        <f t="shared" si="120"/>
        <v>0.92161143083945241</v>
      </c>
      <c r="O82" s="401">
        <f t="shared" si="120"/>
        <v>0.9177029992684711</v>
      </c>
      <c r="P82" s="401">
        <f t="shared" si="120"/>
        <v>0.89953616563592365</v>
      </c>
      <c r="Q82" s="205">
        <f t="shared" si="120"/>
        <v>0.90565277715615622</v>
      </c>
      <c r="R82" s="401">
        <f t="shared" si="120"/>
        <v>0.90473771017188953</v>
      </c>
      <c r="S82" s="401">
        <f t="shared" si="120"/>
        <v>0.8924814178098327</v>
      </c>
      <c r="T82" s="401">
        <f t="shared" si="120"/>
        <v>0.91975422599650036</v>
      </c>
      <c r="U82" s="401">
        <f t="shared" si="120"/>
        <v>0.89431593308013968</v>
      </c>
      <c r="V82" s="205">
        <f t="shared" si="120"/>
        <v>0.90282987974496942</v>
      </c>
      <c r="W82" s="401">
        <f t="shared" si="120"/>
        <v>0.91035954069147262</v>
      </c>
      <c r="X82" s="401">
        <f t="shared" si="120"/>
        <v>0.88248630549307716</v>
      </c>
      <c r="Y82" s="401">
        <f t="shared" si="120"/>
        <v>0.89594626250960185</v>
      </c>
      <c r="Z82" s="401">
        <f t="shared" si="120"/>
        <v>0.88319526802072457</v>
      </c>
      <c r="AA82" s="205">
        <f t="shared" si="120"/>
        <v>0.89238476433875069</v>
      </c>
      <c r="AB82" s="401">
        <f t="shared" si="120"/>
        <v>0.88118759968872284</v>
      </c>
      <c r="AC82" s="401">
        <f t="shared" si="120"/>
        <v>0.89032156202305135</v>
      </c>
      <c r="AD82" s="401">
        <f t="shared" si="120"/>
        <v>0.87814028927645249</v>
      </c>
      <c r="AE82" s="401">
        <f t="shared" si="120"/>
        <v>0.88738643728500255</v>
      </c>
      <c r="AF82" s="205">
        <f t="shared" si="120"/>
        <v>0.88443374941882436</v>
      </c>
      <c r="AG82" s="401">
        <f t="shared" si="120"/>
        <v>0.84965651987887758</v>
      </c>
      <c r="AH82" s="401">
        <f t="shared" si="120"/>
        <v>0.86806857205401478</v>
      </c>
      <c r="AI82" s="401">
        <f t="shared" si="120"/>
        <v>0.85558908945959788</v>
      </c>
      <c r="AJ82" s="401">
        <f t="shared" si="120"/>
        <v>0.85694654207203491</v>
      </c>
      <c r="AK82" s="205">
        <f t="shared" si="120"/>
        <v>0.85781850604466736</v>
      </c>
      <c r="AL82" s="401">
        <f t="shared" si="120"/>
        <v>0.86267728665029297</v>
      </c>
      <c r="AM82" s="401">
        <f t="shared" si="120"/>
        <v>0.92281523197146087</v>
      </c>
      <c r="AN82" s="401">
        <f t="shared" si="120"/>
        <v>0.95009726310486231</v>
      </c>
      <c r="AO82" s="401">
        <f t="shared" si="120"/>
        <v>0.91979093842352821</v>
      </c>
      <c r="AP82" s="205">
        <f t="shared" si="120"/>
        <v>0.91491497398446553</v>
      </c>
      <c r="AQ82" s="401">
        <f t="shared" ref="AQ82:AT82" si="121">(AQ4-AQ13-AQ14)/AQ4</f>
        <v>0.90945009874802651</v>
      </c>
      <c r="AR82" s="401">
        <f t="shared" si="121"/>
        <v>0.89622814032179354</v>
      </c>
      <c r="AS82" s="401">
        <f t="shared" si="121"/>
        <v>0.89875356054679123</v>
      </c>
      <c r="AT82" s="401">
        <f t="shared" si="121"/>
        <v>0.89835137895812067</v>
      </c>
      <c r="AU82" s="205">
        <f>(AU4-AU13-AU14)/AU4</f>
        <v>0.9004887401529279</v>
      </c>
      <c r="AV82" s="401">
        <f t="shared" ref="AV82:AX82" si="122">(AV4-AV13-AV14)/AV4</f>
        <v>0.9237887860642352</v>
      </c>
      <c r="AW82" s="401">
        <f t="shared" si="122"/>
        <v>0.92303751801022982</v>
      </c>
      <c r="AX82" s="401">
        <f t="shared" si="122"/>
        <v>0.90630168607734862</v>
      </c>
      <c r="AY82" s="401">
        <f>(AY4-AY13-AY14)/AY4</f>
        <v>0.88635965445950016</v>
      </c>
      <c r="AZ82" s="205">
        <f>(AZ4-AZ13-AZ14)/AZ4</f>
        <v>0.90879423800986103</v>
      </c>
      <c r="BA82" s="401"/>
      <c r="BB82" s="401"/>
      <c r="BC82" s="401"/>
      <c r="BD82" s="401"/>
      <c r="BE82" s="205">
        <f>(BE4-BE13-BE14)/BE4</f>
        <v>0.90248739831399993</v>
      </c>
      <c r="BF82" s="401"/>
      <c r="BG82" s="401"/>
      <c r="BH82" s="401"/>
      <c r="BI82" s="401"/>
      <c r="BJ82" s="205">
        <f>(BJ4-BJ13-BJ14)/BJ4</f>
        <v>0.85969835200709177</v>
      </c>
      <c r="BK82" s="205"/>
      <c r="BL82" s="205"/>
      <c r="BM82" s="205"/>
      <c r="BN82" s="205"/>
      <c r="BO82" s="205">
        <f>(BO4-BO13-BO14)/BO4</f>
        <v>0.84602577415970903</v>
      </c>
      <c r="BT82" s="205">
        <f>(BT4-BT13-BT14)/BT4</f>
        <v>0.83736749702821489</v>
      </c>
      <c r="BY82" s="205">
        <f>(BY4-BY13-BY14)/BY4</f>
        <v>0.8278724075064493</v>
      </c>
      <c r="CD82" s="205">
        <f>(CD4-CD13-CD14)/CD4</f>
        <v>0.82116176958069087</v>
      </c>
      <c r="CI82" s="205">
        <f>(CI4-CI13-CI14)/CI4</f>
        <v>0.81491227787158838</v>
      </c>
      <c r="CN82" s="205">
        <f>(CN4-CN13-CN14)/CN4</f>
        <v>0.79997564136648414</v>
      </c>
      <c r="CS82" s="205">
        <f>(CS4-CS13-CS14)/CS4</f>
        <v>0.78653696114000526</v>
      </c>
      <c r="CX82" s="205">
        <f>(CX4-CX13-CX14)/CX4</f>
        <v>0.76965336158721653</v>
      </c>
      <c r="DC82" s="205">
        <f>(DC4-DC13-DC14)/DC4</f>
        <v>0.74702593781528959</v>
      </c>
      <c r="DH82" s="205">
        <f>(DH4-DH13-DH14)/DH4</f>
        <v>0.76399930588757692</v>
      </c>
      <c r="DJ82"/>
      <c r="DK82"/>
      <c r="DL82"/>
      <c r="DM82"/>
      <c r="DN82"/>
      <c r="DO82"/>
    </row>
    <row r="83" spans="1:119" s="143" customFormat="1" ht="12.75" customHeight="1">
      <c r="A83" s="139"/>
      <c r="B83" s="129" t="s">
        <v>24</v>
      </c>
      <c r="C83" s="401"/>
      <c r="D83" s="401"/>
      <c r="E83" s="401"/>
      <c r="F83" s="401"/>
      <c r="G83" s="175"/>
      <c r="H83" s="401">
        <f t="shared" ref="H83:AP83" si="123">H21/H11</f>
        <v>0.13737516178260284</v>
      </c>
      <c r="I83" s="401">
        <f t="shared" si="123"/>
        <v>0.12666758711147164</v>
      </c>
      <c r="J83" s="401">
        <f t="shared" si="123"/>
        <v>0.14774625161588614</v>
      </c>
      <c r="K83" s="401">
        <f t="shared" si="123"/>
        <v>0.10514307088086776</v>
      </c>
      <c r="L83" s="205">
        <f t="shared" si="123"/>
        <v>0.10373055324413927</v>
      </c>
      <c r="M83" s="401">
        <f t="shared" si="123"/>
        <v>0.14616234715339918</v>
      </c>
      <c r="N83" s="401">
        <f t="shared" si="123"/>
        <v>0.18499211575920604</v>
      </c>
      <c r="O83" s="401">
        <f t="shared" si="123"/>
        <v>0.26807542325907052</v>
      </c>
      <c r="P83" s="401">
        <f t="shared" si="123"/>
        <v>0.24423266139196759</v>
      </c>
      <c r="Q83" s="205">
        <f t="shared" si="123"/>
        <v>0.21072441142693082</v>
      </c>
      <c r="R83" s="401">
        <f t="shared" si="123"/>
        <v>0.19780921441483418</v>
      </c>
      <c r="S83" s="401">
        <f t="shared" si="123"/>
        <v>0.13112723760590542</v>
      </c>
      <c r="T83" s="401">
        <f t="shared" si="123"/>
        <v>9.3182631223301171E-2</v>
      </c>
      <c r="U83" s="401">
        <f t="shared" si="123"/>
        <v>0.11067963975089364</v>
      </c>
      <c r="V83" s="205">
        <f t="shared" si="123"/>
        <v>0.12441701965284878</v>
      </c>
      <c r="W83" s="401">
        <f t="shared" si="123"/>
        <v>0.11707349248517052</v>
      </c>
      <c r="X83" s="401">
        <f t="shared" si="123"/>
        <v>0.122626419777905</v>
      </c>
      <c r="Y83" s="401">
        <f t="shared" si="123"/>
        <v>0.13482304820385008</v>
      </c>
      <c r="Z83" s="401">
        <f t="shared" si="123"/>
        <v>0.1005271849177277</v>
      </c>
      <c r="AA83" s="205">
        <f t="shared" si="123"/>
        <v>0.11851696998923859</v>
      </c>
      <c r="AB83" s="401">
        <f t="shared" si="123"/>
        <v>0.11388595902451495</v>
      </c>
      <c r="AC83" s="401">
        <f t="shared" si="123"/>
        <v>0.11453657803815531</v>
      </c>
      <c r="AD83" s="401">
        <f t="shared" si="123"/>
        <v>0.11329754694208224</v>
      </c>
      <c r="AE83" s="401">
        <f t="shared" si="123"/>
        <v>0.14235058186853519</v>
      </c>
      <c r="AF83" s="205">
        <f t="shared" si="123"/>
        <v>0.12198795768271399</v>
      </c>
      <c r="AG83" s="401">
        <f t="shared" si="123"/>
        <v>0.13422528834950789</v>
      </c>
      <c r="AH83" s="401">
        <f t="shared" si="123"/>
        <v>0.14262625210666352</v>
      </c>
      <c r="AI83" s="401">
        <f t="shared" si="123"/>
        <v>0.15254848244538965</v>
      </c>
      <c r="AJ83" s="401">
        <f t="shared" si="123"/>
        <v>0.19386162270330271</v>
      </c>
      <c r="AK83" s="205">
        <f t="shared" si="123"/>
        <v>0.15729575644389687</v>
      </c>
      <c r="AL83" s="401">
        <f t="shared" si="123"/>
        <v>0.19119389698455008</v>
      </c>
      <c r="AM83" s="401">
        <f t="shared" si="123"/>
        <v>0.20146969930621816</v>
      </c>
      <c r="AN83" s="401">
        <f t="shared" si="123"/>
        <v>0.1808638808250323</v>
      </c>
      <c r="AO83" s="401">
        <f t="shared" si="123"/>
        <v>0.20535495224673081</v>
      </c>
      <c r="AP83" s="205">
        <f t="shared" si="123"/>
        <v>0.1947388573061585</v>
      </c>
      <c r="AQ83" s="401">
        <f t="shared" ref="AQ83:AT83" si="124">AQ21/AQ11</f>
        <v>0.18424913062497206</v>
      </c>
      <c r="AR83" s="401">
        <f t="shared" si="124"/>
        <v>0.17835327280296251</v>
      </c>
      <c r="AS83" s="401">
        <f t="shared" si="124"/>
        <v>0.1726483037294497</v>
      </c>
      <c r="AT83" s="401">
        <f t="shared" si="124"/>
        <v>0.2196978025796848</v>
      </c>
      <c r="AU83" s="205">
        <f>AU21/AU11</f>
        <v>0.18936219305258623</v>
      </c>
      <c r="AV83" s="401">
        <f t="shared" ref="AV83:AY83" si="125">AV21/AV11</f>
        <v>0.20131799135665418</v>
      </c>
      <c r="AW83" s="401">
        <f t="shared" si="125"/>
        <v>0.19994417370636161</v>
      </c>
      <c r="AX83" s="401">
        <f t="shared" si="125"/>
        <v>0.21272963536026804</v>
      </c>
      <c r="AY83" s="401">
        <f t="shared" si="125"/>
        <v>0.29679541202427756</v>
      </c>
      <c r="AZ83" s="205">
        <f>AZ21/AZ11</f>
        <v>0.23077065510876438</v>
      </c>
      <c r="BA83" s="401"/>
      <c r="BB83" s="401"/>
      <c r="BC83" s="401"/>
      <c r="BD83" s="401"/>
      <c r="BE83" s="205">
        <f>BE21/BE11</f>
        <v>0.22881406242749053</v>
      </c>
      <c r="BF83" s="401"/>
      <c r="BG83" s="401"/>
      <c r="BH83" s="401"/>
      <c r="BI83" s="401"/>
      <c r="BJ83" s="205">
        <f>BJ21/BJ11</f>
        <v>0.2064145932823046</v>
      </c>
      <c r="BK83" s="205"/>
      <c r="BL83" s="205"/>
      <c r="BM83" s="205"/>
      <c r="BN83" s="205"/>
      <c r="BO83" s="205">
        <f>BO21/BO11</f>
        <v>0.19760933877656317</v>
      </c>
      <c r="BT83" s="205">
        <f>BT21/BT11</f>
        <v>0.18592723863189639</v>
      </c>
      <c r="BY83" s="205">
        <f>BY21/BY11</f>
        <v>0.17902895253198564</v>
      </c>
      <c r="CD83" s="205">
        <f>CD21/CD11</f>
        <v>0.17358482073944606</v>
      </c>
      <c r="CI83" s="205">
        <f>CI21/CI11</f>
        <v>0.16801880274501813</v>
      </c>
      <c r="CN83" s="205">
        <f>CN21/CN11</f>
        <v>0.1706050163766393</v>
      </c>
      <c r="CS83" s="205">
        <f>CS21/CS11</f>
        <v>0.17665848056229769</v>
      </c>
      <c r="CX83" s="205">
        <f>CX21/CX11</f>
        <v>0.17751141215543906</v>
      </c>
      <c r="DC83" s="205">
        <f>DC21/DC11</f>
        <v>0.18870565689888735</v>
      </c>
      <c r="DH83" s="205">
        <f>DH21/DH11</f>
        <v>0.1894795871808945</v>
      </c>
      <c r="DJ83"/>
      <c r="DK83"/>
      <c r="DL83"/>
      <c r="DM83"/>
      <c r="DN83"/>
      <c r="DO83"/>
    </row>
    <row r="84" spans="1:119" s="143" customFormat="1" ht="12.75" customHeight="1">
      <c r="A84" s="139"/>
      <c r="B84" s="129" t="s">
        <v>25</v>
      </c>
      <c r="C84" s="401"/>
      <c r="D84" s="401"/>
      <c r="E84" s="401"/>
      <c r="F84" s="401"/>
      <c r="G84" s="175"/>
      <c r="H84" s="401">
        <f t="shared" ref="H84:AP84" si="126">H26/H11</f>
        <v>1.1346127842061546</v>
      </c>
      <c r="I84" s="401">
        <f t="shared" si="126"/>
        <v>1.0745560292011114</v>
      </c>
      <c r="J84" s="401">
        <f t="shared" si="126"/>
        <v>1.1515771992564563</v>
      </c>
      <c r="K84" s="401">
        <f t="shared" si="126"/>
        <v>0.88467551898260699</v>
      </c>
      <c r="L84" s="205">
        <f t="shared" si="126"/>
        <v>1.0172368724867886</v>
      </c>
      <c r="M84" s="401">
        <f t="shared" si="126"/>
        <v>1.0837492424512496</v>
      </c>
      <c r="N84" s="401">
        <f t="shared" si="126"/>
        <v>1.2558668027084687</v>
      </c>
      <c r="O84" s="401">
        <f t="shared" si="126"/>
        <v>1.1660556436163489</v>
      </c>
      <c r="P84" s="401">
        <f t="shared" si="126"/>
        <v>0.97451555982012894</v>
      </c>
      <c r="Q84" s="205">
        <f t="shared" si="126"/>
        <v>1.1142244473155325</v>
      </c>
      <c r="R84" s="401">
        <f t="shared" si="126"/>
        <v>0.55354654448658047</v>
      </c>
      <c r="S84" s="401">
        <f t="shared" si="126"/>
        <v>0.44655534348010345</v>
      </c>
      <c r="T84" s="401">
        <f t="shared" si="126"/>
        <v>0.33893478174459363</v>
      </c>
      <c r="U84" s="401">
        <f t="shared" si="126"/>
        <v>0.39200486249463345</v>
      </c>
      <c r="V84" s="205">
        <f t="shared" si="126"/>
        <v>0.41474830555751024</v>
      </c>
      <c r="W84" s="401">
        <f t="shared" si="126"/>
        <v>0.3492166745514757</v>
      </c>
      <c r="X84" s="401">
        <f t="shared" si="126"/>
        <v>0.34905231600246484</v>
      </c>
      <c r="Y84" s="401">
        <f t="shared" si="126"/>
        <v>0.32793659248241702</v>
      </c>
      <c r="Z84" s="401">
        <f t="shared" si="126"/>
        <v>0.3839390444486675</v>
      </c>
      <c r="AA84" s="205">
        <f t="shared" si="126"/>
        <v>0.35321475998280072</v>
      </c>
      <c r="AB84" s="401">
        <f t="shared" si="126"/>
        <v>0.39005817112538754</v>
      </c>
      <c r="AC84" s="401">
        <f t="shared" si="126"/>
        <v>0.37657653597716684</v>
      </c>
      <c r="AD84" s="401">
        <f t="shared" si="126"/>
        <v>0.40187906110324229</v>
      </c>
      <c r="AE84" s="401">
        <f t="shared" si="126"/>
        <v>0.37461565018838899</v>
      </c>
      <c r="AF84" s="205">
        <f t="shared" si="126"/>
        <v>0.38552368333039561</v>
      </c>
      <c r="AG84" s="401">
        <f t="shared" si="126"/>
        <v>0.3258780325819432</v>
      </c>
      <c r="AH84" s="401">
        <f t="shared" si="126"/>
        <v>0.33074241676238236</v>
      </c>
      <c r="AI84" s="401">
        <f t="shared" si="126"/>
        <v>0.31855722853962726</v>
      </c>
      <c r="AJ84" s="401">
        <f t="shared" si="126"/>
        <v>0.35414906810790325</v>
      </c>
      <c r="AK84" s="205">
        <f t="shared" si="126"/>
        <v>0.33259270594932216</v>
      </c>
      <c r="AL84" s="401">
        <f t="shared" si="126"/>
        <v>0.32644404084110484</v>
      </c>
      <c r="AM84" s="401">
        <f t="shared" si="126"/>
        <v>0.33449059852601248</v>
      </c>
      <c r="AN84" s="401">
        <f t="shared" si="126"/>
        <v>0.3585502105527153</v>
      </c>
      <c r="AO84" s="401">
        <f t="shared" si="126"/>
        <v>0.32942623532087245</v>
      </c>
      <c r="AP84" s="205">
        <f t="shared" si="126"/>
        <v>0.33726398935731366</v>
      </c>
      <c r="AQ84" s="401">
        <f t="shared" ref="AQ84:AT84" si="127">AQ26/AQ11</f>
        <v>0.32895771277986979</v>
      </c>
      <c r="AR84" s="401">
        <f t="shared" si="127"/>
        <v>0.29960016760582159</v>
      </c>
      <c r="AS84" s="401">
        <f t="shared" si="127"/>
        <v>0.30627358892892936</v>
      </c>
      <c r="AT84" s="401">
        <f t="shared" si="127"/>
        <v>0.28071415844324221</v>
      </c>
      <c r="AU84" s="205">
        <f>AU26/AU11</f>
        <v>0.30280976986979241</v>
      </c>
      <c r="AV84" s="401">
        <f t="shared" ref="AV84:AY84" si="128">AV26/AV11</f>
        <v>0.32931912888999992</v>
      </c>
      <c r="AW84" s="401">
        <f t="shared" si="128"/>
        <v>0.32588321226576261</v>
      </c>
      <c r="AX84" s="401">
        <f t="shared" si="128"/>
        <v>0.32134722902602658</v>
      </c>
      <c r="AY84" s="401">
        <f t="shared" si="128"/>
        <v>0.31088877989482444</v>
      </c>
      <c r="AZ84" s="205">
        <f>AZ26/AZ11</f>
        <v>0.32127397239442346</v>
      </c>
      <c r="BA84" s="401"/>
      <c r="BB84" s="401"/>
      <c r="BC84" s="401"/>
      <c r="BD84" s="401"/>
      <c r="BE84" s="205">
        <f>BE26/BE11</f>
        <v>0.29475839041009244</v>
      </c>
      <c r="BF84" s="401"/>
      <c r="BG84" s="401"/>
      <c r="BH84" s="401"/>
      <c r="BI84" s="401"/>
      <c r="BJ84" s="205">
        <f>BJ26/BJ11</f>
        <v>0.26547317443654816</v>
      </c>
      <c r="BK84" s="205"/>
      <c r="BL84" s="205"/>
      <c r="BM84" s="205"/>
      <c r="BN84" s="205"/>
      <c r="BO84" s="205">
        <f>BO26/BO11</f>
        <v>0.24473476643332401</v>
      </c>
      <c r="BT84" s="205">
        <f>BT26/BT11</f>
        <v>0.23074815608668892</v>
      </c>
      <c r="BY84" s="205">
        <f>BY26/BY11</f>
        <v>0.22350340960359547</v>
      </c>
      <c r="CD84" s="205">
        <f>CD26/CD11</f>
        <v>0.21150758012048604</v>
      </c>
      <c r="CI84" s="205">
        <f>CI26/CI11</f>
        <v>0.20657100622001776</v>
      </c>
      <c r="CN84" s="205">
        <f>CN26/CN11</f>
        <v>0.20836051184558171</v>
      </c>
      <c r="CS84" s="205">
        <f>CS26/CS11</f>
        <v>0.21683757373217397</v>
      </c>
      <c r="CX84" s="205">
        <f>CX26/CX11</f>
        <v>0.21675210808969292</v>
      </c>
      <c r="DC84" s="205">
        <f>DC26/DC11</f>
        <v>0.22810934291590793</v>
      </c>
      <c r="DH84" s="205">
        <f>DH26/DH11</f>
        <v>0.22710772099499696</v>
      </c>
      <c r="DJ84"/>
      <c r="DK84"/>
      <c r="DL84"/>
      <c r="DM84"/>
      <c r="DN84"/>
      <c r="DO84"/>
    </row>
    <row r="85" spans="1:119" s="143" customFormat="1" ht="12.75" customHeight="1">
      <c r="A85" s="139"/>
      <c r="B85" s="129" t="s">
        <v>20</v>
      </c>
      <c r="C85" s="401"/>
      <c r="D85" s="401"/>
      <c r="E85" s="401"/>
      <c r="F85" s="401"/>
      <c r="G85" s="175"/>
      <c r="H85" s="401">
        <f t="shared" ref="H85:AP85" si="129">H27/H11</f>
        <v>-0.27891320725558766</v>
      </c>
      <c r="I85" s="401">
        <f t="shared" si="129"/>
        <v>-0.20471843018138519</v>
      </c>
      <c r="J85" s="401">
        <f t="shared" si="129"/>
        <v>-0.30283358023759416</v>
      </c>
      <c r="K85" s="401">
        <f t="shared" si="129"/>
        <v>5.7003927435947547E-3</v>
      </c>
      <c r="L85" s="205">
        <f t="shared" si="129"/>
        <v>-0.12552660355411116</v>
      </c>
      <c r="M85" s="401">
        <f t="shared" si="129"/>
        <v>-0.2333161028127341</v>
      </c>
      <c r="N85" s="401">
        <f t="shared" si="129"/>
        <v>-0.44452277154252856</v>
      </c>
      <c r="O85" s="401">
        <f t="shared" si="129"/>
        <v>-0.43850709402623678</v>
      </c>
      <c r="P85" s="401">
        <f t="shared" si="129"/>
        <v>-0.24305357912455178</v>
      </c>
      <c r="Q85" s="205">
        <f t="shared" si="129"/>
        <v>-0.33440550531151314</v>
      </c>
      <c r="R85" s="401">
        <f t="shared" si="129"/>
        <v>0.1960662499083218</v>
      </c>
      <c r="S85" s="401">
        <f t="shared" si="129"/>
        <v>0.35184412563773204</v>
      </c>
      <c r="T85" s="401">
        <f t="shared" si="129"/>
        <v>0.52113110756230596</v>
      </c>
      <c r="U85" s="401">
        <f t="shared" si="129"/>
        <v>0.42556717044297904</v>
      </c>
      <c r="V85" s="205">
        <f t="shared" si="129"/>
        <v>0.40034690459108113</v>
      </c>
      <c r="W85" s="401">
        <f t="shared" si="129"/>
        <v>0.46872384366243308</v>
      </c>
      <c r="X85" s="401">
        <f t="shared" si="129"/>
        <v>0.44258394115924682</v>
      </c>
      <c r="Y85" s="401">
        <f t="shared" si="129"/>
        <v>0.47325665338418521</v>
      </c>
      <c r="Z85" s="401">
        <f t="shared" si="129"/>
        <v>0.43782723799663154</v>
      </c>
      <c r="AA85" s="205">
        <f t="shared" si="129"/>
        <v>0.45536537680336581</v>
      </c>
      <c r="AB85" s="401">
        <f t="shared" si="129"/>
        <v>0.42724933678524624</v>
      </c>
      <c r="AC85" s="401">
        <f t="shared" si="129"/>
        <v>0.44001502178158347</v>
      </c>
      <c r="AD85" s="401">
        <f t="shared" si="129"/>
        <v>0.40946254278108751</v>
      </c>
      <c r="AE85" s="401">
        <f t="shared" si="129"/>
        <v>0.40983436969123643</v>
      </c>
      <c r="AF85" s="205">
        <f t="shared" si="129"/>
        <v>0.42072921384458617</v>
      </c>
      <c r="AG85" s="401">
        <f t="shared" si="129"/>
        <v>0.44582200579571585</v>
      </c>
      <c r="AH85" s="401">
        <f t="shared" si="129"/>
        <v>0.43972413848352271</v>
      </c>
      <c r="AI85" s="401">
        <f t="shared" si="129"/>
        <v>0.43525094468016284</v>
      </c>
      <c r="AJ85" s="401">
        <f t="shared" si="129"/>
        <v>0.3542830221862579</v>
      </c>
      <c r="AK85" s="205">
        <f t="shared" si="129"/>
        <v>0.41692943586904396</v>
      </c>
      <c r="AL85" s="401">
        <f t="shared" si="129"/>
        <v>0.39268717382451929</v>
      </c>
      <c r="AM85" s="401">
        <f t="shared" si="129"/>
        <v>0.41094102153255441</v>
      </c>
      <c r="AN85" s="401">
        <f t="shared" si="129"/>
        <v>0.42551564515679569</v>
      </c>
      <c r="AO85" s="401">
        <f t="shared" si="129"/>
        <v>0.40882781353850217</v>
      </c>
      <c r="AP85" s="205">
        <f t="shared" si="129"/>
        <v>0.40955640317198472</v>
      </c>
      <c r="AQ85" s="401">
        <f t="shared" ref="AQ85:AT85" si="130">AQ27/AQ11</f>
        <v>0.42787655670629871</v>
      </c>
      <c r="AR85" s="401">
        <f t="shared" si="130"/>
        <v>0.4568142922055129</v>
      </c>
      <c r="AS85" s="401">
        <f t="shared" si="130"/>
        <v>0.45648842143420681</v>
      </c>
      <c r="AT85" s="401">
        <f t="shared" si="130"/>
        <v>0.43671090824768705</v>
      </c>
      <c r="AU85" s="205">
        <f>AU27/AU11</f>
        <v>0.44481327942144344</v>
      </c>
      <c r="AV85" s="401">
        <f t="shared" ref="AV85:AY85" si="131">AV27/AV11</f>
        <v>0.41877701691659297</v>
      </c>
      <c r="AW85" s="401">
        <f t="shared" si="131"/>
        <v>0.42362379058055871</v>
      </c>
      <c r="AX85" s="401">
        <f t="shared" si="131"/>
        <v>0.4047700983898988</v>
      </c>
      <c r="AY85" s="401">
        <f t="shared" si="131"/>
        <v>0.31923059239319346</v>
      </c>
      <c r="AZ85" s="205">
        <f>AZ27/AZ11</f>
        <v>0.3883571460842235</v>
      </c>
      <c r="BA85" s="401"/>
      <c r="BB85" s="401"/>
      <c r="BC85" s="401"/>
      <c r="BD85" s="401"/>
      <c r="BE85" s="205">
        <f>BE27/BE11</f>
        <v>0.41521617378604003</v>
      </c>
      <c r="BF85" s="401"/>
      <c r="BG85" s="401"/>
      <c r="BH85" s="401"/>
      <c r="BI85" s="401"/>
      <c r="BJ85" s="205">
        <f>BJ27/BJ11</f>
        <v>0.44442564418760649</v>
      </c>
      <c r="BK85" s="205"/>
      <c r="BL85" s="205"/>
      <c r="BM85" s="205"/>
      <c r="BN85" s="205"/>
      <c r="BO85" s="205">
        <f>BO27/BO11</f>
        <v>0.4707213641371143</v>
      </c>
      <c r="BT85" s="205">
        <f>BT27/BT11</f>
        <v>0.49816054691740819</v>
      </c>
      <c r="BY85" s="205">
        <f>BY27/BY11</f>
        <v>0.51329397928544296</v>
      </c>
      <c r="CD85" s="205">
        <f>CD27/CD11</f>
        <v>0.53101646830178129</v>
      </c>
      <c r="CI85" s="205">
        <f>CI27/CI11</f>
        <v>0.54219579748155222</v>
      </c>
      <c r="CN85" s="205">
        <f>CN27/CN11</f>
        <v>0.53674008702173226</v>
      </c>
      <c r="CS85" s="205">
        <f>CS27/CS11</f>
        <v>0.52060293156841508</v>
      </c>
      <c r="CX85" s="205">
        <f>CX27/CX11</f>
        <v>0.52144289325250204</v>
      </c>
      <c r="DC85" s="205">
        <f>DC27/DC11</f>
        <v>0.49630919365520348</v>
      </c>
      <c r="DH85" s="205">
        <f>DH27/DH11</f>
        <v>0.49626598262836336</v>
      </c>
      <c r="DJ85"/>
      <c r="DK85"/>
      <c r="DL85"/>
      <c r="DM85"/>
      <c r="DN85"/>
      <c r="DO85"/>
    </row>
    <row r="86" spans="1:119" s="143" customFormat="1" ht="12.75" customHeight="1">
      <c r="A86" s="139"/>
      <c r="B86" s="129" t="s">
        <v>21</v>
      </c>
      <c r="C86" s="401"/>
      <c r="D86" s="401"/>
      <c r="E86" s="401"/>
      <c r="F86" s="401"/>
      <c r="G86" s="175"/>
      <c r="H86" s="401">
        <f t="shared" ref="H86:AP86" si="132">H35/H11</f>
        <v>-0.2948017076515928</v>
      </c>
      <c r="I86" s="401">
        <f t="shared" si="132"/>
        <v>-0.21981947776262883</v>
      </c>
      <c r="J86" s="401">
        <f t="shared" si="132"/>
        <v>-0.31963879636531756</v>
      </c>
      <c r="K86" s="401">
        <f t="shared" si="132"/>
        <v>-7.9147185337570328E-3</v>
      </c>
      <c r="L86" s="205">
        <f t="shared" si="132"/>
        <v>-0.14076597672706367</v>
      </c>
      <c r="M86" s="401">
        <f t="shared" si="132"/>
        <v>-0.25721899397525949</v>
      </c>
      <c r="N86" s="401">
        <f t="shared" si="132"/>
        <v>-0.47280400704943887</v>
      </c>
      <c r="O86" s="401">
        <f t="shared" si="132"/>
        <v>-0.47104528701875864</v>
      </c>
      <c r="P86" s="401">
        <f t="shared" si="132"/>
        <v>-0.28136968701464504</v>
      </c>
      <c r="Q86" s="205">
        <f t="shared" si="132"/>
        <v>-0.36533475093310369</v>
      </c>
      <c r="R86" s="401">
        <f t="shared" si="132"/>
        <v>0.18125968014012744</v>
      </c>
      <c r="S86" s="401">
        <f t="shared" si="132"/>
        <v>0.34028364087924068</v>
      </c>
      <c r="T86" s="401">
        <f t="shared" si="132"/>
        <v>0.51295456724193145</v>
      </c>
      <c r="U86" s="401">
        <f t="shared" si="132"/>
        <v>0.41683590527783265</v>
      </c>
      <c r="V86" s="205">
        <f t="shared" si="132"/>
        <v>0.39006889487456065</v>
      </c>
      <c r="W86" s="401">
        <f t="shared" si="132"/>
        <v>0.46067678954838231</v>
      </c>
      <c r="X86" s="401">
        <f t="shared" si="132"/>
        <v>0.43586253009994724</v>
      </c>
      <c r="Y86" s="401">
        <f t="shared" si="132"/>
        <v>0.46740264678146876</v>
      </c>
      <c r="Z86" s="401">
        <f t="shared" si="132"/>
        <v>0.42754074297359795</v>
      </c>
      <c r="AA86" s="205">
        <f t="shared" si="132"/>
        <v>0.44757916042085866</v>
      </c>
      <c r="AB86" s="401">
        <f t="shared" si="132"/>
        <v>0.42237191165659854</v>
      </c>
      <c r="AC86" s="401">
        <f t="shared" si="132"/>
        <v>0.43678083220669983</v>
      </c>
      <c r="AD86" s="401">
        <f t="shared" si="132"/>
        <v>0.40840713817257918</v>
      </c>
      <c r="AE86" s="401">
        <f t="shared" si="132"/>
        <v>0.40930715454632705</v>
      </c>
      <c r="AF86" s="205">
        <f t="shared" si="132"/>
        <v>0.41846148171503533</v>
      </c>
      <c r="AG86" s="401">
        <f t="shared" si="132"/>
        <v>0.44140972402556361</v>
      </c>
      <c r="AH86" s="401">
        <f t="shared" si="132"/>
        <v>0.4391593573912721</v>
      </c>
      <c r="AI86" s="401">
        <f t="shared" si="132"/>
        <v>0.43620221870159026</v>
      </c>
      <c r="AJ86" s="401">
        <f t="shared" si="132"/>
        <v>0.35262636562537852</v>
      </c>
      <c r="AK86" s="205">
        <f t="shared" si="132"/>
        <v>0.41567691620887154</v>
      </c>
      <c r="AL86" s="401">
        <f t="shared" si="132"/>
        <v>0.39345912766717561</v>
      </c>
      <c r="AM86" s="401">
        <f t="shared" si="132"/>
        <v>0.41186628391700997</v>
      </c>
      <c r="AN86" s="401">
        <f t="shared" si="132"/>
        <v>0.42806948813315376</v>
      </c>
      <c r="AO86" s="401">
        <f t="shared" si="132"/>
        <v>0.4043650816292762</v>
      </c>
      <c r="AP86" s="205">
        <f t="shared" si="132"/>
        <v>0.40949262276750586</v>
      </c>
      <c r="AQ86" s="401">
        <f t="shared" ref="AQ86:AT86" si="133">AQ35/AQ11</f>
        <v>0.42920099374474524</v>
      </c>
      <c r="AR86" s="401">
        <f t="shared" si="133"/>
        <v>0.46064936372367887</v>
      </c>
      <c r="AS86" s="401">
        <f t="shared" si="133"/>
        <v>0.46027264537177209</v>
      </c>
      <c r="AT86" s="401">
        <f t="shared" si="133"/>
        <v>0.44679258015232437</v>
      </c>
      <c r="AU86" s="205">
        <f>AU35/AU11</f>
        <v>0.44975491886396796</v>
      </c>
      <c r="AV86" s="401">
        <f t="shared" ref="AV86:AY86" si="134">AV35/AV11</f>
        <v>0.426726223933797</v>
      </c>
      <c r="AW86" s="401">
        <f t="shared" si="134"/>
        <v>0.43339989966970976</v>
      </c>
      <c r="AX86" s="401">
        <f t="shared" si="134"/>
        <v>0.41446239741916702</v>
      </c>
      <c r="AY86" s="401">
        <f t="shared" si="134"/>
        <v>0.32881238668170565</v>
      </c>
      <c r="AZ86" s="205">
        <f>AZ35/AZ11</f>
        <v>0.39765007150086212</v>
      </c>
      <c r="BA86" s="401"/>
      <c r="BB86" s="401"/>
      <c r="BC86" s="401"/>
      <c r="BD86" s="401"/>
      <c r="BE86" s="205">
        <f>BE35/BE11</f>
        <v>0.43089648178391654</v>
      </c>
      <c r="BF86" s="401"/>
      <c r="BG86" s="401"/>
      <c r="BH86" s="401"/>
      <c r="BI86" s="401"/>
      <c r="BJ86" s="205">
        <f>BJ35/BJ11</f>
        <v>0.46671887828221148</v>
      </c>
      <c r="BK86" s="205"/>
      <c r="BL86" s="205"/>
      <c r="BM86" s="205"/>
      <c r="BN86" s="205"/>
      <c r="BO86" s="205">
        <f>BO35/BO11</f>
        <v>0.5023380481432892</v>
      </c>
      <c r="BT86" s="205">
        <f>BT35/BT11</f>
        <v>0.53485475821397543</v>
      </c>
      <c r="BY86" s="205">
        <f>BY35/BY11</f>
        <v>0.5571989031275455</v>
      </c>
      <c r="CD86" s="205">
        <f>CD35/CD11</f>
        <v>0.58321601516514343</v>
      </c>
      <c r="CI86" s="205">
        <f>CI35/CI11</f>
        <v>0.60189009629586987</v>
      </c>
      <c r="CN86" s="205">
        <f>CN35/CN11</f>
        <v>0.60630112882330811</v>
      </c>
      <c r="CS86" s="205">
        <f>CS35/CS11</f>
        <v>0.60150704611635908</v>
      </c>
      <c r="CX86" s="205">
        <f>CX35/CX11</f>
        <v>0.61623830967974647</v>
      </c>
      <c r="DC86" s="205">
        <f>DC35/DC11</f>
        <v>0.60038257154095354</v>
      </c>
      <c r="DH86" s="205">
        <f>DH35/DH11</f>
        <v>0.61919278618745988</v>
      </c>
      <c r="DJ86"/>
      <c r="DK86"/>
      <c r="DL86"/>
      <c r="DM86"/>
      <c r="DN86"/>
      <c r="DO86"/>
    </row>
    <row r="87" spans="1:119" s="143" customFormat="1" ht="12.75" customHeight="1" thickBot="1">
      <c r="A87" s="139"/>
      <c r="B87" s="137" t="s">
        <v>22</v>
      </c>
      <c r="C87" s="402"/>
      <c r="D87" s="402"/>
      <c r="E87" s="402"/>
      <c r="F87" s="402"/>
      <c r="G87" s="256"/>
      <c r="H87" s="402">
        <f t="shared" ref="H87:AP87" si="135">H39/H11</f>
        <v>-0.2948017076515928</v>
      </c>
      <c r="I87" s="402">
        <f t="shared" si="135"/>
        <v>-0.21981947776262883</v>
      </c>
      <c r="J87" s="402">
        <f t="shared" si="135"/>
        <v>-0.31963879636531756</v>
      </c>
      <c r="K87" s="402">
        <f t="shared" si="135"/>
        <v>-7.9147185337570328E-3</v>
      </c>
      <c r="L87" s="257">
        <f t="shared" si="135"/>
        <v>-0.14076597672706367</v>
      </c>
      <c r="M87" s="402">
        <f t="shared" si="135"/>
        <v>-0.25529392891519032</v>
      </c>
      <c r="N87" s="402">
        <f t="shared" si="135"/>
        <v>-0.46479918374918844</v>
      </c>
      <c r="O87" s="402">
        <f t="shared" si="135"/>
        <v>-0.4765104587048905</v>
      </c>
      <c r="P87" s="402">
        <f t="shared" si="135"/>
        <v>-0.27636875188043297</v>
      </c>
      <c r="Q87" s="257">
        <f t="shared" si="135"/>
        <v>-0.36279563235716339</v>
      </c>
      <c r="R87" s="402">
        <f t="shared" si="135"/>
        <v>0.18125968014012744</v>
      </c>
      <c r="S87" s="402">
        <f t="shared" si="135"/>
        <v>0.34028364087924068</v>
      </c>
      <c r="T87" s="402">
        <f t="shared" si="135"/>
        <v>0.51295456724193145</v>
      </c>
      <c r="U87" s="402">
        <f t="shared" si="135"/>
        <v>0.41683590527783265</v>
      </c>
      <c r="V87" s="257">
        <f t="shared" si="135"/>
        <v>0.39006889487456065</v>
      </c>
      <c r="W87" s="402">
        <f t="shared" si="135"/>
        <v>0.46067678954838231</v>
      </c>
      <c r="X87" s="402">
        <f t="shared" si="135"/>
        <v>0.43586253009994724</v>
      </c>
      <c r="Y87" s="402">
        <f t="shared" si="135"/>
        <v>0.46740264678146876</v>
      </c>
      <c r="Z87" s="402">
        <f t="shared" si="135"/>
        <v>0.42754074297359795</v>
      </c>
      <c r="AA87" s="257">
        <f t="shared" si="135"/>
        <v>0.44757916042085866</v>
      </c>
      <c r="AB87" s="402">
        <f t="shared" si="135"/>
        <v>0.42237191165659854</v>
      </c>
      <c r="AC87" s="402">
        <f t="shared" si="135"/>
        <v>0.43678083220669983</v>
      </c>
      <c r="AD87" s="402">
        <f t="shared" si="135"/>
        <v>0.40840713817257918</v>
      </c>
      <c r="AE87" s="402">
        <f t="shared" si="135"/>
        <v>0.40930715454632705</v>
      </c>
      <c r="AF87" s="257">
        <f t="shared" si="135"/>
        <v>0.41846148171503533</v>
      </c>
      <c r="AG87" s="402">
        <f t="shared" si="135"/>
        <v>0.38633203799158439</v>
      </c>
      <c r="AH87" s="402">
        <f t="shared" si="135"/>
        <v>0.33859227311371626</v>
      </c>
      <c r="AI87" s="402">
        <f t="shared" si="135"/>
        <v>0.35419659545885362</v>
      </c>
      <c r="AJ87" s="402">
        <f t="shared" si="135"/>
        <v>0.29716573217750075</v>
      </c>
      <c r="AK87" s="257">
        <f t="shared" si="135"/>
        <v>0.34196369739904792</v>
      </c>
      <c r="AL87" s="402">
        <f t="shared" si="135"/>
        <v>0.24382665930520842</v>
      </c>
      <c r="AM87" s="402">
        <f t="shared" si="135"/>
        <v>0.2714070008221805</v>
      </c>
      <c r="AN87" s="402">
        <f t="shared" si="135"/>
        <v>0.29914795405705319</v>
      </c>
      <c r="AO87" s="402">
        <f t="shared" si="135"/>
        <v>0.28736080963330612</v>
      </c>
      <c r="AP87" s="257">
        <f t="shared" si="135"/>
        <v>0.27558360613172472</v>
      </c>
      <c r="AQ87" s="402">
        <f t="shared" ref="AQ87:AT87" si="136">AQ39/AQ11</f>
        <v>0.25518421956391368</v>
      </c>
      <c r="AR87" s="402">
        <f t="shared" si="136"/>
        <v>0.33112489082494162</v>
      </c>
      <c r="AS87" s="402">
        <f t="shared" si="136"/>
        <v>0.31351085890355451</v>
      </c>
      <c r="AT87" s="402">
        <f t="shared" si="136"/>
        <v>0.38384405127019194</v>
      </c>
      <c r="AU87" s="257">
        <f>AU39/AU11</f>
        <v>0.32377444532140676</v>
      </c>
      <c r="AV87" s="402">
        <f t="shared" ref="AV87:AY87" si="137">AV39/AV11</f>
        <v>0.35152981497991975</v>
      </c>
      <c r="AW87" s="402">
        <f t="shared" si="137"/>
        <v>0.35702747569328003</v>
      </c>
      <c r="AX87" s="402">
        <f t="shared" si="137"/>
        <v>0.34142708300837227</v>
      </c>
      <c r="AY87" s="402">
        <f t="shared" si="137"/>
        <v>0.27087005899890099</v>
      </c>
      <c r="AZ87" s="257">
        <f>AZ39/AZ11</f>
        <v>0.32757737448808993</v>
      </c>
      <c r="BA87" s="402"/>
      <c r="BB87" s="402"/>
      <c r="BC87" s="402"/>
      <c r="BD87" s="402"/>
      <c r="BE87" s="257">
        <f>BE39/BE11</f>
        <v>0.34990483511782411</v>
      </c>
      <c r="BF87" s="402"/>
      <c r="BG87" s="402"/>
      <c r="BH87" s="402"/>
      <c r="BI87" s="402"/>
      <c r="BJ87" s="257">
        <f>BJ39/BJ11</f>
        <v>0.37836913560116769</v>
      </c>
      <c r="BK87" s="205"/>
      <c r="BL87" s="205"/>
      <c r="BM87" s="205"/>
      <c r="BN87" s="205"/>
      <c r="BO87" s="257">
        <f>BO39/BO11</f>
        <v>0.40928945442303505</v>
      </c>
      <c r="BT87" s="257">
        <f>BT39/BT11</f>
        <v>0.43787576466993938</v>
      </c>
      <c r="BY87" s="257">
        <f>BY39/BY11</f>
        <v>0.45839666426565118</v>
      </c>
      <c r="CD87" s="257">
        <f>CD39/CD11</f>
        <v>0.48158043535497252</v>
      </c>
      <c r="CI87" s="257">
        <f>CI39/CI11</f>
        <v>0.49857985142541555</v>
      </c>
      <c r="CN87" s="257">
        <f>CN39/CN11</f>
        <v>0.50474440369536311</v>
      </c>
      <c r="CS87" s="257">
        <f>CS39/CS11</f>
        <v>0.50318936828319483</v>
      </c>
      <c r="CX87" s="257">
        <f>CX39/CX11</f>
        <v>0.51751314942225179</v>
      </c>
      <c r="DC87" s="257">
        <f>DC39/DC11</f>
        <v>0.50659662507645775</v>
      </c>
      <c r="DH87" s="257">
        <f>DH39/DH11</f>
        <v>0.52383512739618443</v>
      </c>
      <c r="DJ87"/>
      <c r="DK87"/>
      <c r="DL87"/>
      <c r="DM87"/>
      <c r="DN87"/>
      <c r="DO87"/>
    </row>
    <row r="88" spans="1:119" s="143" customFormat="1" ht="12.75" customHeight="1" thickBot="1">
      <c r="A88" s="139"/>
      <c r="B88" s="129"/>
      <c r="C88" s="368"/>
      <c r="D88" s="368"/>
      <c r="E88" s="368"/>
      <c r="F88" s="368"/>
      <c r="G88" s="129"/>
      <c r="H88" s="129"/>
      <c r="I88" s="129"/>
      <c r="J88" s="129"/>
      <c r="K88" s="129"/>
      <c r="L88" s="129"/>
      <c r="M88" s="129"/>
      <c r="N88" s="129"/>
      <c r="O88" s="129"/>
      <c r="P88" s="129"/>
      <c r="Q88" s="129"/>
      <c r="R88" s="129"/>
      <c r="S88" s="129"/>
      <c r="T88" s="129"/>
      <c r="U88" s="129"/>
      <c r="V88" s="129"/>
      <c r="W88" s="129"/>
      <c r="X88" s="129"/>
      <c r="Y88" s="129"/>
      <c r="Z88" s="129"/>
      <c r="AA88" s="129"/>
      <c r="AB88" s="129"/>
      <c r="AC88" s="129"/>
      <c r="AD88" s="129"/>
      <c r="AE88" s="129"/>
      <c r="AF88" s="129"/>
      <c r="AG88" s="129"/>
      <c r="AH88" s="129"/>
      <c r="AI88" s="129"/>
      <c r="AJ88" s="129"/>
      <c r="AK88" s="129"/>
      <c r="AL88" s="129"/>
      <c r="AM88" s="129"/>
      <c r="AN88" s="129"/>
      <c r="AO88" s="129"/>
      <c r="AP88" s="129"/>
      <c r="AQ88" s="368"/>
      <c r="AR88" s="368"/>
      <c r="AS88" s="368"/>
      <c r="AT88" s="368"/>
      <c r="AU88" s="129"/>
      <c r="AV88" s="368"/>
      <c r="AW88" s="368"/>
      <c r="AX88" s="368"/>
      <c r="AY88" s="368"/>
      <c r="AZ88" s="129"/>
      <c r="BA88" s="368"/>
      <c r="BB88" s="368"/>
      <c r="BC88" s="368"/>
      <c r="BD88" s="368"/>
      <c r="BE88" s="129"/>
      <c r="BF88" s="368"/>
      <c r="BG88" s="368"/>
      <c r="BH88" s="368"/>
      <c r="BI88" s="368"/>
      <c r="BJ88" s="129"/>
      <c r="BK88" s="129"/>
      <c r="BL88" s="129"/>
      <c r="BM88" s="129"/>
      <c r="BN88" s="129"/>
      <c r="BO88" s="129"/>
      <c r="BT88" s="129"/>
      <c r="BY88" s="129"/>
      <c r="CD88" s="129"/>
      <c r="CI88" s="129"/>
      <c r="CN88" s="129"/>
      <c r="CS88" s="129"/>
      <c r="CX88" s="129"/>
      <c r="DC88" s="129"/>
      <c r="DH88" s="129"/>
      <c r="DJ88"/>
      <c r="DK88"/>
      <c r="DL88"/>
      <c r="DM88"/>
      <c r="DN88"/>
      <c r="DO88"/>
    </row>
    <row r="89" spans="1:119" s="143" customFormat="1" ht="12.75" customHeight="1" thickBot="1">
      <c r="A89" s="139"/>
      <c r="B89" s="398" t="s">
        <v>23</v>
      </c>
      <c r="C89" s="399"/>
      <c r="D89" s="399"/>
      <c r="E89" s="399"/>
      <c r="F89" s="399"/>
      <c r="G89" s="399"/>
      <c r="H89" s="399"/>
      <c r="I89" s="399"/>
      <c r="J89" s="399"/>
      <c r="K89" s="399"/>
      <c r="L89" s="399"/>
      <c r="M89" s="399"/>
      <c r="N89" s="399"/>
      <c r="O89" s="399"/>
      <c r="P89" s="399"/>
      <c r="Q89" s="399"/>
      <c r="R89" s="399"/>
      <c r="S89" s="399"/>
      <c r="T89" s="399"/>
      <c r="U89" s="399"/>
      <c r="V89" s="399"/>
      <c r="W89" s="399"/>
      <c r="X89" s="399"/>
      <c r="Y89" s="399"/>
      <c r="Z89" s="399"/>
      <c r="AA89" s="399"/>
      <c r="AB89" s="399"/>
      <c r="AC89" s="399"/>
      <c r="AD89" s="399"/>
      <c r="AE89" s="399"/>
      <c r="AF89" s="399"/>
      <c r="AG89" s="399"/>
      <c r="AH89" s="399"/>
      <c r="AI89" s="399"/>
      <c r="AJ89" s="399"/>
      <c r="AK89" s="399"/>
      <c r="AL89" s="399"/>
      <c r="AM89" s="399"/>
      <c r="AN89" s="399"/>
      <c r="AO89" s="399"/>
      <c r="AP89" s="399"/>
      <c r="AQ89" s="399"/>
      <c r="AR89" s="399"/>
      <c r="AS89" s="399"/>
      <c r="AT89" s="399"/>
      <c r="AU89" s="399"/>
      <c r="AV89" s="399"/>
      <c r="AW89" s="399"/>
      <c r="AX89" s="399"/>
      <c r="AY89" s="399"/>
      <c r="AZ89" s="399"/>
      <c r="BA89" s="399"/>
      <c r="BB89" s="399"/>
      <c r="BC89" s="399"/>
      <c r="BD89" s="399"/>
      <c r="BE89" s="399"/>
      <c r="BF89" s="399"/>
      <c r="BG89" s="399"/>
      <c r="BH89" s="399"/>
      <c r="BI89" s="399"/>
      <c r="BJ89" s="399"/>
      <c r="BK89" s="1016"/>
      <c r="BL89" s="1016"/>
      <c r="BM89" s="1016"/>
      <c r="BN89" s="1016"/>
      <c r="BO89" s="399"/>
      <c r="BT89" s="399"/>
      <c r="BY89" s="399"/>
      <c r="CD89" s="399"/>
      <c r="CI89" s="399"/>
      <c r="CN89" s="399"/>
      <c r="CS89" s="399"/>
      <c r="CX89" s="399"/>
      <c r="DC89" s="399"/>
      <c r="DH89" s="399"/>
      <c r="DJ89"/>
      <c r="DK89"/>
      <c r="DL89"/>
      <c r="DM89"/>
      <c r="DN89"/>
      <c r="DO89"/>
    </row>
    <row r="90" spans="1:119" s="143" customFormat="1" ht="12.75" customHeight="1">
      <c r="A90" s="139"/>
      <c r="B90" s="129" t="s">
        <v>598</v>
      </c>
      <c r="C90" s="368"/>
      <c r="D90" s="368"/>
      <c r="E90" s="368"/>
      <c r="F90" s="368"/>
      <c r="G90" s="129"/>
      <c r="H90" s="403">
        <f t="shared" ref="H90:AP90" si="138">H4/C4-1</f>
        <v>1.5319969159599074</v>
      </c>
      <c r="I90" s="403">
        <f t="shared" si="138"/>
        <v>0.15488888888888885</v>
      </c>
      <c r="J90" s="403">
        <f t="shared" si="138"/>
        <v>-7.440176955559985E-3</v>
      </c>
      <c r="K90" s="403">
        <f t="shared" si="138"/>
        <v>5.380000000000007E-2</v>
      </c>
      <c r="L90" s="203">
        <f t="shared" si="138"/>
        <v>0.37519059028534074</v>
      </c>
      <c r="M90" s="403">
        <f t="shared" si="138"/>
        <v>-0.55064961429151449</v>
      </c>
      <c r="N90" s="403">
        <f t="shared" si="138"/>
        <v>-3.0402155089474747E-2</v>
      </c>
      <c r="O90" s="403">
        <f t="shared" si="138"/>
        <v>0.10777957860615883</v>
      </c>
      <c r="P90" s="403">
        <f t="shared" si="138"/>
        <v>4.6466122603909659</v>
      </c>
      <c r="Q90" s="203">
        <f t="shared" si="138"/>
        <v>0.76946226340381729</v>
      </c>
      <c r="R90" s="403">
        <f t="shared" si="138"/>
        <v>27.897899254574206</v>
      </c>
      <c r="S90" s="403">
        <f t="shared" si="138"/>
        <v>38.594959317324872</v>
      </c>
      <c r="T90" s="403">
        <f t="shared" si="138"/>
        <v>44.569129480614485</v>
      </c>
      <c r="U90" s="403">
        <f t="shared" si="138"/>
        <v>8.4605740790535098</v>
      </c>
      <c r="V90" s="203">
        <f t="shared" si="138"/>
        <v>18.20272568589715</v>
      </c>
      <c r="W90" s="403">
        <f t="shared" si="138"/>
        <v>1.4914993238542653</v>
      </c>
      <c r="X90" s="403">
        <f t="shared" si="138"/>
        <v>0.67348974283150964</v>
      </c>
      <c r="Y90" s="403">
        <f t="shared" si="138"/>
        <v>0.47335174096607968</v>
      </c>
      <c r="Z90" s="403">
        <f t="shared" si="138"/>
        <v>0.44273477551861484</v>
      </c>
      <c r="AA90" s="203">
        <f t="shared" si="138"/>
        <v>0.66163690881990656</v>
      </c>
      <c r="AB90" s="403">
        <f t="shared" si="138"/>
        <v>0.1369078245592017</v>
      </c>
      <c r="AC90" s="403">
        <f t="shared" si="138"/>
        <v>0.25196395252371273</v>
      </c>
      <c r="AD90" s="403">
        <f t="shared" si="138"/>
        <v>0.22261507199320119</v>
      </c>
      <c r="AE90" s="403">
        <f t="shared" si="138"/>
        <v>0.28424873426449437</v>
      </c>
      <c r="AF90" s="203">
        <f t="shared" si="138"/>
        <v>0.22788196984372</v>
      </c>
      <c r="AG90" s="403">
        <f t="shared" si="138"/>
        <v>0.50277610671729511</v>
      </c>
      <c r="AH90" s="403">
        <f t="shared" si="138"/>
        <v>0.57364684155379386</v>
      </c>
      <c r="AI90" s="403">
        <f t="shared" si="138"/>
        <v>0.64324798816515316</v>
      </c>
      <c r="AJ90" s="403">
        <f t="shared" si="138"/>
        <v>0.43719679857646332</v>
      </c>
      <c r="AK90" s="203">
        <f t="shared" si="138"/>
        <v>0.5361756766482253</v>
      </c>
      <c r="AL90" s="403">
        <f t="shared" si="138"/>
        <v>0.43999427074056197</v>
      </c>
      <c r="AM90" s="403">
        <f t="shared" si="138"/>
        <v>0.2681588704491662</v>
      </c>
      <c r="AN90" s="403">
        <f t="shared" si="138"/>
        <v>0.16257073981577141</v>
      </c>
      <c r="AO90" s="403">
        <f t="shared" si="138"/>
        <v>0.15075834796484155</v>
      </c>
      <c r="AP90" s="203">
        <f t="shared" si="138"/>
        <v>0.24127804726419022</v>
      </c>
      <c r="AQ90" s="403">
        <f>AQ4/AL4-1</f>
        <v>9.4446187237146484E-2</v>
      </c>
      <c r="AR90" s="403">
        <f t="shared" ref="AR90" si="139">AR4/AM4-1</f>
        <v>0.10778224902573541</v>
      </c>
      <c r="AS90" s="403">
        <f t="shared" ref="AS90" si="140">AS4/AN4-1</f>
        <v>0.11650463924018162</v>
      </c>
      <c r="AT90" s="403">
        <f t="shared" ref="AT90:AV90" si="141">AT4/AO4-1</f>
        <v>0.13504482789404548</v>
      </c>
      <c r="AU90" s="203">
        <f>AU4/AP4-1</f>
        <v>0.11393366263378457</v>
      </c>
      <c r="AV90" s="403">
        <f t="shared" si="141"/>
        <v>7.0207225209584667E-2</v>
      </c>
      <c r="AW90" s="403">
        <f t="shared" ref="AW90" si="142">AW4/AR4-1</f>
        <v>6.5047784755678517E-2</v>
      </c>
      <c r="AX90" s="403">
        <f t="shared" ref="AX90" si="143">AX4/AS4-1</f>
        <v>7.597321283864944E-2</v>
      </c>
      <c r="AY90" s="403">
        <f>AY4/AT4-1</f>
        <v>0.14844397113552099</v>
      </c>
      <c r="AZ90" s="203">
        <f>AZ4/AU4-1</f>
        <v>9.1006159085119886E-2</v>
      </c>
      <c r="BA90" s="403"/>
      <c r="BB90" s="403"/>
      <c r="BC90" s="403"/>
      <c r="BD90" s="403"/>
      <c r="BE90" s="203">
        <f>BE4/AZ4-1</f>
        <v>1.9049082225081282E-2</v>
      </c>
      <c r="BF90" s="403"/>
      <c r="BG90" s="403"/>
      <c r="BH90" s="403"/>
      <c r="BI90" s="403"/>
      <c r="BJ90" s="203">
        <f>BJ4/BE4-1</f>
        <v>6.1183342569951948E-2</v>
      </c>
      <c r="BK90" s="203"/>
      <c r="BL90" s="203"/>
      <c r="BM90" s="203"/>
      <c r="BN90" s="203"/>
      <c r="BO90" s="203">
        <f>BO4/BJ4-1</f>
        <v>1.755723529472597E-2</v>
      </c>
      <c r="BT90" s="203">
        <f>BT4/BO4-1</f>
        <v>6.9178149480564333E-3</v>
      </c>
      <c r="BY90" s="203">
        <f>BY4/BT4-1</f>
        <v>-8.9159804726050007E-3</v>
      </c>
      <c r="CD90" s="203">
        <f>CD4/BY4-1</f>
        <v>8.5245704565246605E-3</v>
      </c>
      <c r="CI90" s="203">
        <f>CI4/CD4-1</f>
        <v>5.7273971674118851E-3</v>
      </c>
      <c r="CN90" s="203">
        <f>CN4/CI4-1</f>
        <v>-6.1555736539241956E-2</v>
      </c>
      <c r="CS90" s="203">
        <f>CS4/CN4-1</f>
        <v>-6.1688022179044455E-2</v>
      </c>
      <c r="CX90" s="203">
        <f>CX4/CS4-1</f>
        <v>-7.8375653151262603E-2</v>
      </c>
      <c r="DC90" s="203">
        <f>DC4/CX4-1</f>
        <v>-0.10022425055715989</v>
      </c>
      <c r="DH90" s="203">
        <f>DH4/DC4-1</f>
        <v>9.2418797713677225E-2</v>
      </c>
      <c r="DJ90"/>
      <c r="DK90"/>
      <c r="DL90"/>
      <c r="DM90"/>
      <c r="DN90"/>
      <c r="DO90"/>
    </row>
    <row r="91" spans="1:119" s="143" customFormat="1" ht="12.75" customHeight="1">
      <c r="A91" s="139"/>
      <c r="B91" s="129" t="s">
        <v>0</v>
      </c>
      <c r="C91" s="368"/>
      <c r="D91" s="368"/>
      <c r="E91" s="368"/>
      <c r="F91" s="368"/>
      <c r="G91" s="129"/>
      <c r="H91" s="403">
        <f t="shared" ref="H91:AP91" si="144">H11/C11-1</f>
        <v>0.38080313679465472</v>
      </c>
      <c r="I91" s="403">
        <f t="shared" si="144"/>
        <v>0.28716456371068055</v>
      </c>
      <c r="J91" s="403">
        <f t="shared" si="144"/>
        <v>-9.7705504235664598E-2</v>
      </c>
      <c r="K91" s="403">
        <f t="shared" si="144"/>
        <v>0.38094008264462831</v>
      </c>
      <c r="L91" s="203">
        <f t="shared" si="144"/>
        <v>0.21042112701308846</v>
      </c>
      <c r="M91" s="403">
        <f t="shared" si="144"/>
        <v>8.3740606950373886E-2</v>
      </c>
      <c r="N91" s="403">
        <f t="shared" si="144"/>
        <v>-6.968917729492774E-2</v>
      </c>
      <c r="O91" s="403">
        <f t="shared" si="144"/>
        <v>-2.9685126298606423E-2</v>
      </c>
      <c r="P91" s="403">
        <f t="shared" si="144"/>
        <v>-8.0029923321488838E-2</v>
      </c>
      <c r="Q91" s="203">
        <f t="shared" si="144"/>
        <v>-2.886244919119807E-2</v>
      </c>
      <c r="R91" s="403">
        <f t="shared" si="144"/>
        <v>1.0657819685572707</v>
      </c>
      <c r="S91" s="403">
        <f t="shared" si="144"/>
        <v>1.8234764864112787</v>
      </c>
      <c r="T91" s="403">
        <f t="shared" si="144"/>
        <v>3.1590442756702615</v>
      </c>
      <c r="U91" s="403">
        <f t="shared" si="144"/>
        <v>2.3713783878286185</v>
      </c>
      <c r="V91" s="203">
        <f t="shared" si="144"/>
        <v>2.0919757572494975</v>
      </c>
      <c r="W91" s="403">
        <f t="shared" si="144"/>
        <v>0.896828581166492</v>
      </c>
      <c r="X91" s="403">
        <f t="shared" si="144"/>
        <v>0.50342806645225524</v>
      </c>
      <c r="Y91" s="403">
        <f t="shared" si="144"/>
        <v>0.39594376261144237</v>
      </c>
      <c r="Z91" s="403">
        <f t="shared" si="144"/>
        <v>0.47228426297991799</v>
      </c>
      <c r="AA91" s="203">
        <f t="shared" si="144"/>
        <v>0.52686261722176009</v>
      </c>
      <c r="AB91" s="403">
        <f t="shared" si="144"/>
        <v>0.42322318861676189</v>
      </c>
      <c r="AC91" s="403">
        <f t="shared" si="144"/>
        <v>0.45463047534972789</v>
      </c>
      <c r="AD91" s="403">
        <f t="shared" si="144"/>
        <v>0.21567031306791828</v>
      </c>
      <c r="AE91" s="403">
        <f t="shared" si="144"/>
        <v>0.31440568009803238</v>
      </c>
      <c r="AF91" s="203">
        <f t="shared" si="144"/>
        <v>0.33961928879745518</v>
      </c>
      <c r="AG91" s="403">
        <f t="shared" si="144"/>
        <v>0.39083005721226072</v>
      </c>
      <c r="AH91" s="403">
        <f t="shared" si="144"/>
        <v>0.50010064593660797</v>
      </c>
      <c r="AI91" s="403">
        <f t="shared" si="144"/>
        <v>0.56715459610795449</v>
      </c>
      <c r="AJ91" s="403">
        <f t="shared" si="144"/>
        <v>0.36775686781856298</v>
      </c>
      <c r="AK91" s="203">
        <f t="shared" si="144"/>
        <v>0.45545133508561819</v>
      </c>
      <c r="AL91" s="403">
        <f t="shared" si="144"/>
        <v>0.37981358109521124</v>
      </c>
      <c r="AM91" s="403">
        <f t="shared" si="144"/>
        <v>0.2143083885012973</v>
      </c>
      <c r="AN91" s="403">
        <f t="shared" si="144"/>
        <v>7.2708282414090553E-2</v>
      </c>
      <c r="AO91" s="403">
        <f t="shared" si="144"/>
        <v>0.11794884412210438</v>
      </c>
      <c r="AP91" s="203">
        <f t="shared" si="144"/>
        <v>0.18439306893634266</v>
      </c>
      <c r="AQ91" s="403">
        <f t="shared" ref="AQ91" si="145">AQ11/AL11-1</f>
        <v>9.8432026008265616E-2</v>
      </c>
      <c r="AR91" s="403">
        <f t="shared" ref="AR91" si="146">AR11/AM11-1</f>
        <v>0.21233782137817925</v>
      </c>
      <c r="AS91" s="403">
        <f t="shared" ref="AS91" si="147">AS11/AN11-1</f>
        <v>0.22996224967667178</v>
      </c>
      <c r="AT91" s="403">
        <f t="shared" ref="AT91:AV91" si="148">AT11/AO11-1</f>
        <v>0.29005475099586175</v>
      </c>
      <c r="AU91" s="203">
        <f>AU11/AP11-1</f>
        <v>0.20823643683980864</v>
      </c>
      <c r="AV91" s="403">
        <f t="shared" si="148"/>
        <v>4.9076818264029543E-2</v>
      </c>
      <c r="AW91" s="403">
        <f t="shared" ref="AW91" si="149">AW11/AR11-1</f>
        <v>1.9342146671705196E-2</v>
      </c>
      <c r="AX91" s="403">
        <f t="shared" ref="AX91" si="150">AX11/AS11-1</f>
        <v>5.1716329649475812E-2</v>
      </c>
      <c r="AY91" s="403">
        <f t="shared" ref="AY91" si="151">AY11/AT11-1</f>
        <v>0.10459748168301086</v>
      </c>
      <c r="AZ91" s="203">
        <f>AZ11/AU11-1</f>
        <v>5.7270679577571704E-2</v>
      </c>
      <c r="BA91" s="403"/>
      <c r="BB91" s="403"/>
      <c r="BC91" s="403"/>
      <c r="BD91" s="403"/>
      <c r="BE91" s="203">
        <f>BE11/AZ11-1</f>
        <v>6.0803104233912331E-2</v>
      </c>
      <c r="BF91" s="403"/>
      <c r="BG91" s="403"/>
      <c r="BH91" s="403"/>
      <c r="BI91" s="403"/>
      <c r="BJ91" s="203">
        <f>BJ11/BE11-1</f>
        <v>0.11678279447673301</v>
      </c>
      <c r="BK91" s="203"/>
      <c r="BL91" s="203"/>
      <c r="BM91" s="203"/>
      <c r="BN91" s="203"/>
      <c r="BO91" s="203">
        <f>BO11/BJ11-1</f>
        <v>7.4997988945206595E-2</v>
      </c>
      <c r="BT91" s="203">
        <f>BT11/BO11-1</f>
        <v>8.5648674277597925E-2</v>
      </c>
      <c r="BY91" s="203">
        <f>BY11/BT11-1</f>
        <v>6.1289253939530219E-2</v>
      </c>
      <c r="CD91" s="203">
        <f>CD11/BY11-1</f>
        <v>5.137224555388209E-2</v>
      </c>
      <c r="CI91" s="203">
        <f>CI11/CD11-1</f>
        <v>4.9337331708644072E-2</v>
      </c>
      <c r="CN91" s="203">
        <f>CN11/CI11-1</f>
        <v>1.1832314898738705E-3</v>
      </c>
      <c r="CS91" s="203">
        <f>CS11/CN11-1</f>
        <v>-1.7375890809554151E-2</v>
      </c>
      <c r="CX91" s="203">
        <f>CX11/CS11-1</f>
        <v>1.3483981046912508E-2</v>
      </c>
      <c r="DC91" s="203">
        <f>DC11/CX11-1</f>
        <v>-4.1208703917293921E-2</v>
      </c>
      <c r="DH91" s="203">
        <f>DH11/DC11-1</f>
        <v>1.5954615649472315E-2</v>
      </c>
      <c r="DJ91"/>
      <c r="DK91"/>
      <c r="DL91"/>
      <c r="DM91"/>
      <c r="DN91"/>
      <c r="DO91"/>
    </row>
    <row r="92" spans="1:119" s="143" customFormat="1" ht="12.75" customHeight="1">
      <c r="A92" s="139"/>
      <c r="B92" s="129" t="s">
        <v>6</v>
      </c>
      <c r="C92" s="368"/>
      <c r="D92" s="368"/>
      <c r="E92" s="368"/>
      <c r="F92" s="368"/>
      <c r="G92" s="129"/>
      <c r="H92" s="403">
        <f t="shared" ref="H92:AP92" si="152">H13/C13-1</f>
        <v>0.82908163265306101</v>
      </c>
      <c r="I92" s="403">
        <f t="shared" si="152"/>
        <v>-6.8965517241379226E-2</v>
      </c>
      <c r="J92" s="403">
        <f t="shared" si="152"/>
        <v>-0.21186440677966101</v>
      </c>
      <c r="K92" s="403">
        <f t="shared" si="152"/>
        <v>0.54780361757105922</v>
      </c>
      <c r="L92" s="203">
        <f t="shared" si="152"/>
        <v>0.24139976275207586</v>
      </c>
      <c r="M92" s="403">
        <f t="shared" si="152"/>
        <v>-0.46722454672245461</v>
      </c>
      <c r="N92" s="403">
        <f t="shared" si="152"/>
        <v>-2.4691358024691357E-2</v>
      </c>
      <c r="O92" s="403">
        <f t="shared" si="152"/>
        <v>0.20967741935483875</v>
      </c>
      <c r="P92" s="403">
        <f t="shared" si="152"/>
        <v>3.989983305509182</v>
      </c>
      <c r="Q92" s="203">
        <f t="shared" si="152"/>
        <v>1.0143334925943623</v>
      </c>
      <c r="R92" s="403">
        <f t="shared" si="152"/>
        <v>30.903141361256541</v>
      </c>
      <c r="S92" s="403">
        <f t="shared" si="152"/>
        <v>53.308860759493662</v>
      </c>
      <c r="T92" s="403">
        <f t="shared" si="152"/>
        <v>43.433333333333337</v>
      </c>
      <c r="U92" s="403">
        <f t="shared" si="152"/>
        <v>8.9521579123452657</v>
      </c>
      <c r="V92" s="203">
        <f t="shared" si="152"/>
        <v>18.777277039848197</v>
      </c>
      <c r="W92" s="403">
        <f t="shared" si="152"/>
        <v>1.2596209075244111</v>
      </c>
      <c r="X92" s="403">
        <f t="shared" si="152"/>
        <v>0.2542886444154393</v>
      </c>
      <c r="Y92" s="403">
        <f t="shared" si="152"/>
        <v>0.39434858714678667</v>
      </c>
      <c r="Z92" s="403">
        <f t="shared" si="152"/>
        <v>0.13658520186909606</v>
      </c>
      <c r="AA92" s="203">
        <f t="shared" si="152"/>
        <v>0.39282330506950003</v>
      </c>
      <c r="AB92" s="403">
        <f t="shared" si="152"/>
        <v>-2.1134432420655047E-2</v>
      </c>
      <c r="AC92" s="403">
        <f t="shared" si="152"/>
        <v>9.3172780317389625E-2</v>
      </c>
      <c r="AD92" s="403">
        <f t="shared" si="152"/>
        <v>0.1749641319942612</v>
      </c>
      <c r="AE92" s="403">
        <f t="shared" si="152"/>
        <v>0.10065069506063296</v>
      </c>
      <c r="AF92" s="203">
        <f t="shared" si="152"/>
        <v>8.7880483919576591E-2</v>
      </c>
      <c r="AG92" s="403">
        <f t="shared" si="152"/>
        <v>0.50200326457931443</v>
      </c>
      <c r="AH92" s="403">
        <f t="shared" si="152"/>
        <v>0.99911606717889434</v>
      </c>
      <c r="AI92" s="403">
        <f t="shared" si="152"/>
        <v>0.9728921179559189</v>
      </c>
      <c r="AJ92" s="403">
        <f t="shared" si="152"/>
        <v>0.81304920323542862</v>
      </c>
      <c r="AK92" s="203">
        <f t="shared" si="152"/>
        <v>0.83144822345873459</v>
      </c>
      <c r="AL92" s="403">
        <f t="shared" si="152"/>
        <v>0.84933807547915419</v>
      </c>
      <c r="AM92" s="403">
        <f t="shared" si="152"/>
        <v>-0.37752117274922614</v>
      </c>
      <c r="AN92" s="403">
        <f t="shared" si="152"/>
        <v>-0.55958717583709849</v>
      </c>
      <c r="AO92" s="403">
        <f t="shared" si="152"/>
        <v>-0.42143799374527569</v>
      </c>
      <c r="AP92" s="203">
        <f t="shared" si="152"/>
        <v>-0.22650364972967374</v>
      </c>
      <c r="AQ92" s="403">
        <f t="shared" ref="AQ92" si="153">AQ13/AL13-1</f>
        <v>-0.26813665259896358</v>
      </c>
      <c r="AR92" s="403">
        <f t="shared" ref="AR92" si="154">AR13/AM13-1</f>
        <v>-4.0761686200584624E-2</v>
      </c>
      <c r="AS92" s="403">
        <f t="shared" ref="AS92" si="155">AS13/AN13-1</f>
        <v>0.37322137511857489</v>
      </c>
      <c r="AT92" s="403">
        <f t="shared" ref="AT92:AV92" si="156">AT13/AO13-1</f>
        <v>0.19141795824260277</v>
      </c>
      <c r="AU92" s="203">
        <f>AU13/AP13-1</f>
        <v>-1.9410315291908953E-2</v>
      </c>
      <c r="AV92" s="403">
        <f t="shared" si="156"/>
        <v>-0.27005967262176311</v>
      </c>
      <c r="AW92" s="403">
        <f t="shared" ref="AW92" si="157">AW13/AR13-1</f>
        <v>0.28164962547349814</v>
      </c>
      <c r="AX92" s="403">
        <f t="shared" ref="AX92" si="158">AX13/AS13-1</f>
        <v>0.6629995394770507</v>
      </c>
      <c r="AY92" s="403">
        <f t="shared" ref="AY92" si="159">AY13/AT13-1</f>
        <v>0.90338395881449252</v>
      </c>
      <c r="AZ92" s="203">
        <f>AZ13/AU13-1</f>
        <v>0.35906894909252607</v>
      </c>
      <c r="BA92" s="403"/>
      <c r="BB92" s="403"/>
      <c r="BC92" s="403"/>
      <c r="BD92" s="403"/>
      <c r="BE92" s="203">
        <f>BE13/AZ13-1</f>
        <v>0.32144596034421968</v>
      </c>
      <c r="BF92" s="403"/>
      <c r="BG92" s="403"/>
      <c r="BH92" s="403"/>
      <c r="BI92" s="403"/>
      <c r="BJ92" s="203">
        <f>BJ13/BE13-1</f>
        <v>0.58998813034124686</v>
      </c>
      <c r="BK92" s="203"/>
      <c r="BL92" s="203"/>
      <c r="BM92" s="203"/>
      <c r="BN92" s="203"/>
      <c r="BO92" s="203">
        <f>BO13/BJ13-1</f>
        <v>8.5461024420674603E-2</v>
      </c>
      <c r="BT92" s="203">
        <f>BT13/BO13-1</f>
        <v>1.4868528723803953E-2</v>
      </c>
      <c r="BY92" s="203">
        <f>BY13/BT13-1</f>
        <v>8.8517597700745743E-3</v>
      </c>
      <c r="CD92" s="203">
        <f>CD13/BY13-1</f>
        <v>1.56178345102016E-2</v>
      </c>
      <c r="CI92" s="203">
        <f>CI13/CD13-1</f>
        <v>1.4609956335707164E-2</v>
      </c>
      <c r="CN92" s="203">
        <f>CN13/CI13-1</f>
        <v>-1.026023013152555E-2</v>
      </c>
      <c r="CS92" s="203">
        <f>CS13/CN13-1</f>
        <v>-8.7364425089262454E-3</v>
      </c>
      <c r="CX92" s="203">
        <f>CX13/CS13-1</f>
        <v>-1.2747662469884458E-2</v>
      </c>
      <c r="DC92" s="203">
        <f>DC13/CX13-1</f>
        <v>-1.7350839107975302E-2</v>
      </c>
      <c r="DH92" s="203">
        <f>DH13/DC13-1</f>
        <v>4.0546039640982245E-2</v>
      </c>
      <c r="DJ92"/>
      <c r="DK92"/>
      <c r="DL92"/>
      <c r="DM92"/>
      <c r="DN92"/>
      <c r="DO92"/>
    </row>
    <row r="93" spans="1:119" s="143" customFormat="1" ht="12.75" customHeight="1">
      <c r="A93" s="139"/>
      <c r="B93" s="129" t="s">
        <v>2</v>
      </c>
      <c r="C93" s="368"/>
      <c r="D93" s="368"/>
      <c r="E93" s="368"/>
      <c r="F93" s="368"/>
      <c r="G93" s="129"/>
      <c r="H93" s="403">
        <f t="shared" ref="H93:AF93" si="160">H21/C21-1</f>
        <v>0.21834846667808816</v>
      </c>
      <c r="I93" s="403">
        <f t="shared" si="160"/>
        <v>0.26194979367262738</v>
      </c>
      <c r="J93" s="403">
        <f t="shared" si="160"/>
        <v>0.21947040498442361</v>
      </c>
      <c r="K93" s="403">
        <f t="shared" si="160"/>
        <v>-0.17474017967236222</v>
      </c>
      <c r="L93" s="203">
        <f t="shared" si="160"/>
        <v>-0.10020218052642538</v>
      </c>
      <c r="M93" s="403">
        <f t="shared" si="160"/>
        <v>0.15306194192505096</v>
      </c>
      <c r="N93" s="403">
        <f t="shared" si="160"/>
        <v>0.35867565910484389</v>
      </c>
      <c r="O93" s="403">
        <f t="shared" si="160"/>
        <v>0.76056967684250854</v>
      </c>
      <c r="P93" s="403">
        <f t="shared" si="160"/>
        <v>1.1369619352543578</v>
      </c>
      <c r="Q93" s="203">
        <f t="shared" si="160"/>
        <v>0.972826543469131</v>
      </c>
      <c r="R93" s="403">
        <f t="shared" si="160"/>
        <v>1.7957317073170724</v>
      </c>
      <c r="S93" s="403">
        <f t="shared" si="160"/>
        <v>1.001353790613718</v>
      </c>
      <c r="T93" s="403">
        <f t="shared" si="160"/>
        <v>0.44567780317045758</v>
      </c>
      <c r="U93" s="403">
        <f t="shared" si="160"/>
        <v>0.52781754619610455</v>
      </c>
      <c r="V93" s="203">
        <f t="shared" si="160"/>
        <v>0.82558065271538972</v>
      </c>
      <c r="W93" s="403">
        <f t="shared" si="160"/>
        <v>0.12263904034896433</v>
      </c>
      <c r="X93" s="403">
        <f t="shared" si="160"/>
        <v>0.40596267067518466</v>
      </c>
      <c r="Y93" s="403">
        <f t="shared" si="160"/>
        <v>1.0197475723283063</v>
      </c>
      <c r="Z93" s="403">
        <f t="shared" si="160"/>
        <v>0.33723413528591339</v>
      </c>
      <c r="AA93" s="203">
        <f t="shared" si="160"/>
        <v>0.4544564038575909</v>
      </c>
      <c r="AB93" s="403">
        <f t="shared" si="160"/>
        <v>0.38447341324577899</v>
      </c>
      <c r="AC93" s="403">
        <f t="shared" si="160"/>
        <v>0.35866640531727234</v>
      </c>
      <c r="AD93" s="403">
        <f t="shared" si="160"/>
        <v>2.1579516231225115E-2</v>
      </c>
      <c r="AE93" s="403">
        <f t="shared" si="160"/>
        <v>0.86125189446409078</v>
      </c>
      <c r="AF93" s="203">
        <f t="shared" si="160"/>
        <v>0.37885250633398559</v>
      </c>
      <c r="AG93" s="403">
        <f t="shared" ref="AG93" si="161">AG21/AB21-1</f>
        <v>0.63922372058431498</v>
      </c>
      <c r="AH93" s="403">
        <f t="shared" ref="AH93" si="162">AH21/AC21-1</f>
        <v>0.86799480635303694</v>
      </c>
      <c r="AI93" s="403">
        <f t="shared" ref="AI93" si="163">AI21/AD21-1</f>
        <v>1.1100814787790347</v>
      </c>
      <c r="AJ93" s="403">
        <f t="shared" ref="AJ93" si="164">AJ21/AE21-1</f>
        <v>0.86269393758974577</v>
      </c>
      <c r="AK93" s="203">
        <f>AK21/AF21-1</f>
        <v>0.87671244824859285</v>
      </c>
      <c r="AL93" s="403">
        <f t="shared" ref="AL93" si="165">AL21/AG21-1</f>
        <v>0.9654413778934392</v>
      </c>
      <c r="AM93" s="403">
        <f t="shared" ref="AM93" si="166">AM21/AH21-1</f>
        <v>0.71529674434279555</v>
      </c>
      <c r="AN93" s="403">
        <f t="shared" ref="AN93" si="167">AN21/AI21-1</f>
        <v>0.27181981649684173</v>
      </c>
      <c r="AO93" s="403">
        <f t="shared" ref="AO93" si="168">AO21/AJ21-1</f>
        <v>0.18422784405524051</v>
      </c>
      <c r="AP93" s="203">
        <f>AP21/AK21-1</f>
        <v>0.46632915000642905</v>
      </c>
      <c r="AQ93" s="403">
        <f t="shared" ref="AQ93" si="169">AQ21/AL21-1</f>
        <v>5.8533504649491253E-2</v>
      </c>
      <c r="AR93" s="403">
        <f t="shared" ref="AR93" si="170">AR21/AM21-1</f>
        <v>7.3235424136745442E-2</v>
      </c>
      <c r="AS93" s="403">
        <f t="shared" ref="AS93" si="171">AS21/AN21-1</f>
        <v>0.17409233446319505</v>
      </c>
      <c r="AT93" s="403">
        <f t="shared" ref="AT93:AV93" si="172">AT21/AO21-1</f>
        <v>0.3801575803282593</v>
      </c>
      <c r="AU93" s="203">
        <f>AU21/AP21-1</f>
        <v>0.17487749785000539</v>
      </c>
      <c r="AV93" s="403">
        <f t="shared" si="172"/>
        <v>0.14626341581836289</v>
      </c>
      <c r="AW93" s="403">
        <f t="shared" ref="AW93" si="173">AW21/AR21-1</f>
        <v>0.14274058466819195</v>
      </c>
      <c r="AX93" s="403">
        <f t="shared" ref="AX93" si="174">AX21/AS21-1</f>
        <v>0.29587853732622116</v>
      </c>
      <c r="AY93" s="403">
        <f t="shared" ref="AY93" si="175">AY21/AT21-1</f>
        <v>0.49222914770929793</v>
      </c>
      <c r="AZ93" s="203">
        <f>AZ21/AU21-1</f>
        <v>0.28846758384155957</v>
      </c>
      <c r="BA93" s="403"/>
      <c r="BB93" s="403"/>
      <c r="BC93" s="403"/>
      <c r="BD93" s="403"/>
      <c r="BE93" s="203">
        <f>BE21/AZ21-1</f>
        <v>5.1809068189605068E-2</v>
      </c>
      <c r="BF93" s="403"/>
      <c r="BG93" s="403"/>
      <c r="BH93" s="403"/>
      <c r="BI93" s="403"/>
      <c r="BJ93" s="203">
        <f>BJ21/BE21-1</f>
        <v>7.4567264834983771E-3</v>
      </c>
      <c r="BK93" s="203"/>
      <c r="BL93" s="203"/>
      <c r="BM93" s="203"/>
      <c r="BN93" s="203"/>
      <c r="BO93" s="203">
        <f>BO21/BJ21-1</f>
        <v>2.9140616482800086E-2</v>
      </c>
      <c r="BT93" s="203">
        <f>BT21/BO21-1</f>
        <v>2.1468223022832689E-2</v>
      </c>
      <c r="BY93" s="203">
        <f>BY21/BT21-1</f>
        <v>2.1913221883623768E-2</v>
      </c>
      <c r="CD93" s="203">
        <f>CD21/BY21-1</f>
        <v>1.9400829831103916E-2</v>
      </c>
      <c r="CI93" s="203">
        <f>CI21/CD21-1</f>
        <v>1.5690204928577423E-2</v>
      </c>
      <c r="CN93" s="203">
        <f>CN21/CI21-1</f>
        <v>1.6593850294002843E-2</v>
      </c>
      <c r="CS93" s="203">
        <f>CS21/CN21-1</f>
        <v>1.7489906101229469E-2</v>
      </c>
      <c r="CX93" s="203">
        <f>CX21/CS21-1</f>
        <v>1.8377221970451441E-2</v>
      </c>
      <c r="DC93" s="203">
        <f>DC21/CX21-1</f>
        <v>1.9254701200791757E-2</v>
      </c>
      <c r="DH93" s="203">
        <f>DH21/DC21-1</f>
        <v>2.0121306013277218E-2</v>
      </c>
      <c r="DJ93"/>
      <c r="DK93"/>
      <c r="DL93"/>
      <c r="DM93"/>
      <c r="DN93"/>
      <c r="DO93"/>
    </row>
    <row r="94" spans="1:119" s="143" customFormat="1" ht="12.75" customHeight="1">
      <c r="A94" s="139"/>
      <c r="B94" s="129" t="s">
        <v>4</v>
      </c>
      <c r="C94" s="368"/>
      <c r="D94" s="368"/>
      <c r="E94" s="368"/>
      <c r="F94" s="368"/>
      <c r="G94" s="129"/>
      <c r="H94" s="403">
        <f t="shared" ref="H94:AF94" si="176">H26/C26-1</f>
        <v>0.43002702505295454</v>
      </c>
      <c r="I94" s="403">
        <f t="shared" si="176"/>
        <v>0.32149717184366078</v>
      </c>
      <c r="J94" s="403">
        <f t="shared" si="176"/>
        <v>0.15752982908739122</v>
      </c>
      <c r="K94" s="403">
        <f t="shared" si="176"/>
        <v>-4.470073238488137E-3</v>
      </c>
      <c r="L94" s="203">
        <f t="shared" si="176"/>
        <v>0.17109202983233107</v>
      </c>
      <c r="M94" s="403">
        <f t="shared" si="176"/>
        <v>3.5157613368405727E-2</v>
      </c>
      <c r="N94" s="403">
        <f t="shared" si="176"/>
        <v>8.7282977048969812E-2</v>
      </c>
      <c r="O94" s="403">
        <f t="shared" si="176"/>
        <v>-1.7485640307104866E-2</v>
      </c>
      <c r="P94" s="403">
        <f t="shared" si="176"/>
        <v>1.3394329395648441E-2</v>
      </c>
      <c r="Q94" s="203">
        <f t="shared" si="176"/>
        <v>6.3729825455526301E-2</v>
      </c>
      <c r="R94" s="403">
        <f t="shared" si="176"/>
        <v>5.5139349182983466E-2</v>
      </c>
      <c r="S94" s="403">
        <f t="shared" si="176"/>
        <v>3.958787252114071E-3</v>
      </c>
      <c r="T94" s="403">
        <f t="shared" si="176"/>
        <v>0.20890008256260995</v>
      </c>
      <c r="U94" s="403">
        <f t="shared" si="176"/>
        <v>0.3561576395784487</v>
      </c>
      <c r="V94" s="203">
        <f t="shared" si="176"/>
        <v>0.15092763332716008</v>
      </c>
      <c r="W94" s="403">
        <f t="shared" si="176"/>
        <v>0.19665487194675246</v>
      </c>
      <c r="X94" s="403">
        <f t="shared" si="176"/>
        <v>0.17516239856986271</v>
      </c>
      <c r="Y94" s="403">
        <f t="shared" si="176"/>
        <v>0.35064639412795406</v>
      </c>
      <c r="Z94" s="403">
        <f t="shared" si="176"/>
        <v>0.4419908199303495</v>
      </c>
      <c r="AA94" s="203">
        <f t="shared" si="176"/>
        <v>0.30033180519868941</v>
      </c>
      <c r="AB94" s="403">
        <f t="shared" si="176"/>
        <v>0.5896716122393153</v>
      </c>
      <c r="AC94" s="403">
        <f t="shared" si="176"/>
        <v>0.56933410958989872</v>
      </c>
      <c r="AD94" s="403">
        <f t="shared" si="176"/>
        <v>0.48977715578664593</v>
      </c>
      <c r="AE94" s="403">
        <f>AE26/Z26-1</f>
        <v>0.28248727390649475</v>
      </c>
      <c r="AF94" s="203">
        <f t="shared" si="176"/>
        <v>0.46215566558653398</v>
      </c>
      <c r="AG94" s="403">
        <f t="shared" ref="AG94" si="177">AG26/AB26-1</f>
        <v>0.16198299702960139</v>
      </c>
      <c r="AH94" s="403">
        <f t="shared" ref="AH94" si="178">AH26/AC26-1</f>
        <v>0.31751945653344604</v>
      </c>
      <c r="AI94" s="403">
        <f t="shared" ref="AI94" si="179">AI26/AD26-1</f>
        <v>0.24223547118578947</v>
      </c>
      <c r="AJ94" s="403">
        <f>AJ26/AE26-1</f>
        <v>0.29303145742185555</v>
      </c>
      <c r="AK94" s="203">
        <f>AK26/AF26-1</f>
        <v>0.25562324402993153</v>
      </c>
      <c r="AL94" s="403">
        <f t="shared" ref="AL94" si="180">AL26/AG26-1</f>
        <v>0.38221013994520669</v>
      </c>
      <c r="AM94" s="403">
        <f t="shared" ref="AM94" si="181">AM26/AH26-1</f>
        <v>0.22806969738256355</v>
      </c>
      <c r="AN94" s="403">
        <f t="shared" ref="AN94" si="182">AN26/AI26-1</f>
        <v>0.20738048320058322</v>
      </c>
      <c r="AO94" s="403">
        <f>AO26/AJ26-1</f>
        <v>3.9905825442569043E-2</v>
      </c>
      <c r="AP94" s="203">
        <f>AP26/AK26-1</f>
        <v>0.2010279367265746</v>
      </c>
      <c r="AQ94" s="403">
        <f t="shared" ref="AQ94:AV94" si="183">AQ26/AL26-1</f>
        <v>0.10689013035381767</v>
      </c>
      <c r="AR94" s="403">
        <f t="shared" si="183"/>
        <v>8.5879890437436934E-2</v>
      </c>
      <c r="AS94" s="403">
        <f t="shared" si="183"/>
        <v>5.0633750500028496E-2</v>
      </c>
      <c r="AT94" s="403">
        <f t="shared" si="183"/>
        <v>9.9295061969719045E-2</v>
      </c>
      <c r="AU94" s="203">
        <f>AU26/AP26-1</f>
        <v>8.4805401504471467E-2</v>
      </c>
      <c r="AV94" s="403">
        <f t="shared" si="183"/>
        <v>5.022940793788333E-2</v>
      </c>
      <c r="AW94" s="403">
        <f t="shared" ref="AW94" si="184">AW26/AR26-1</f>
        <v>0.10876604579308879</v>
      </c>
      <c r="AX94" s="403">
        <f t="shared" ref="AX94" si="185">AX26/AS26-1</f>
        <v>0.10347787230425221</v>
      </c>
      <c r="AY94" s="403">
        <f t="shared" ref="AY94" si="186">AY26/AT26-1</f>
        <v>0.22333324852497816</v>
      </c>
      <c r="AZ94" s="203">
        <f>AZ26/AU26-1</f>
        <v>0.12173907489872948</v>
      </c>
      <c r="BA94" s="403"/>
      <c r="BB94" s="403"/>
      <c r="BC94" s="403"/>
      <c r="BD94" s="403"/>
      <c r="BE94" s="203">
        <f>BE26/AZ26-1</f>
        <v>-2.6747752967227534E-2</v>
      </c>
      <c r="BF94" s="403"/>
      <c r="BG94" s="403"/>
      <c r="BH94" s="403"/>
      <c r="BI94" s="403"/>
      <c r="BJ94" s="203">
        <f>BJ26/BE26-1</f>
        <v>5.8267491329948573E-3</v>
      </c>
      <c r="BK94" s="203"/>
      <c r="BL94" s="203"/>
      <c r="BM94" s="203"/>
      <c r="BN94" s="203"/>
      <c r="BO94" s="203">
        <f>BO26/BJ26-1</f>
        <v>-8.9794108229934722E-3</v>
      </c>
      <c r="BT94" s="203">
        <f>BT26/BO26-1</f>
        <v>2.3603770720347805E-2</v>
      </c>
      <c r="BY94" s="203">
        <f>BY26/BT26-1</f>
        <v>2.7968200716748548E-2</v>
      </c>
      <c r="CD94" s="203">
        <f>CD26/BY26-1</f>
        <v>-5.056791494398083E-3</v>
      </c>
      <c r="CI94" s="203">
        <f>CI26/CD26-1</f>
        <v>2.4845862979490096E-2</v>
      </c>
      <c r="CN94" s="203">
        <f>CN26/CI26-1</f>
        <v>9.8563897309833504E-3</v>
      </c>
      <c r="CS94" s="203">
        <f>CS26/CN26-1</f>
        <v>2.2601767678049445E-2</v>
      </c>
      <c r="CX94" s="203">
        <f>CX26/CS26-1</f>
        <v>1.3084520482520734E-2</v>
      </c>
      <c r="DC94" s="203">
        <f>DC26/CX26-1</f>
        <v>9.0294136950908044E-3</v>
      </c>
      <c r="DH94" s="203">
        <f>DH26/DC26-1</f>
        <v>1.1493586562819402E-2</v>
      </c>
      <c r="DJ94"/>
      <c r="DK94"/>
      <c r="DL94"/>
      <c r="DM94"/>
      <c r="DN94"/>
      <c r="DO94"/>
    </row>
    <row r="95" spans="1:119" s="143" customFormat="1" ht="12.75" customHeight="1">
      <c r="A95" s="139"/>
      <c r="B95" s="129" t="s">
        <v>20</v>
      </c>
      <c r="C95" s="368"/>
      <c r="D95" s="368"/>
      <c r="E95" s="368"/>
      <c r="F95" s="368"/>
      <c r="G95" s="129"/>
      <c r="H95" s="404"/>
      <c r="I95" s="404"/>
      <c r="J95" s="404"/>
      <c r="K95" s="404"/>
      <c r="L95" s="203"/>
      <c r="M95" s="403">
        <f t="shared" ref="M95:AF95" si="187">M85/H85-1</f>
        <v>-0.16348133848344348</v>
      </c>
      <c r="N95" s="403">
        <f t="shared" si="187"/>
        <v>1.1713861871091491</v>
      </c>
      <c r="O95" s="403">
        <f t="shared" si="187"/>
        <v>0.44801343920379377</v>
      </c>
      <c r="P95" s="403">
        <f t="shared" si="187"/>
        <v>-43.638040931067231</v>
      </c>
      <c r="Q95" s="203">
        <f t="shared" si="187"/>
        <v>1.6640209791652643</v>
      </c>
      <c r="R95" s="403">
        <f t="shared" si="187"/>
        <v>-1.840345983601869</v>
      </c>
      <c r="S95" s="403">
        <f t="shared" si="187"/>
        <v>-1.7915097901887131</v>
      </c>
      <c r="T95" s="403">
        <f t="shared" si="187"/>
        <v>-2.1884211559211986</v>
      </c>
      <c r="U95" s="403">
        <f t="shared" si="187"/>
        <v>-2.7509191676000744</v>
      </c>
      <c r="V95" s="203">
        <f t="shared" si="187"/>
        <v>-2.1971899332761904</v>
      </c>
      <c r="W95" s="403">
        <f t="shared" si="187"/>
        <v>1.3906401223137723</v>
      </c>
      <c r="X95" s="403">
        <f t="shared" si="187"/>
        <v>0.2578977703750065</v>
      </c>
      <c r="Y95" s="403">
        <f t="shared" si="187"/>
        <v>-9.1866429547955764E-2</v>
      </c>
      <c r="Z95" s="403">
        <f t="shared" si="187"/>
        <v>2.8808771928743537E-2</v>
      </c>
      <c r="AA95" s="203">
        <f t="shared" si="187"/>
        <v>0.13742699539161207</v>
      </c>
      <c r="AB95" s="403">
        <f t="shared" si="187"/>
        <v>-8.8483885422001474E-2</v>
      </c>
      <c r="AC95" s="403">
        <f t="shared" si="187"/>
        <v>-5.8043664461360223E-3</v>
      </c>
      <c r="AD95" s="403">
        <f t="shared" si="187"/>
        <v>-0.13479812728868334</v>
      </c>
      <c r="AE95" s="403">
        <f t="shared" si="187"/>
        <v>-6.3935876702149064E-2</v>
      </c>
      <c r="AF95" s="203">
        <f t="shared" si="187"/>
        <v>-7.6062355029983042E-2</v>
      </c>
      <c r="AG95" s="403">
        <f t="shared" ref="AG95" si="188">AG85/AB85-1</f>
        <v>4.3470328474272124E-2</v>
      </c>
      <c r="AH95" s="403">
        <f t="shared" ref="AH95" si="189">AH85/AC85-1</f>
        <v>-6.6107583528174363E-4</v>
      </c>
      <c r="AI95" s="403">
        <f t="shared" ref="AI95" si="190">AI85/AD85-1</f>
        <v>6.298110133327306E-2</v>
      </c>
      <c r="AJ95" s="403">
        <f t="shared" ref="AJ95" si="191">AJ85/AE85-1</f>
        <v>-0.13554584879455123</v>
      </c>
      <c r="AK95" s="203">
        <f>AK85/AF85-1</f>
        <v>-9.0314098724454395E-3</v>
      </c>
      <c r="AL95" s="403">
        <f t="shared" ref="AL95" si="192">AL85/AG85-1</f>
        <v>-0.11918395969790674</v>
      </c>
      <c r="AM95" s="403">
        <f t="shared" ref="AM95" si="193">AM85/AH85-1</f>
        <v>-6.5457213811897286E-2</v>
      </c>
      <c r="AN95" s="403">
        <f t="shared" ref="AN95" si="194">AN85/AI85-1</f>
        <v>-2.2367095677462534E-2</v>
      </c>
      <c r="AO95" s="403">
        <f t="shared" ref="AO95" si="195">AO85/AJ85-1</f>
        <v>0.15395824224274657</v>
      </c>
      <c r="AP95" s="203">
        <f>AP85/AK85-1</f>
        <v>-1.7684126048070903E-2</v>
      </c>
      <c r="AQ95" s="403">
        <f t="shared" ref="AQ95" si="196">AQ85/AL85-1</f>
        <v>8.9611744990440112E-2</v>
      </c>
      <c r="AR95" s="403">
        <f t="shared" ref="AR95" si="197">AR85/AM85-1</f>
        <v>0.11162981612757883</v>
      </c>
      <c r="AS95" s="403">
        <f t="shared" ref="AS95" si="198">AS85/AN85-1</f>
        <v>7.278880725054937E-2</v>
      </c>
      <c r="AT95" s="403">
        <f t="shared" ref="AT95:AV95" si="199">AT85/AO85-1</f>
        <v>6.8202538540247604E-2</v>
      </c>
      <c r="AU95" s="203">
        <f>AU85/AP85-1</f>
        <v>8.608552076440934E-2</v>
      </c>
      <c r="AV95" s="403">
        <f t="shared" si="199"/>
        <v>-2.1266740715481181E-2</v>
      </c>
      <c r="AW95" s="403">
        <f t="shared" ref="AW95" si="200">AW85/AR85-1</f>
        <v>-7.265644309136976E-2</v>
      </c>
      <c r="AX95" s="403">
        <f t="shared" ref="AX95" si="201">AX85/AS85-1</f>
        <v>-0.11329602376730186</v>
      </c>
      <c r="AY95" s="403">
        <f>AY85/AT85-1</f>
        <v>-0.26901163592612365</v>
      </c>
      <c r="AZ95" s="203">
        <f>AZ85/AU85-1</f>
        <v>-0.12692097099855226</v>
      </c>
      <c r="BA95" s="403"/>
      <c r="BB95" s="403"/>
      <c r="BC95" s="403"/>
      <c r="BD95" s="403"/>
      <c r="BE95" s="203">
        <f>BE85/AZ85-1</f>
        <v>6.9160637244953804E-2</v>
      </c>
      <c r="BF95" s="403"/>
      <c r="BG95" s="403"/>
      <c r="BH95" s="403"/>
      <c r="BI95" s="403"/>
      <c r="BJ95" s="203">
        <f>BJ85/BE85-1</f>
        <v>7.0347621903134261E-2</v>
      </c>
      <c r="BK95" s="203"/>
      <c r="BL95" s="203"/>
      <c r="BM95" s="203"/>
      <c r="BN95" s="203"/>
      <c r="BO95" s="203">
        <f>BO85/BJ85-1</f>
        <v>5.9167872721600956E-2</v>
      </c>
      <c r="BT95" s="203">
        <f>BT85/BO85-1</f>
        <v>5.8291772736070779E-2</v>
      </c>
      <c r="BY95" s="203">
        <f>BY85/BT85-1</f>
        <v>3.037862484630649E-2</v>
      </c>
      <c r="CD95" s="203">
        <f>CD85/BY85-1</f>
        <v>3.4526976219377836E-2</v>
      </c>
      <c r="CI95" s="203">
        <f>CI85/CD85-1</f>
        <v>2.1052697697913292E-2</v>
      </c>
      <c r="CN95" s="203">
        <f>CN85/CI85-1</f>
        <v>-1.0062251469231676E-2</v>
      </c>
      <c r="CS95" s="203">
        <f>CS85/CN85-1</f>
        <v>-3.0065120611466045E-2</v>
      </c>
      <c r="CX95" s="203">
        <f>CX85/CS85-1</f>
        <v>1.6134401732168513E-3</v>
      </c>
      <c r="DC95" s="203">
        <f>DC85/CX85-1</f>
        <v>-4.8200291772176662E-2</v>
      </c>
      <c r="DH95" s="203">
        <f>DH85/DC85-1</f>
        <v>-8.7064731809416429E-5</v>
      </c>
      <c r="DJ95"/>
      <c r="DK95"/>
      <c r="DL95"/>
      <c r="DM95"/>
      <c r="DN95"/>
      <c r="DO95"/>
    </row>
    <row r="96" spans="1:119" s="143" customFormat="1" ht="12.75" customHeight="1" thickBot="1">
      <c r="A96" s="139"/>
      <c r="B96" s="137" t="s">
        <v>16</v>
      </c>
      <c r="C96" s="405"/>
      <c r="D96" s="405"/>
      <c r="E96" s="405"/>
      <c r="F96" s="405"/>
      <c r="G96" s="137"/>
      <c r="H96" s="406">
        <f t="shared" ref="H96:AK96" si="202">H41/C41-1</f>
        <v>0.71006541039533522</v>
      </c>
      <c r="I96" s="406">
        <f t="shared" si="202"/>
        <v>0.66626707329380763</v>
      </c>
      <c r="J96" s="406">
        <f t="shared" si="202"/>
        <v>31.649973926707901</v>
      </c>
      <c r="K96" s="406">
        <f t="shared" si="202"/>
        <v>-0.97341598891936021</v>
      </c>
      <c r="L96" s="204">
        <f t="shared" si="202"/>
        <v>-8.341492827733632E-2</v>
      </c>
      <c r="M96" s="406">
        <f t="shared" si="202"/>
        <v>-0.14562952362971315</v>
      </c>
      <c r="N96" s="406">
        <f t="shared" si="202"/>
        <v>0.77255977517695329</v>
      </c>
      <c r="O96" s="406">
        <f t="shared" si="202"/>
        <v>0.29705121704425341</v>
      </c>
      <c r="P96" s="406">
        <f t="shared" si="202"/>
        <v>29.586864039381883</v>
      </c>
      <c r="Q96" s="204">
        <f t="shared" si="202"/>
        <v>1.2906550101752061</v>
      </c>
      <c r="R96" s="406">
        <f t="shared" si="202"/>
        <v>-2.1624968535480216</v>
      </c>
      <c r="S96" s="406">
        <f t="shared" si="202"/>
        <v>-2.6265798412085917</v>
      </c>
      <c r="T96" s="406">
        <f t="shared" si="202"/>
        <v>-4.5191665545984829</v>
      </c>
      <c r="U96" s="406">
        <f t="shared" si="202"/>
        <v>-4.9815069113482418</v>
      </c>
      <c r="V96" s="204">
        <f t="shared" si="202"/>
        <v>-3.610678651671285</v>
      </c>
      <c r="W96" s="406">
        <f t="shared" si="202"/>
        <v>3.7684956205597704</v>
      </c>
      <c r="X96" s="406">
        <f t="shared" si="202"/>
        <v>0.92014746840906758</v>
      </c>
      <c r="Y96" s="406">
        <f t="shared" si="202"/>
        <v>0.26937150250152131</v>
      </c>
      <c r="Z96" s="406">
        <f t="shared" si="202"/>
        <v>0.51652321986227534</v>
      </c>
      <c r="AA96" s="204">
        <f t="shared" si="202"/>
        <v>0.75256978209290026</v>
      </c>
      <c r="AB96" s="406">
        <f t="shared" si="202"/>
        <v>0.26640033734417456</v>
      </c>
      <c r="AC96" s="406">
        <f t="shared" si="202"/>
        <v>0.42621624059430974</v>
      </c>
      <c r="AD96" s="406">
        <f t="shared" si="202"/>
        <v>4.8016378387741865E-2</v>
      </c>
      <c r="AE96" s="406">
        <f t="shared" si="202"/>
        <v>0.24676182542588143</v>
      </c>
      <c r="AF96" s="204">
        <f t="shared" si="202"/>
        <v>0.2246201829990353</v>
      </c>
      <c r="AG96" s="406">
        <f t="shared" ref="AG96" si="203">AG41/AB41-1</f>
        <v>0.27957928873539095</v>
      </c>
      <c r="AH96" s="406">
        <f t="shared" ref="AH96" si="204">AH41/AC41-1</f>
        <v>0.17110844849166895</v>
      </c>
      <c r="AI96" s="406">
        <f t="shared" ref="AI96" si="205">AI41/AD41-1</f>
        <v>0.37820841515869152</v>
      </c>
      <c r="AJ96" s="406">
        <f t="shared" ref="AJ96" si="206">AJ41/AE41-1</f>
        <v>1.1792407700261354E-2</v>
      </c>
      <c r="AK96" s="204">
        <f t="shared" si="202"/>
        <v>0.20585199861581605</v>
      </c>
      <c r="AL96" s="406">
        <f t="shared" ref="AL96" si="207">AL41/AG41-1</f>
        <v>-0.10890951716930675</v>
      </c>
      <c r="AM96" s="406">
        <f t="shared" ref="AM96" si="208">AM41/AH41-1</f>
        <v>-2.2848687228720577E-2</v>
      </c>
      <c r="AN96" s="406">
        <f t="shared" ref="AN96" si="209">AN41/AI41-1</f>
        <v>-9.8903536885030063E-2</v>
      </c>
      <c r="AO96" s="406">
        <f t="shared" ref="AO96" si="210">AO41/AJ41-1</f>
        <v>7.8748860292310541E-2</v>
      </c>
      <c r="AP96" s="204">
        <f t="shared" ref="AP96:BJ96" si="211">AP41/AK41-1</f>
        <v>-4.0345517003497422E-2</v>
      </c>
      <c r="AQ96" s="406">
        <f t="shared" ref="AQ96" si="212">AQ41/AL41-1</f>
        <v>0.13643249903375754</v>
      </c>
      <c r="AR96" s="406">
        <f t="shared" ref="AR96" si="213">AR41/AM41-1</f>
        <v>0.47517750932372405</v>
      </c>
      <c r="AS96" s="406">
        <f t="shared" ref="AS96" si="214">AS41/AN41-1</f>
        <v>0.27616081402720138</v>
      </c>
      <c r="AT96" s="406">
        <f t="shared" ref="AT96:AV96" si="215">AT41/AO41-1</f>
        <v>0.71852769597662469</v>
      </c>
      <c r="AU96" s="204">
        <f t="shared" si="211"/>
        <v>0.41002134986759797</v>
      </c>
      <c r="AV96" s="406">
        <f t="shared" si="215"/>
        <v>0.42934880492962835</v>
      </c>
      <c r="AW96" s="406">
        <f t="shared" ref="AW96" si="216">AW41/AR41-1</f>
        <v>0.10030555335498814</v>
      </c>
      <c r="AX96" s="406">
        <f t="shared" ref="AX96" si="217">AX41/AS41-1</f>
        <v>0.15385616853905959</v>
      </c>
      <c r="AY96" s="406">
        <f t="shared" ref="AY96" si="218">AY41/AT41-1</f>
        <v>-0.22716137910090606</v>
      </c>
      <c r="AZ96" s="204">
        <f t="shared" si="211"/>
        <v>6.0585835763534268E-2</v>
      </c>
      <c r="BA96" s="406"/>
      <c r="BB96" s="406"/>
      <c r="BC96" s="406"/>
      <c r="BD96" s="406"/>
      <c r="BE96" s="204">
        <f t="shared" si="211"/>
        <v>8.6860423906226059E-2</v>
      </c>
      <c r="BF96" s="406"/>
      <c r="BG96" s="406"/>
      <c r="BH96" s="406"/>
      <c r="BI96" s="406"/>
      <c r="BJ96" s="204">
        <f t="shared" si="211"/>
        <v>0.16027638945259493</v>
      </c>
      <c r="BK96" s="203"/>
      <c r="BL96" s="203"/>
      <c r="BM96" s="203"/>
      <c r="BN96" s="203"/>
      <c r="BO96" s="204">
        <f t="shared" ref="BO96" si="219">BO41/BJ41-1</f>
        <v>0.127477123482725</v>
      </c>
      <c r="BT96" s="204">
        <f t="shared" ref="BT96" si="220">BT41/BO41-1</f>
        <v>0.12718934100665868</v>
      </c>
      <c r="BY96" s="204">
        <f t="shared" ref="BY96" si="221">BY41/BT41-1</f>
        <v>8.3052295276642596E-2</v>
      </c>
      <c r="CD96" s="204">
        <f t="shared" ref="CD96" si="222">CD41/BY41-1</f>
        <v>7.7418492004403872E-2</v>
      </c>
      <c r="CI96" s="204">
        <f t="shared" ref="CI96" si="223">CI41/CD41-1</f>
        <v>6.397977017035994E-2</v>
      </c>
      <c r="CN96" s="204">
        <f t="shared" ref="CN96" si="224">CN41/CI41-1</f>
        <v>-6.9128493029657623E-3</v>
      </c>
      <c r="CS96" s="204">
        <f t="shared" ref="CS96" si="225">CS41/CN41-1</f>
        <v>-3.662085363962464E-2</v>
      </c>
      <c r="CX96" s="204">
        <f t="shared" ref="CX96" si="226">CX41/CS41-1</f>
        <v>2.535853762768836E-2</v>
      </c>
      <c r="DC96" s="204">
        <f t="shared" ref="DC96" si="227">DC41/CX41-1</f>
        <v>-7.3504627930680022E-2</v>
      </c>
      <c r="DH96" s="204">
        <f t="shared" ref="DH96" si="228">DH41/DC41-1</f>
        <v>3.718623317266001E-2</v>
      </c>
      <c r="DJ96"/>
      <c r="DK96"/>
      <c r="DL96"/>
      <c r="DM96"/>
      <c r="DN96"/>
      <c r="DO96"/>
    </row>
    <row r="97" spans="1:119" s="143" customFormat="1" ht="15.75" customHeight="1">
      <c r="A97" s="139"/>
      <c r="B97" s="129"/>
      <c r="C97" s="129"/>
      <c r="D97" s="129"/>
      <c r="E97" s="129"/>
      <c r="F97" s="129"/>
      <c r="G97" s="129"/>
      <c r="H97" s="129"/>
      <c r="I97" s="129"/>
      <c r="J97" s="129"/>
      <c r="K97" s="129"/>
      <c r="L97" s="129"/>
      <c r="M97" s="129"/>
      <c r="N97" s="129"/>
      <c r="O97" s="129"/>
      <c r="P97" s="129"/>
      <c r="Q97" s="129"/>
      <c r="R97" s="129"/>
      <c r="S97" s="129"/>
      <c r="T97" s="129"/>
      <c r="U97" s="129"/>
      <c r="V97" s="129"/>
      <c r="W97" s="129"/>
      <c r="X97" s="129"/>
      <c r="Y97" s="129"/>
      <c r="Z97" s="129"/>
      <c r="AA97" s="129"/>
      <c r="AB97" s="129"/>
      <c r="AC97" s="129"/>
      <c r="AD97" s="129"/>
      <c r="AE97" s="129"/>
      <c r="AF97" s="129"/>
      <c r="AG97" s="129"/>
      <c r="AH97" s="129"/>
      <c r="AI97" s="129"/>
      <c r="AJ97" s="129"/>
      <c r="AK97" s="129"/>
      <c r="AL97" s="129"/>
      <c r="AM97" s="129"/>
      <c r="AN97" s="129"/>
      <c r="AO97" s="129"/>
      <c r="AP97" s="129"/>
      <c r="AQ97" s="129"/>
      <c r="AR97" s="129"/>
      <c r="AS97" s="129"/>
      <c r="AT97" s="129"/>
      <c r="AU97" s="129"/>
      <c r="AV97" s="129"/>
      <c r="AW97" s="129"/>
      <c r="AX97" s="129"/>
      <c r="AY97" s="129"/>
      <c r="AZ97" s="129"/>
      <c r="BA97" s="129"/>
      <c r="BB97" s="129"/>
      <c r="BC97" s="129"/>
      <c r="BD97" s="129"/>
      <c r="BE97" s="129"/>
      <c r="BF97" s="129"/>
      <c r="DJ97"/>
      <c r="DK97"/>
      <c r="DL97"/>
      <c r="DM97"/>
      <c r="DN97"/>
      <c r="DO97"/>
    </row>
    <row r="98" spans="1:119" s="143" customFormat="1" ht="15.75" customHeight="1">
      <c r="A98" s="139"/>
      <c r="B98" s="129" t="s">
        <v>767</v>
      </c>
      <c r="C98" s="129"/>
      <c r="D98" s="129"/>
      <c r="E98" s="129"/>
      <c r="F98" s="129"/>
      <c r="G98" s="129"/>
      <c r="H98" s="129"/>
      <c r="I98" s="129"/>
      <c r="J98" s="129"/>
      <c r="K98" s="129"/>
      <c r="L98" s="129"/>
      <c r="M98" s="129"/>
      <c r="N98" s="129"/>
      <c r="O98" s="129"/>
      <c r="P98" s="129"/>
      <c r="Q98" s="129"/>
      <c r="R98" s="129"/>
      <c r="S98" s="129"/>
      <c r="T98" s="129"/>
      <c r="U98" s="129"/>
      <c r="V98" s="129"/>
      <c r="W98" s="129"/>
      <c r="X98" s="129"/>
      <c r="Y98" s="129"/>
      <c r="Z98" s="129"/>
      <c r="AA98" s="129"/>
      <c r="AB98" s="129"/>
      <c r="AC98" s="129"/>
      <c r="AD98" s="129"/>
      <c r="AE98" s="129"/>
      <c r="AF98" s="129"/>
      <c r="AG98" s="129"/>
      <c r="AH98" s="129"/>
      <c r="AI98" s="129"/>
      <c r="AJ98" s="129"/>
      <c r="AK98" s="129"/>
      <c r="AL98" s="129"/>
      <c r="AM98" s="129"/>
      <c r="AN98" s="129"/>
      <c r="AO98" s="129"/>
      <c r="AP98" s="129"/>
      <c r="AQ98" s="129"/>
      <c r="AR98" s="129"/>
      <c r="AS98" s="129"/>
      <c r="AT98" s="129"/>
      <c r="AU98" s="129"/>
      <c r="AV98" s="129"/>
      <c r="AW98" s="129"/>
      <c r="AX98" s="129"/>
      <c r="AY98" s="129"/>
      <c r="AZ98" s="129"/>
      <c r="BA98" s="129"/>
      <c r="BB98" s="129"/>
      <c r="BC98" s="129"/>
      <c r="BD98" s="129"/>
      <c r="BE98" s="129"/>
      <c r="BF98" s="129"/>
      <c r="DJ98"/>
      <c r="DK98"/>
      <c r="DL98"/>
      <c r="DM98"/>
      <c r="DN98"/>
      <c r="DO98"/>
    </row>
    <row r="99" spans="1:119" s="770" customFormat="1" ht="15.75" customHeight="1">
      <c r="A99" s="769"/>
      <c r="B99" s="769" t="s">
        <v>768</v>
      </c>
      <c r="C99" s="769"/>
      <c r="D99" s="769"/>
      <c r="E99" s="769"/>
      <c r="F99" s="769"/>
      <c r="G99" s="769"/>
      <c r="H99" s="769"/>
      <c r="I99" s="769"/>
      <c r="J99" s="769"/>
      <c r="K99" s="769"/>
      <c r="L99" s="769"/>
      <c r="M99" s="769"/>
      <c r="N99" s="769"/>
      <c r="O99" s="769"/>
      <c r="P99" s="769"/>
      <c r="Q99" s="769"/>
      <c r="R99" s="769"/>
      <c r="S99" s="769"/>
      <c r="T99" s="769"/>
      <c r="U99" s="769"/>
      <c r="V99" s="769"/>
      <c r="W99" s="769"/>
      <c r="X99" s="769"/>
      <c r="Y99" s="769"/>
      <c r="Z99" s="769"/>
      <c r="AA99" s="769"/>
      <c r="AB99" s="771">
        <f t="shared" ref="AB99:AC99" si="229">AB46</f>
        <v>0</v>
      </c>
      <c r="AC99" s="771">
        <f t="shared" si="229"/>
        <v>0</v>
      </c>
      <c r="AD99" s="771">
        <f>AD46</f>
        <v>0</v>
      </c>
      <c r="AE99" s="771">
        <f>AE46</f>
        <v>0</v>
      </c>
      <c r="AF99" s="771">
        <f>AF46</f>
        <v>0</v>
      </c>
      <c r="AG99" s="771"/>
      <c r="AH99" s="771"/>
      <c r="AI99" s="771"/>
      <c r="AJ99" s="771"/>
      <c r="AK99" s="771"/>
      <c r="AL99" s="771"/>
      <c r="AM99" s="771"/>
      <c r="AN99" s="771"/>
      <c r="AO99" s="771"/>
      <c r="AP99" s="771"/>
      <c r="AQ99" s="771"/>
      <c r="AR99" s="771"/>
      <c r="AS99" s="771"/>
      <c r="AT99" s="771"/>
      <c r="AU99" s="771"/>
      <c r="AV99" s="771"/>
      <c r="AW99" s="771"/>
      <c r="AX99" s="771"/>
      <c r="AY99" s="771"/>
      <c r="AZ99" s="771">
        <f t="shared" ref="AZ99:BJ99" si="230">AZ46</f>
        <v>91.625594516038575</v>
      </c>
      <c r="BA99" s="771"/>
      <c r="BB99" s="771"/>
      <c r="BC99" s="771"/>
      <c r="BD99" s="771"/>
      <c r="BE99" s="771">
        <f t="shared" si="230"/>
        <v>100.17519194897832</v>
      </c>
      <c r="BF99" s="771"/>
      <c r="BG99" s="771"/>
      <c r="BH99" s="771"/>
      <c r="BI99" s="771"/>
      <c r="BJ99" s="771">
        <f t="shared" si="230"/>
        <v>103.41098835725531</v>
      </c>
      <c r="BK99" s="771"/>
      <c r="BL99" s="771"/>
      <c r="BM99" s="771"/>
      <c r="BN99" s="771"/>
      <c r="DJ99"/>
      <c r="DK99"/>
      <c r="DL99"/>
      <c r="DM99"/>
      <c r="DN99"/>
      <c r="DO99"/>
    </row>
    <row r="100" spans="1:119" ht="15.75" customHeight="1"/>
    <row r="101" spans="1:119" customFormat="1" ht="15.75" customHeight="1"/>
    <row r="102" spans="1:119" ht="15.75" customHeight="1"/>
    <row r="103" spans="1:119" ht="15.75" customHeight="1"/>
    <row r="104" spans="1:119" ht="15.75" customHeight="1">
      <c r="A104" s="125"/>
      <c r="B104" s="125"/>
      <c r="C104" s="125"/>
      <c r="D104" s="125"/>
      <c r="E104" s="125"/>
      <c r="F104" s="125"/>
      <c r="G104" s="125"/>
      <c r="H104" s="125"/>
      <c r="I104" s="125"/>
      <c r="J104" s="125"/>
      <c r="K104" s="125"/>
      <c r="L104" s="125"/>
      <c r="M104" s="125"/>
      <c r="N104" s="125"/>
      <c r="O104" s="125"/>
      <c r="P104" s="125"/>
      <c r="Q104" s="125"/>
      <c r="R104" s="125"/>
      <c r="S104" s="125"/>
      <c r="T104" s="125"/>
      <c r="Z104" s="125"/>
      <c r="AA104" s="125"/>
      <c r="AB104" s="125"/>
      <c r="AC104" s="125"/>
      <c r="AD104" s="125"/>
      <c r="AE104" s="125"/>
      <c r="AF104" s="125"/>
      <c r="AG104" s="125"/>
      <c r="AH104" s="125"/>
      <c r="AI104" s="125"/>
      <c r="AJ104" s="125"/>
      <c r="AK104" s="125"/>
      <c r="AL104" s="125"/>
      <c r="AM104" s="125"/>
      <c r="AN104" s="125"/>
      <c r="AO104" s="125"/>
      <c r="AP104" s="125"/>
      <c r="AQ104" s="125"/>
      <c r="AR104" s="125"/>
      <c r="AS104" s="125"/>
      <c r="AT104" s="125"/>
      <c r="AU104" s="125"/>
      <c r="AV104" s="125"/>
      <c r="AW104" s="125"/>
      <c r="AX104" s="125"/>
      <c r="AY104" s="125"/>
      <c r="AZ104" s="125"/>
      <c r="BA104" s="125"/>
      <c r="BB104" s="125"/>
      <c r="BC104" s="125"/>
      <c r="BD104" s="125"/>
      <c r="BE104" s="125"/>
      <c r="BF104" s="125"/>
    </row>
    <row r="105" spans="1:119" ht="15.75" customHeight="1">
      <c r="A105" s="125"/>
      <c r="B105" s="125"/>
      <c r="C105" s="125"/>
      <c r="D105" s="125"/>
      <c r="E105" s="125"/>
      <c r="F105" s="125"/>
      <c r="G105" s="125"/>
      <c r="H105" s="125"/>
      <c r="I105" s="125"/>
      <c r="J105" s="125"/>
      <c r="K105" s="125"/>
      <c r="L105" s="125"/>
      <c r="M105" s="125"/>
      <c r="N105" s="125"/>
      <c r="O105" s="125"/>
      <c r="P105" s="125"/>
      <c r="Q105" s="125"/>
      <c r="R105" s="125"/>
      <c r="S105" s="125"/>
      <c r="T105" s="125"/>
      <c r="Y105" s="136"/>
      <c r="Z105" s="125"/>
      <c r="AA105" s="125"/>
      <c r="AB105" s="125"/>
      <c r="AC105" s="125"/>
      <c r="AD105" s="125"/>
      <c r="AE105" s="125"/>
      <c r="AF105" s="125"/>
      <c r="AG105" s="125"/>
      <c r="AH105" s="125"/>
      <c r="AI105" s="125"/>
      <c r="AJ105" s="125"/>
      <c r="AK105" s="125"/>
      <c r="AL105" s="125"/>
      <c r="AM105" s="125"/>
      <c r="AN105" s="125"/>
      <c r="AO105" s="125"/>
      <c r="AP105" s="125"/>
      <c r="AQ105" s="125"/>
      <c r="AR105" s="125"/>
      <c r="AS105" s="125"/>
      <c r="AT105" s="125"/>
      <c r="AU105" s="125"/>
      <c r="AV105" s="125"/>
      <c r="AW105" s="125"/>
      <c r="AX105" s="125"/>
      <c r="AY105" s="125"/>
      <c r="AZ105" s="125"/>
      <c r="BA105" s="125"/>
      <c r="BB105" s="125"/>
      <c r="BC105" s="125"/>
      <c r="BD105" s="125"/>
      <c r="BE105" s="125"/>
      <c r="BF105" s="125"/>
    </row>
    <row r="106" spans="1:119" ht="15.75" customHeight="1">
      <c r="A106" s="125"/>
      <c r="B106" s="125"/>
      <c r="C106" s="125"/>
      <c r="D106" s="125"/>
      <c r="E106" s="125"/>
      <c r="F106" s="125"/>
      <c r="G106" s="125"/>
      <c r="H106" s="125"/>
      <c r="I106" s="125"/>
      <c r="J106" s="125"/>
      <c r="K106" s="125"/>
      <c r="L106" s="125"/>
      <c r="M106" s="125"/>
      <c r="N106" s="125"/>
      <c r="O106" s="125"/>
      <c r="P106" s="125"/>
      <c r="Q106" s="125"/>
      <c r="R106" s="125"/>
      <c r="S106" s="125"/>
      <c r="T106" s="125"/>
      <c r="Y106" s="136"/>
      <c r="Z106" s="125"/>
      <c r="AA106" s="125"/>
      <c r="AB106" s="125"/>
      <c r="AC106" s="125"/>
      <c r="AD106" s="125"/>
      <c r="AE106" s="125"/>
      <c r="AF106" s="125"/>
      <c r="AG106" s="125"/>
      <c r="AH106" s="125"/>
      <c r="AI106" s="125"/>
      <c r="AJ106" s="125"/>
      <c r="AK106" s="125"/>
      <c r="AL106" s="125"/>
      <c r="AM106" s="125"/>
      <c r="AN106" s="125"/>
      <c r="AO106" s="125"/>
      <c r="AP106" s="125"/>
      <c r="AQ106" s="125"/>
      <c r="AR106" s="125"/>
      <c r="AS106" s="125"/>
      <c r="AT106" s="125"/>
      <c r="AU106" s="125"/>
      <c r="AV106" s="125"/>
      <c r="AW106" s="125"/>
      <c r="AX106" s="125"/>
      <c r="AY106" s="125"/>
      <c r="AZ106" s="125"/>
      <c r="BA106" s="125"/>
      <c r="BB106" s="125"/>
      <c r="BC106" s="125"/>
      <c r="BD106" s="125"/>
      <c r="BE106" s="125"/>
      <c r="BF106" s="125"/>
    </row>
    <row r="107" spans="1:119" ht="15.75" customHeight="1">
      <c r="A107" s="125"/>
      <c r="B107" s="125"/>
      <c r="C107" s="125"/>
      <c r="D107" s="125"/>
      <c r="E107" s="125"/>
      <c r="F107" s="125"/>
      <c r="G107" s="125"/>
      <c r="H107" s="125"/>
      <c r="I107" s="125"/>
      <c r="J107" s="125"/>
      <c r="K107" s="125"/>
      <c r="L107" s="125"/>
      <c r="M107" s="125"/>
      <c r="N107" s="125"/>
      <c r="O107" s="125"/>
      <c r="P107" s="125"/>
      <c r="Q107" s="125"/>
      <c r="R107" s="125"/>
      <c r="S107" s="125"/>
      <c r="T107" s="125"/>
      <c r="Z107" s="125"/>
      <c r="AA107" s="125"/>
      <c r="AB107" s="125"/>
      <c r="AC107" s="125"/>
      <c r="AD107" s="125"/>
      <c r="AE107" s="125"/>
      <c r="AF107" s="125"/>
      <c r="AG107" s="125"/>
      <c r="AH107" s="125"/>
      <c r="AI107" s="125"/>
      <c r="AJ107" s="125"/>
      <c r="AK107" s="125"/>
      <c r="AL107" s="125"/>
      <c r="AM107" s="125"/>
      <c r="AN107" s="125"/>
      <c r="AO107" s="125"/>
      <c r="AP107" s="125"/>
      <c r="AQ107" s="125"/>
      <c r="AR107" s="125"/>
      <c r="AS107" s="125"/>
      <c r="AT107" s="125"/>
      <c r="AU107" s="125"/>
      <c r="AV107" s="125"/>
      <c r="AW107" s="125"/>
      <c r="AX107" s="125"/>
      <c r="AY107" s="125"/>
      <c r="AZ107" s="125"/>
      <c r="BA107" s="125"/>
      <c r="BB107" s="125"/>
      <c r="BC107" s="125"/>
      <c r="BD107" s="125"/>
      <c r="BE107" s="125"/>
      <c r="BF107" s="125"/>
    </row>
    <row r="108" spans="1:119" ht="15.75" customHeight="1">
      <c r="A108" s="125"/>
      <c r="B108" s="125"/>
      <c r="C108" s="125"/>
      <c r="D108" s="125"/>
      <c r="E108" s="125"/>
      <c r="F108" s="125"/>
      <c r="G108" s="125"/>
      <c r="H108" s="125"/>
      <c r="I108" s="125"/>
      <c r="J108" s="125"/>
      <c r="K108" s="125"/>
      <c r="L108" s="125"/>
      <c r="M108" s="125"/>
      <c r="N108" s="125"/>
      <c r="O108" s="125"/>
      <c r="P108" s="125"/>
      <c r="Q108" s="125"/>
      <c r="R108" s="125"/>
      <c r="S108" s="125"/>
      <c r="T108" s="125"/>
      <c r="Z108" s="125"/>
      <c r="AA108" s="125"/>
      <c r="AB108" s="125"/>
      <c r="AC108" s="125"/>
      <c r="AD108" s="125"/>
      <c r="AE108" s="125"/>
      <c r="AF108" s="125"/>
      <c r="AG108" s="125"/>
      <c r="AH108" s="125"/>
      <c r="AI108" s="125"/>
      <c r="AJ108" s="125"/>
      <c r="AK108" s="125"/>
      <c r="AL108" s="125"/>
      <c r="AM108" s="125"/>
      <c r="AN108" s="125"/>
      <c r="AO108" s="125"/>
      <c r="AP108" s="125"/>
      <c r="AQ108" s="125"/>
      <c r="AR108" s="125"/>
      <c r="AS108" s="125"/>
      <c r="AT108" s="125"/>
      <c r="AU108" s="125"/>
      <c r="AV108" s="125"/>
      <c r="AW108" s="125"/>
      <c r="AX108" s="125"/>
      <c r="AY108" s="125"/>
      <c r="AZ108" s="125"/>
      <c r="BA108" s="125"/>
      <c r="BB108" s="125"/>
      <c r="BC108" s="125"/>
      <c r="BD108" s="125"/>
      <c r="BE108" s="125"/>
      <c r="BF108" s="125"/>
    </row>
    <row r="109" spans="1:119" ht="15.75" customHeight="1">
      <c r="A109" s="125"/>
      <c r="B109" s="125"/>
      <c r="C109" s="125"/>
      <c r="D109" s="125"/>
      <c r="E109" s="125"/>
      <c r="F109" s="125"/>
      <c r="G109" s="125"/>
      <c r="H109" s="125"/>
      <c r="I109" s="125"/>
      <c r="J109" s="125"/>
      <c r="K109" s="125"/>
      <c r="L109" s="125"/>
      <c r="M109" s="125"/>
      <c r="N109" s="125"/>
      <c r="O109" s="125"/>
      <c r="P109" s="125"/>
      <c r="Q109" s="125"/>
      <c r="R109" s="125"/>
      <c r="S109" s="125"/>
      <c r="T109" s="125"/>
      <c r="Z109" s="125"/>
      <c r="AA109" s="125"/>
      <c r="AB109" s="125"/>
      <c r="AC109" s="125"/>
      <c r="AD109" s="125"/>
      <c r="AE109" s="125"/>
      <c r="AF109" s="125"/>
      <c r="AG109" s="125"/>
      <c r="AH109" s="125"/>
      <c r="AI109" s="125"/>
      <c r="AJ109" s="125"/>
      <c r="AK109" s="125"/>
      <c r="AL109" s="125"/>
      <c r="AM109" s="125"/>
      <c r="AN109" s="125"/>
      <c r="AO109" s="125"/>
      <c r="AP109" s="125"/>
      <c r="AQ109" s="125"/>
      <c r="AR109" s="125"/>
      <c r="AS109" s="125"/>
      <c r="AT109" s="125"/>
      <c r="AU109" s="125"/>
      <c r="AV109" s="125"/>
      <c r="AW109" s="125"/>
      <c r="AX109" s="125"/>
      <c r="AY109" s="125"/>
      <c r="AZ109" s="125"/>
      <c r="BA109" s="125"/>
      <c r="BB109" s="125"/>
      <c r="BC109" s="125"/>
      <c r="BD109" s="125"/>
      <c r="BE109" s="125"/>
      <c r="BF109" s="125"/>
    </row>
    <row r="110" spans="1:119" ht="15.75" customHeight="1">
      <c r="A110" s="125"/>
      <c r="B110" s="125"/>
      <c r="C110" s="125"/>
      <c r="D110" s="125"/>
      <c r="E110" s="125"/>
      <c r="F110" s="125"/>
      <c r="G110" s="125"/>
      <c r="H110" s="125"/>
      <c r="I110" s="125"/>
      <c r="J110" s="125"/>
      <c r="K110" s="125"/>
      <c r="L110" s="125"/>
      <c r="M110" s="125"/>
      <c r="N110" s="125"/>
      <c r="O110" s="125"/>
      <c r="P110" s="125"/>
      <c r="Q110" s="125"/>
      <c r="R110" s="125"/>
      <c r="S110" s="125"/>
      <c r="T110" s="125"/>
      <c r="Y110" s="136"/>
      <c r="Z110" s="125"/>
      <c r="AA110" s="125"/>
      <c r="AB110" s="125"/>
      <c r="AC110" s="125"/>
      <c r="AD110" s="125"/>
      <c r="AE110" s="125"/>
      <c r="AF110" s="125"/>
      <c r="AG110" s="125"/>
      <c r="AH110" s="125"/>
      <c r="AI110" s="125"/>
      <c r="AJ110" s="125"/>
      <c r="AK110" s="125"/>
      <c r="AL110" s="125"/>
      <c r="AM110" s="125"/>
      <c r="AN110" s="125"/>
      <c r="AO110" s="125"/>
      <c r="AP110" s="125"/>
      <c r="AQ110" s="125"/>
      <c r="AR110" s="125"/>
      <c r="AS110" s="125"/>
      <c r="AT110" s="125"/>
      <c r="AU110" s="125"/>
      <c r="AV110" s="125"/>
      <c r="AW110" s="125"/>
      <c r="AX110" s="125"/>
      <c r="AY110" s="125"/>
      <c r="AZ110" s="125"/>
      <c r="BA110" s="125"/>
      <c r="BB110" s="125"/>
      <c r="BC110" s="125"/>
      <c r="BD110" s="125"/>
      <c r="BE110" s="125"/>
      <c r="BF110" s="125"/>
    </row>
    <row r="111" spans="1:119" ht="15.75" customHeight="1">
      <c r="A111" s="125"/>
      <c r="B111" s="125"/>
      <c r="C111" s="125"/>
      <c r="D111" s="125"/>
      <c r="E111" s="125"/>
      <c r="F111" s="125"/>
      <c r="G111" s="125"/>
      <c r="H111" s="125"/>
      <c r="I111" s="125"/>
      <c r="J111" s="125"/>
      <c r="K111" s="125"/>
      <c r="L111" s="125"/>
      <c r="M111" s="125"/>
      <c r="N111" s="125"/>
      <c r="O111" s="125"/>
      <c r="P111" s="125"/>
      <c r="Q111" s="125"/>
      <c r="R111" s="125"/>
      <c r="S111" s="125"/>
      <c r="T111" s="125"/>
      <c r="Y111" s="136"/>
      <c r="Z111" s="125"/>
      <c r="AA111" s="125"/>
      <c r="AB111" s="125"/>
      <c r="AC111" s="125"/>
      <c r="AD111" s="125"/>
      <c r="AE111" s="125"/>
      <c r="AF111" s="125"/>
      <c r="AG111" s="125"/>
      <c r="AH111" s="125"/>
      <c r="AI111" s="125"/>
      <c r="AJ111" s="125"/>
      <c r="AK111" s="125"/>
      <c r="AL111" s="125"/>
      <c r="AM111" s="125"/>
      <c r="AN111" s="125"/>
      <c r="AO111" s="125"/>
      <c r="AP111" s="125"/>
      <c r="AQ111" s="125"/>
      <c r="AR111" s="125"/>
      <c r="AS111" s="125"/>
      <c r="AT111" s="125"/>
      <c r="AU111" s="125"/>
      <c r="AV111" s="125"/>
      <c r="AW111" s="125"/>
      <c r="AX111" s="125"/>
      <c r="AY111" s="125"/>
      <c r="AZ111" s="125"/>
      <c r="BA111" s="125"/>
      <c r="BB111" s="125"/>
      <c r="BC111" s="125"/>
      <c r="BD111" s="125"/>
      <c r="BE111" s="125"/>
      <c r="BF111" s="125"/>
    </row>
    <row r="112" spans="1:119" ht="15.75" customHeight="1">
      <c r="A112" s="125"/>
      <c r="B112" s="125"/>
      <c r="C112" s="125"/>
      <c r="D112" s="125"/>
      <c r="E112" s="125"/>
      <c r="F112" s="125"/>
      <c r="G112" s="125"/>
      <c r="H112" s="125"/>
      <c r="I112" s="125"/>
      <c r="J112" s="125"/>
      <c r="K112" s="125"/>
      <c r="L112" s="125"/>
      <c r="M112" s="125"/>
      <c r="N112" s="125"/>
      <c r="O112" s="125"/>
      <c r="P112" s="125"/>
      <c r="Q112" s="125"/>
      <c r="R112" s="125"/>
      <c r="S112" s="125"/>
      <c r="T112" s="125"/>
      <c r="Z112" s="125"/>
      <c r="AA112" s="125"/>
      <c r="AB112" s="125"/>
      <c r="AC112" s="125"/>
      <c r="AD112" s="125"/>
      <c r="AE112" s="125"/>
      <c r="AF112" s="125"/>
      <c r="AG112" s="125"/>
      <c r="AH112" s="125"/>
      <c r="AI112" s="125"/>
      <c r="AJ112" s="125"/>
      <c r="AK112" s="125"/>
      <c r="AL112" s="125"/>
      <c r="AM112" s="125"/>
      <c r="AN112" s="125"/>
      <c r="AO112" s="125"/>
      <c r="AP112" s="125"/>
      <c r="AQ112" s="125"/>
      <c r="AR112" s="125"/>
      <c r="AS112" s="125"/>
      <c r="AT112" s="125"/>
      <c r="AU112" s="125"/>
      <c r="AV112" s="125"/>
      <c r="AW112" s="125"/>
      <c r="AX112" s="125"/>
      <c r="AY112" s="125"/>
      <c r="AZ112" s="125"/>
      <c r="BA112" s="125"/>
      <c r="BB112" s="125"/>
      <c r="BC112" s="125"/>
      <c r="BD112" s="125"/>
      <c r="BE112" s="125"/>
      <c r="BF112" s="125"/>
    </row>
    <row r="113" spans="1:58" ht="15.75" customHeight="1">
      <c r="A113" s="125"/>
      <c r="B113" s="125"/>
      <c r="C113" s="125"/>
      <c r="D113" s="125"/>
      <c r="E113" s="125"/>
      <c r="F113" s="125"/>
      <c r="G113" s="125"/>
      <c r="H113" s="125"/>
      <c r="I113" s="125"/>
      <c r="J113" s="125"/>
      <c r="K113" s="125"/>
      <c r="L113" s="125"/>
      <c r="M113" s="125"/>
      <c r="N113" s="125"/>
      <c r="O113" s="125"/>
      <c r="P113" s="125"/>
      <c r="Q113" s="125"/>
      <c r="R113" s="125"/>
      <c r="S113" s="125"/>
      <c r="T113" s="125"/>
      <c r="Z113" s="125"/>
      <c r="AA113" s="125"/>
      <c r="AB113" s="125"/>
      <c r="AC113" s="125"/>
      <c r="AD113" s="125"/>
      <c r="AE113" s="125"/>
      <c r="AF113" s="125"/>
      <c r="AG113" s="125"/>
      <c r="AH113" s="125"/>
      <c r="AI113" s="125"/>
      <c r="AJ113" s="125"/>
      <c r="AK113" s="125"/>
      <c r="AL113" s="125"/>
      <c r="AM113" s="125"/>
      <c r="AN113" s="125"/>
      <c r="AO113" s="125"/>
      <c r="AP113" s="125"/>
      <c r="AQ113" s="125"/>
      <c r="AR113" s="125"/>
      <c r="AS113" s="125"/>
      <c r="AT113" s="125"/>
      <c r="AU113" s="125"/>
      <c r="AV113" s="125"/>
      <c r="AW113" s="125"/>
      <c r="AX113" s="125"/>
      <c r="AY113" s="125"/>
      <c r="AZ113" s="125"/>
      <c r="BA113" s="125"/>
      <c r="BB113" s="125"/>
      <c r="BC113" s="125"/>
      <c r="BD113" s="125"/>
      <c r="BE113" s="125"/>
      <c r="BF113" s="125"/>
    </row>
    <row r="114" spans="1:58" ht="15.75" customHeight="1">
      <c r="A114" s="125"/>
      <c r="B114" s="125"/>
      <c r="C114" s="125"/>
      <c r="D114" s="125"/>
      <c r="E114" s="125"/>
      <c r="F114" s="125"/>
      <c r="G114" s="125"/>
      <c r="H114" s="125"/>
      <c r="I114" s="125"/>
      <c r="J114" s="125"/>
      <c r="K114" s="125"/>
      <c r="L114" s="125"/>
      <c r="M114" s="125"/>
      <c r="N114" s="125"/>
      <c r="O114" s="125"/>
      <c r="P114" s="125"/>
      <c r="Q114" s="125"/>
      <c r="R114" s="125"/>
      <c r="S114" s="125"/>
      <c r="T114" s="125"/>
      <c r="U114" s="136"/>
      <c r="Z114" s="125"/>
      <c r="AA114" s="125"/>
      <c r="AB114" s="125"/>
      <c r="AC114" s="125"/>
      <c r="AD114" s="125"/>
      <c r="AE114" s="125"/>
      <c r="AF114" s="125"/>
      <c r="AG114" s="125"/>
      <c r="AH114" s="125"/>
      <c r="AI114" s="125"/>
      <c r="AJ114" s="125"/>
      <c r="AK114" s="125"/>
      <c r="AL114" s="125"/>
      <c r="AM114" s="125"/>
      <c r="AN114" s="125"/>
      <c r="AO114" s="125"/>
      <c r="AP114" s="125"/>
      <c r="AQ114" s="125"/>
      <c r="AR114" s="125"/>
      <c r="AS114" s="125"/>
      <c r="AT114" s="125"/>
      <c r="AU114" s="125"/>
      <c r="AV114" s="125"/>
      <c r="AW114" s="125"/>
      <c r="AX114" s="125"/>
      <c r="AY114" s="125"/>
      <c r="AZ114" s="125"/>
      <c r="BA114" s="125"/>
      <c r="BB114" s="125"/>
      <c r="BC114" s="125"/>
      <c r="BD114" s="125"/>
      <c r="BE114" s="125"/>
      <c r="BF114" s="125"/>
    </row>
    <row r="115" spans="1:58" ht="15.75" customHeight="1">
      <c r="A115" s="125"/>
      <c r="B115" s="125"/>
      <c r="C115" s="125"/>
      <c r="D115" s="125"/>
      <c r="E115" s="125"/>
      <c r="F115" s="125"/>
      <c r="G115" s="125"/>
      <c r="H115" s="125"/>
      <c r="I115" s="125"/>
      <c r="J115" s="125"/>
      <c r="K115" s="125"/>
      <c r="L115" s="125"/>
      <c r="M115" s="125"/>
      <c r="N115" s="125"/>
      <c r="O115" s="125"/>
      <c r="P115" s="125"/>
      <c r="Q115" s="125"/>
      <c r="R115" s="125"/>
      <c r="S115" s="125"/>
      <c r="T115" s="125"/>
      <c r="Z115" s="125"/>
      <c r="AA115" s="125"/>
      <c r="AB115" s="125"/>
      <c r="AC115" s="125"/>
      <c r="AD115" s="125"/>
      <c r="AE115" s="125"/>
      <c r="AF115" s="125"/>
      <c r="AG115" s="125"/>
      <c r="AH115" s="125"/>
      <c r="AI115" s="125"/>
      <c r="AJ115" s="125"/>
      <c r="AK115" s="125"/>
      <c r="AL115" s="125"/>
      <c r="AM115" s="125"/>
      <c r="AN115" s="125"/>
      <c r="AO115" s="125"/>
      <c r="AP115" s="125"/>
      <c r="AQ115" s="125"/>
      <c r="AR115" s="125"/>
      <c r="AS115" s="125"/>
      <c r="AT115" s="125"/>
      <c r="AU115" s="125"/>
      <c r="AV115" s="125"/>
      <c r="AW115" s="125"/>
      <c r="AX115" s="125"/>
      <c r="AY115" s="125"/>
      <c r="AZ115" s="125"/>
      <c r="BA115" s="125"/>
      <c r="BB115" s="125"/>
      <c r="BC115" s="125"/>
      <c r="BD115" s="125"/>
      <c r="BE115" s="125"/>
      <c r="BF115" s="125"/>
    </row>
    <row r="116" spans="1:58" ht="15.75" customHeight="1">
      <c r="A116" s="125"/>
      <c r="B116" s="125"/>
      <c r="C116" s="125"/>
      <c r="D116" s="125"/>
      <c r="E116" s="125"/>
      <c r="F116" s="125"/>
      <c r="G116" s="125"/>
      <c r="H116" s="125"/>
      <c r="I116" s="125"/>
      <c r="J116" s="125"/>
      <c r="K116" s="125"/>
      <c r="L116" s="125"/>
      <c r="M116" s="125"/>
      <c r="N116" s="125"/>
      <c r="O116" s="125"/>
      <c r="P116" s="125"/>
      <c r="Q116" s="125"/>
      <c r="R116" s="125"/>
      <c r="S116" s="125"/>
      <c r="T116" s="125"/>
      <c r="Z116" s="125"/>
      <c r="AA116" s="125"/>
      <c r="AB116" s="125"/>
      <c r="AC116" s="125"/>
      <c r="AD116" s="125"/>
      <c r="AE116" s="125"/>
      <c r="AF116" s="125"/>
      <c r="AG116" s="125"/>
      <c r="AH116" s="125"/>
      <c r="AI116" s="125"/>
      <c r="AJ116" s="125"/>
      <c r="AK116" s="125"/>
      <c r="AL116" s="125"/>
      <c r="AM116" s="125"/>
      <c r="AN116" s="125"/>
      <c r="AO116" s="125"/>
      <c r="AP116" s="125"/>
      <c r="AQ116" s="125"/>
      <c r="AR116" s="125"/>
      <c r="AS116" s="125"/>
      <c r="AT116" s="125"/>
      <c r="AU116" s="125"/>
      <c r="AV116" s="125"/>
      <c r="AW116" s="125"/>
      <c r="AX116" s="125"/>
      <c r="AY116" s="125"/>
      <c r="AZ116" s="125"/>
      <c r="BA116" s="125"/>
      <c r="BB116" s="125"/>
      <c r="BC116" s="125"/>
      <c r="BD116" s="125"/>
      <c r="BE116" s="125"/>
      <c r="BF116" s="125"/>
    </row>
    <row r="117" spans="1:58" ht="15.75" customHeight="1">
      <c r="A117" s="125"/>
      <c r="B117" s="125"/>
      <c r="C117" s="125"/>
      <c r="D117" s="125"/>
      <c r="E117" s="125"/>
      <c r="F117" s="125"/>
      <c r="G117" s="125"/>
      <c r="H117" s="125"/>
      <c r="I117" s="125"/>
      <c r="J117" s="125"/>
      <c r="K117" s="125"/>
      <c r="L117" s="125"/>
      <c r="M117" s="125"/>
      <c r="N117" s="125"/>
      <c r="O117" s="125"/>
      <c r="P117" s="125"/>
      <c r="Q117" s="125"/>
      <c r="R117" s="125"/>
      <c r="S117" s="125"/>
      <c r="T117" s="125"/>
      <c r="Z117" s="125"/>
      <c r="AA117" s="125"/>
      <c r="AB117" s="125"/>
      <c r="AC117" s="125"/>
      <c r="AD117" s="125"/>
      <c r="AE117" s="125"/>
      <c r="AF117" s="125"/>
      <c r="AG117" s="125"/>
      <c r="AH117" s="125"/>
      <c r="AI117" s="125"/>
      <c r="AJ117" s="125"/>
      <c r="AK117" s="125"/>
      <c r="AL117" s="125"/>
      <c r="AM117" s="125"/>
      <c r="AN117" s="125"/>
      <c r="AO117" s="125"/>
      <c r="AP117" s="125"/>
      <c r="AQ117" s="125"/>
      <c r="AR117" s="125"/>
      <c r="AS117" s="125"/>
      <c r="AT117" s="125"/>
      <c r="AU117" s="125"/>
      <c r="AV117" s="125"/>
      <c r="AW117" s="125"/>
      <c r="AX117" s="125"/>
      <c r="AY117" s="125"/>
      <c r="AZ117" s="125"/>
      <c r="BA117" s="125"/>
      <c r="BB117" s="125"/>
      <c r="BC117" s="125"/>
      <c r="BD117" s="125"/>
      <c r="BE117" s="125"/>
      <c r="BF117" s="125"/>
    </row>
    <row r="118" spans="1:58" ht="15.75" customHeight="1">
      <c r="A118" s="125"/>
      <c r="B118" s="125"/>
      <c r="C118" s="125"/>
      <c r="D118" s="125"/>
      <c r="E118" s="125"/>
      <c r="F118" s="125"/>
      <c r="G118" s="125"/>
      <c r="H118" s="125"/>
      <c r="I118" s="125"/>
      <c r="J118" s="125"/>
      <c r="K118" s="125"/>
      <c r="L118" s="125"/>
      <c r="M118" s="125"/>
      <c r="N118" s="125"/>
      <c r="O118" s="125"/>
      <c r="P118" s="125"/>
      <c r="Q118" s="125"/>
      <c r="R118" s="125"/>
      <c r="S118" s="125"/>
      <c r="T118" s="125"/>
      <c r="Z118" s="125"/>
      <c r="AA118" s="125"/>
      <c r="AB118" s="125"/>
      <c r="AC118" s="125"/>
      <c r="AD118" s="125"/>
      <c r="AE118" s="125"/>
      <c r="AF118" s="125"/>
      <c r="AG118" s="125"/>
      <c r="AH118" s="125"/>
      <c r="AI118" s="125"/>
      <c r="AJ118" s="125"/>
      <c r="AK118" s="125"/>
      <c r="AL118" s="125"/>
      <c r="AM118" s="125"/>
      <c r="AN118" s="125"/>
      <c r="AO118" s="125"/>
      <c r="AP118" s="125"/>
      <c r="AQ118" s="125"/>
      <c r="AR118" s="125"/>
      <c r="AS118" s="125"/>
      <c r="AT118" s="125"/>
      <c r="AU118" s="125"/>
      <c r="AV118" s="125"/>
      <c r="AW118" s="125"/>
      <c r="AX118" s="125"/>
      <c r="AY118" s="125"/>
      <c r="AZ118" s="125"/>
      <c r="BA118" s="125"/>
      <c r="BB118" s="125"/>
      <c r="BC118" s="125"/>
      <c r="BD118" s="125"/>
      <c r="BE118" s="125"/>
      <c r="BF118" s="125"/>
    </row>
    <row r="119" spans="1:58" ht="15.75" customHeight="1">
      <c r="A119" s="125"/>
      <c r="B119" s="125"/>
      <c r="C119" s="125"/>
      <c r="D119" s="125"/>
      <c r="E119" s="125"/>
      <c r="F119" s="125"/>
      <c r="G119" s="125"/>
      <c r="H119" s="125"/>
      <c r="I119" s="125"/>
      <c r="J119" s="125"/>
      <c r="K119" s="125"/>
      <c r="L119" s="125"/>
      <c r="M119" s="125"/>
      <c r="N119" s="125"/>
      <c r="O119" s="125"/>
      <c r="P119" s="125"/>
      <c r="Q119" s="125"/>
      <c r="R119" s="125"/>
      <c r="S119" s="125"/>
      <c r="T119" s="125"/>
      <c r="Z119" s="125"/>
      <c r="AA119" s="125"/>
      <c r="AB119" s="125"/>
      <c r="AC119" s="125"/>
      <c r="AD119" s="125"/>
      <c r="AE119" s="125"/>
      <c r="AF119" s="125"/>
      <c r="AG119" s="125"/>
      <c r="AH119" s="125"/>
      <c r="AI119" s="125"/>
      <c r="AJ119" s="125"/>
      <c r="AK119" s="125"/>
      <c r="AL119" s="125"/>
      <c r="AM119" s="125"/>
      <c r="AN119" s="125"/>
      <c r="AO119" s="125"/>
      <c r="AP119" s="125"/>
      <c r="AQ119" s="125"/>
      <c r="AR119" s="125"/>
      <c r="AS119" s="125"/>
      <c r="AT119" s="125"/>
      <c r="AU119" s="125"/>
      <c r="AV119" s="125"/>
      <c r="AW119" s="125"/>
      <c r="AX119" s="125"/>
      <c r="AY119" s="125"/>
      <c r="AZ119" s="125"/>
      <c r="BA119" s="125"/>
      <c r="BB119" s="125"/>
      <c r="BC119" s="125"/>
      <c r="BD119" s="125"/>
      <c r="BE119" s="125"/>
      <c r="BF119" s="125"/>
    </row>
    <row r="120" spans="1:58" ht="15.75" customHeight="1">
      <c r="A120" s="125"/>
      <c r="B120" s="125"/>
      <c r="C120" s="125"/>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125"/>
      <c r="AB120" s="125"/>
      <c r="AC120" s="125"/>
      <c r="AD120" s="125"/>
      <c r="AE120" s="125"/>
      <c r="AF120" s="125"/>
      <c r="AG120" s="125"/>
      <c r="AH120" s="125"/>
      <c r="AI120" s="125"/>
      <c r="AJ120" s="125"/>
      <c r="AK120" s="125"/>
      <c r="AL120" s="125"/>
      <c r="AM120" s="125"/>
      <c r="AN120" s="125"/>
      <c r="AO120" s="125"/>
      <c r="AP120" s="125"/>
      <c r="AQ120" s="125"/>
      <c r="AR120" s="125"/>
      <c r="AS120" s="125"/>
      <c r="AT120" s="125"/>
      <c r="AU120" s="125"/>
      <c r="AV120" s="125"/>
      <c r="AW120" s="125"/>
      <c r="AX120" s="125"/>
      <c r="AY120" s="125"/>
      <c r="AZ120" s="125"/>
      <c r="BA120" s="125"/>
      <c r="BB120" s="125"/>
      <c r="BC120" s="125"/>
      <c r="BD120" s="125"/>
      <c r="BE120" s="125"/>
      <c r="BF120" s="125"/>
    </row>
    <row r="121" spans="1:58" ht="15.75" customHeight="1">
      <c r="A121" s="125"/>
      <c r="B121" s="125"/>
      <c r="C121" s="125"/>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125"/>
      <c r="AB121" s="125"/>
      <c r="AC121" s="125"/>
      <c r="AD121" s="125"/>
      <c r="AE121" s="125"/>
      <c r="AF121" s="125"/>
      <c r="AG121" s="125"/>
      <c r="AH121" s="125"/>
      <c r="AI121" s="125"/>
      <c r="AJ121" s="125"/>
      <c r="AK121" s="125"/>
      <c r="AL121" s="125"/>
      <c r="AM121" s="125"/>
      <c r="AN121" s="125"/>
      <c r="AO121" s="125"/>
      <c r="AP121" s="125"/>
      <c r="AQ121" s="125"/>
      <c r="AR121" s="125"/>
      <c r="AS121" s="125"/>
      <c r="AT121" s="125"/>
      <c r="AU121" s="125"/>
      <c r="AV121" s="125"/>
      <c r="AW121" s="125"/>
      <c r="AX121" s="125"/>
      <c r="AY121" s="125"/>
      <c r="AZ121" s="125"/>
      <c r="BA121" s="125"/>
      <c r="BB121" s="125"/>
      <c r="BC121" s="125"/>
      <c r="BD121" s="125"/>
      <c r="BE121" s="125"/>
      <c r="BF121" s="125"/>
    </row>
    <row r="122" spans="1:58" ht="15.75" customHeight="1">
      <c r="A122" s="125"/>
      <c r="B122" s="125"/>
      <c r="C122" s="125"/>
      <c r="D122" s="125"/>
      <c r="E122" s="125"/>
      <c r="F122" s="125"/>
      <c r="G122" s="125"/>
      <c r="H122" s="125"/>
      <c r="I122" s="125"/>
      <c r="J122" s="125"/>
      <c r="K122" s="125"/>
      <c r="L122" s="125"/>
      <c r="M122" s="125"/>
      <c r="N122" s="125"/>
      <c r="O122" s="125"/>
      <c r="P122" s="125"/>
      <c r="Q122" s="125"/>
      <c r="R122" s="125"/>
      <c r="S122" s="125"/>
      <c r="T122" s="125"/>
      <c r="U122" s="125"/>
      <c r="V122" s="125"/>
      <c r="W122" s="125"/>
      <c r="X122" s="125"/>
      <c r="Y122" s="125"/>
      <c r="Z122" s="125"/>
      <c r="AA122" s="125"/>
      <c r="AB122" s="125"/>
      <c r="AC122" s="125"/>
      <c r="AD122" s="125"/>
      <c r="AE122" s="125"/>
      <c r="AF122" s="125"/>
      <c r="AG122" s="125"/>
      <c r="AH122" s="125"/>
      <c r="AI122" s="125"/>
      <c r="AJ122" s="125"/>
      <c r="AK122" s="125"/>
      <c r="AL122" s="125"/>
      <c r="AM122" s="125"/>
      <c r="AN122" s="125"/>
      <c r="AO122" s="125"/>
      <c r="AP122" s="125"/>
      <c r="AQ122" s="125"/>
      <c r="AR122" s="125"/>
      <c r="AS122" s="125"/>
      <c r="AT122" s="125"/>
      <c r="AU122" s="125"/>
      <c r="AV122" s="125"/>
      <c r="AW122" s="125"/>
      <c r="AX122" s="125"/>
      <c r="AY122" s="125"/>
      <c r="AZ122" s="125"/>
      <c r="BA122" s="125"/>
      <c r="BB122" s="125"/>
      <c r="BC122" s="125"/>
      <c r="BD122" s="125"/>
      <c r="BE122" s="125"/>
      <c r="BF122" s="125"/>
    </row>
    <row r="123" spans="1:58" ht="15.75" customHeight="1">
      <c r="A123" s="125"/>
      <c r="B123" s="125"/>
      <c r="C123" s="125"/>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5"/>
      <c r="AB123" s="125"/>
      <c r="AC123" s="125"/>
      <c r="AD123" s="125"/>
      <c r="AE123" s="125"/>
      <c r="AF123" s="125"/>
      <c r="AG123" s="125"/>
      <c r="AH123" s="125"/>
      <c r="AI123" s="125"/>
      <c r="AJ123" s="125"/>
      <c r="AK123" s="125"/>
      <c r="AL123" s="125"/>
      <c r="AM123" s="125"/>
      <c r="AN123" s="125"/>
      <c r="AO123" s="125"/>
      <c r="AP123" s="125"/>
      <c r="AQ123" s="125"/>
      <c r="AR123" s="125"/>
      <c r="AS123" s="125"/>
      <c r="AT123" s="125"/>
      <c r="AU123" s="125"/>
      <c r="AV123" s="125"/>
      <c r="AW123" s="125"/>
      <c r="AX123" s="125"/>
      <c r="AY123" s="125"/>
      <c r="AZ123" s="125"/>
      <c r="BA123" s="125"/>
      <c r="BB123" s="125"/>
      <c r="BC123" s="125"/>
      <c r="BD123" s="125"/>
      <c r="BE123" s="125"/>
      <c r="BF123" s="125"/>
    </row>
    <row r="124" spans="1:58" ht="15.75" customHeight="1">
      <c r="A124" s="125"/>
      <c r="B124" s="125"/>
      <c r="C124" s="125"/>
      <c r="D124" s="125"/>
      <c r="E124" s="125"/>
      <c r="F124" s="125"/>
      <c r="G124" s="125"/>
      <c r="H124" s="125"/>
      <c r="I124" s="125"/>
      <c r="J124" s="125"/>
      <c r="K124" s="125"/>
      <c r="L124" s="125"/>
      <c r="M124" s="125"/>
      <c r="N124" s="125"/>
      <c r="O124" s="125"/>
      <c r="P124" s="125"/>
      <c r="Q124" s="125"/>
      <c r="R124" s="125"/>
      <c r="S124" s="125"/>
      <c r="T124" s="125"/>
      <c r="U124" s="125"/>
      <c r="V124" s="125"/>
      <c r="W124" s="125"/>
      <c r="X124" s="125"/>
      <c r="Y124" s="125"/>
      <c r="Z124" s="125"/>
      <c r="AA124" s="125"/>
      <c r="AB124" s="125"/>
      <c r="AC124" s="125"/>
      <c r="AD124" s="125"/>
      <c r="AE124" s="125"/>
      <c r="AF124" s="125"/>
      <c r="AG124" s="125"/>
      <c r="AH124" s="125"/>
      <c r="AI124" s="125"/>
      <c r="AJ124" s="125"/>
      <c r="AK124" s="125"/>
      <c r="AL124" s="125"/>
      <c r="AM124" s="125"/>
      <c r="AN124" s="125"/>
      <c r="AO124" s="125"/>
      <c r="AP124" s="125"/>
      <c r="AQ124" s="125"/>
      <c r="AR124" s="125"/>
      <c r="AS124" s="125"/>
      <c r="AT124" s="125"/>
      <c r="AU124" s="125"/>
      <c r="AV124" s="125"/>
      <c r="AW124" s="125"/>
      <c r="AX124" s="125"/>
      <c r="AY124" s="125"/>
      <c r="AZ124" s="125"/>
      <c r="BA124" s="125"/>
      <c r="BB124" s="125"/>
      <c r="BC124" s="125"/>
      <c r="BD124" s="125"/>
      <c r="BE124" s="125"/>
      <c r="BF124" s="125"/>
    </row>
    <row r="125" spans="1:58" ht="15.75" customHeight="1">
      <c r="A125" s="125"/>
      <c r="B125" s="125"/>
      <c r="C125" s="125"/>
      <c r="D125" s="125"/>
      <c r="E125" s="125"/>
      <c r="F125" s="125"/>
      <c r="G125" s="125"/>
      <c r="H125" s="125"/>
      <c r="I125" s="125"/>
      <c r="J125" s="125"/>
      <c r="K125" s="125"/>
      <c r="L125" s="125"/>
      <c r="M125" s="125"/>
      <c r="N125" s="125"/>
      <c r="O125" s="125"/>
      <c r="P125" s="125"/>
      <c r="Q125" s="125"/>
      <c r="R125" s="125"/>
      <c r="S125" s="125"/>
      <c r="T125" s="125"/>
      <c r="U125" s="125"/>
      <c r="V125" s="125"/>
      <c r="W125" s="125"/>
      <c r="X125" s="125"/>
      <c r="Y125" s="125"/>
      <c r="Z125" s="125"/>
      <c r="AA125" s="125"/>
      <c r="AB125" s="125"/>
      <c r="AC125" s="125"/>
      <c r="AD125" s="125"/>
      <c r="AE125" s="125"/>
      <c r="AF125" s="125"/>
      <c r="AG125" s="125"/>
      <c r="AH125" s="125"/>
      <c r="AI125" s="125"/>
      <c r="AJ125" s="125"/>
      <c r="AK125" s="125"/>
      <c r="AL125" s="125"/>
      <c r="AM125" s="125"/>
      <c r="AN125" s="125"/>
      <c r="AO125" s="125"/>
      <c r="AP125" s="125"/>
      <c r="AQ125" s="125"/>
      <c r="AR125" s="125"/>
      <c r="AS125" s="125"/>
      <c r="AT125" s="125"/>
      <c r="AU125" s="125"/>
      <c r="AV125" s="125"/>
      <c r="AW125" s="125"/>
      <c r="AX125" s="125"/>
      <c r="AY125" s="125"/>
      <c r="AZ125" s="125"/>
      <c r="BA125" s="125"/>
      <c r="BB125" s="125"/>
      <c r="BC125" s="125"/>
      <c r="BD125" s="125"/>
      <c r="BE125" s="125"/>
      <c r="BF125" s="125"/>
    </row>
    <row r="126" spans="1:58" ht="15.75" customHeight="1">
      <c r="A126" s="125"/>
      <c r="B126" s="125"/>
      <c r="C126" s="125"/>
      <c r="D126" s="125"/>
      <c r="E126" s="125"/>
      <c r="F126" s="125"/>
      <c r="G126" s="125"/>
      <c r="H126" s="125"/>
      <c r="I126" s="125"/>
      <c r="J126" s="125"/>
      <c r="K126" s="125"/>
      <c r="L126" s="125"/>
      <c r="M126" s="125"/>
      <c r="N126" s="125"/>
      <c r="O126" s="125"/>
      <c r="P126" s="125"/>
      <c r="Q126" s="125"/>
      <c r="R126" s="125"/>
      <c r="S126" s="125"/>
      <c r="T126" s="125"/>
      <c r="U126" s="125"/>
      <c r="V126" s="125"/>
      <c r="W126" s="125"/>
      <c r="X126" s="125"/>
      <c r="Y126" s="125"/>
      <c r="Z126" s="125"/>
      <c r="AA126" s="125"/>
      <c r="AB126" s="125"/>
      <c r="AC126" s="125"/>
      <c r="AD126" s="125"/>
      <c r="AE126" s="125"/>
      <c r="AF126" s="125"/>
      <c r="AG126" s="125"/>
      <c r="AH126" s="125"/>
      <c r="AI126" s="125"/>
      <c r="AJ126" s="125"/>
      <c r="AK126" s="125"/>
      <c r="AL126" s="125"/>
      <c r="AM126" s="125"/>
      <c r="AN126" s="125"/>
      <c r="AO126" s="125"/>
      <c r="AP126" s="125"/>
      <c r="AQ126" s="125"/>
      <c r="AR126" s="125"/>
      <c r="AS126" s="125"/>
      <c r="AT126" s="125"/>
      <c r="AU126" s="125"/>
      <c r="AV126" s="125"/>
      <c r="AW126" s="125"/>
      <c r="AX126" s="125"/>
      <c r="AY126" s="125"/>
      <c r="AZ126" s="125"/>
      <c r="BA126" s="125"/>
      <c r="BB126" s="125"/>
      <c r="BC126" s="125"/>
      <c r="BD126" s="125"/>
      <c r="BE126" s="125"/>
      <c r="BF126" s="125"/>
    </row>
    <row r="127" spans="1:58" ht="15.75" customHeight="1">
      <c r="A127" s="125"/>
      <c r="B127" s="125"/>
      <c r="C127" s="125"/>
      <c r="D127" s="125"/>
      <c r="E127" s="125"/>
      <c r="F127" s="125"/>
      <c r="G127" s="125"/>
      <c r="H127" s="125"/>
      <c r="I127" s="125"/>
      <c r="J127" s="125"/>
      <c r="K127" s="125"/>
      <c r="L127" s="125"/>
      <c r="M127" s="125"/>
      <c r="N127" s="125"/>
      <c r="O127" s="125"/>
      <c r="P127" s="125"/>
      <c r="Q127" s="125"/>
      <c r="R127" s="125"/>
      <c r="S127" s="125"/>
      <c r="T127" s="125"/>
      <c r="U127" s="125"/>
      <c r="V127" s="125"/>
      <c r="W127" s="125"/>
      <c r="X127" s="125"/>
      <c r="Y127" s="125"/>
      <c r="Z127" s="125"/>
      <c r="AA127" s="125"/>
      <c r="AB127" s="125"/>
      <c r="AC127" s="125"/>
      <c r="AD127" s="125"/>
      <c r="AE127" s="125"/>
      <c r="AF127" s="125"/>
      <c r="AG127" s="125"/>
      <c r="AH127" s="125"/>
      <c r="AI127" s="125"/>
      <c r="AJ127" s="125"/>
      <c r="AK127" s="125"/>
      <c r="AL127" s="125"/>
      <c r="AM127" s="125"/>
      <c r="AN127" s="125"/>
      <c r="AO127" s="125"/>
      <c r="AP127" s="125"/>
      <c r="AQ127" s="125"/>
      <c r="AR127" s="125"/>
      <c r="AS127" s="125"/>
      <c r="AT127" s="125"/>
      <c r="AU127" s="125"/>
      <c r="AV127" s="125"/>
      <c r="AW127" s="125"/>
      <c r="AX127" s="125"/>
      <c r="AY127" s="125"/>
      <c r="AZ127" s="125"/>
      <c r="BA127" s="125"/>
      <c r="BB127" s="125"/>
      <c r="BC127" s="125"/>
      <c r="BD127" s="125"/>
      <c r="BE127" s="125"/>
      <c r="BF127" s="125"/>
    </row>
    <row r="128" spans="1:58" ht="15.75" customHeight="1">
      <c r="A128" s="125"/>
      <c r="B128" s="125"/>
      <c r="C128" s="125"/>
      <c r="D128" s="125"/>
      <c r="E128" s="125"/>
      <c r="F128" s="125"/>
      <c r="G128" s="125"/>
      <c r="H128" s="125"/>
      <c r="I128" s="125"/>
      <c r="J128" s="125"/>
      <c r="K128" s="125"/>
      <c r="L128" s="125"/>
      <c r="M128" s="125"/>
      <c r="N128" s="125"/>
      <c r="O128" s="125"/>
      <c r="P128" s="125"/>
      <c r="Q128" s="125"/>
      <c r="R128" s="125"/>
      <c r="S128" s="125"/>
      <c r="T128" s="125"/>
      <c r="U128" s="125"/>
      <c r="V128" s="125"/>
      <c r="W128" s="125"/>
      <c r="X128" s="125"/>
      <c r="Y128" s="125"/>
      <c r="Z128" s="125"/>
      <c r="AA128" s="125"/>
      <c r="AB128" s="125"/>
      <c r="AC128" s="125"/>
      <c r="AD128" s="125"/>
      <c r="AE128" s="125"/>
      <c r="AF128" s="125"/>
      <c r="AG128" s="125"/>
      <c r="AH128" s="125"/>
      <c r="AI128" s="125"/>
      <c r="AJ128" s="125"/>
      <c r="AK128" s="125"/>
      <c r="AL128" s="125"/>
      <c r="AM128" s="125"/>
      <c r="AN128" s="125"/>
      <c r="AO128" s="125"/>
      <c r="AP128" s="125"/>
      <c r="AQ128" s="125"/>
      <c r="AR128" s="125"/>
      <c r="AS128" s="125"/>
      <c r="AT128" s="125"/>
      <c r="AU128" s="125"/>
      <c r="AV128" s="125"/>
      <c r="AW128" s="125"/>
      <c r="AX128" s="125"/>
      <c r="AY128" s="125"/>
      <c r="AZ128" s="125"/>
      <c r="BA128" s="125"/>
      <c r="BB128" s="125"/>
      <c r="BC128" s="125"/>
      <c r="BD128" s="125"/>
      <c r="BE128" s="125"/>
      <c r="BF128" s="125"/>
    </row>
    <row r="129" spans="1:58" ht="15.75" customHeight="1">
      <c r="A129" s="125"/>
      <c r="B129" s="125"/>
      <c r="C129" s="125"/>
      <c r="D129" s="125"/>
      <c r="E129" s="125"/>
      <c r="F129" s="125"/>
      <c r="G129" s="125"/>
      <c r="H129" s="125"/>
      <c r="I129" s="125"/>
      <c r="J129" s="125"/>
      <c r="K129" s="125"/>
      <c r="L129" s="125"/>
      <c r="M129" s="125"/>
      <c r="N129" s="125"/>
      <c r="O129" s="125"/>
      <c r="P129" s="125"/>
      <c r="Q129" s="125"/>
      <c r="R129" s="125"/>
      <c r="S129" s="125"/>
      <c r="T129" s="125"/>
      <c r="U129" s="125"/>
      <c r="V129" s="125"/>
      <c r="W129" s="125"/>
      <c r="X129" s="125"/>
      <c r="Y129" s="125"/>
      <c r="Z129" s="125"/>
      <c r="AA129" s="125"/>
      <c r="AB129" s="125"/>
      <c r="AC129" s="125"/>
      <c r="AD129" s="125"/>
      <c r="AE129" s="125"/>
      <c r="AF129" s="125"/>
      <c r="AG129" s="125"/>
      <c r="AH129" s="125"/>
      <c r="AI129" s="125"/>
      <c r="AJ129" s="125"/>
      <c r="AK129" s="125"/>
      <c r="AL129" s="125"/>
      <c r="AM129" s="125"/>
      <c r="AN129" s="125"/>
      <c r="AO129" s="125"/>
      <c r="AP129" s="125"/>
      <c r="AQ129" s="125"/>
      <c r="AR129" s="125"/>
      <c r="AS129" s="125"/>
      <c r="AT129" s="125"/>
      <c r="AU129" s="125"/>
      <c r="AV129" s="125"/>
      <c r="AW129" s="125"/>
      <c r="AX129" s="125"/>
      <c r="AY129" s="125"/>
      <c r="AZ129" s="125"/>
      <c r="BA129" s="125"/>
      <c r="BB129" s="125"/>
      <c r="BC129" s="125"/>
      <c r="BD129" s="125"/>
      <c r="BE129" s="125"/>
      <c r="BF129" s="125"/>
    </row>
    <row r="130" spans="1:58" ht="15.75" customHeight="1">
      <c r="A130" s="125"/>
      <c r="B130" s="125"/>
      <c r="C130" s="125"/>
      <c r="D130" s="125"/>
      <c r="E130" s="125"/>
      <c r="F130" s="125"/>
      <c r="G130" s="125"/>
      <c r="H130" s="125"/>
      <c r="I130" s="125"/>
      <c r="J130" s="125"/>
      <c r="K130" s="125"/>
      <c r="L130" s="125"/>
      <c r="M130" s="125"/>
      <c r="N130" s="125"/>
      <c r="O130" s="125"/>
      <c r="P130" s="125"/>
      <c r="Q130" s="125"/>
      <c r="R130" s="125"/>
      <c r="S130" s="125"/>
      <c r="T130" s="125"/>
      <c r="U130" s="125"/>
      <c r="V130" s="125"/>
      <c r="W130" s="125"/>
      <c r="X130" s="125"/>
      <c r="Y130" s="125"/>
      <c r="Z130" s="125"/>
      <c r="AA130" s="125"/>
      <c r="AB130" s="125"/>
      <c r="AC130" s="125"/>
      <c r="AD130" s="125"/>
      <c r="AE130" s="125"/>
      <c r="AF130" s="125"/>
      <c r="AG130" s="125"/>
      <c r="AH130" s="125"/>
      <c r="AI130" s="125"/>
      <c r="AJ130" s="125"/>
      <c r="AK130" s="125"/>
      <c r="AL130" s="125"/>
      <c r="AM130" s="125"/>
      <c r="AN130" s="125"/>
      <c r="AO130" s="125"/>
      <c r="AP130" s="125"/>
      <c r="AQ130" s="125"/>
      <c r="AR130" s="125"/>
      <c r="AS130" s="125"/>
      <c r="AT130" s="125"/>
      <c r="AU130" s="125"/>
      <c r="AV130" s="125"/>
      <c r="AW130" s="125"/>
      <c r="AX130" s="125"/>
      <c r="AY130" s="125"/>
      <c r="AZ130" s="125"/>
      <c r="BA130" s="125"/>
      <c r="BB130" s="125"/>
      <c r="BC130" s="125"/>
      <c r="BD130" s="125"/>
      <c r="BE130" s="125"/>
      <c r="BF130" s="125"/>
    </row>
    <row r="131" spans="1:58" ht="15.75" customHeight="1">
      <c r="A131" s="125"/>
      <c r="B131" s="125"/>
      <c r="C131" s="125"/>
      <c r="D131" s="125"/>
      <c r="E131" s="125"/>
      <c r="F131" s="125"/>
      <c r="G131" s="125"/>
      <c r="H131" s="125"/>
      <c r="I131" s="125"/>
      <c r="J131" s="125"/>
      <c r="K131" s="125"/>
      <c r="L131" s="125"/>
      <c r="M131" s="125"/>
      <c r="N131" s="125"/>
      <c r="O131" s="125"/>
      <c r="P131" s="125"/>
      <c r="Q131" s="125"/>
      <c r="R131" s="125"/>
      <c r="S131" s="125"/>
      <c r="T131" s="125"/>
      <c r="U131" s="125"/>
      <c r="V131" s="125"/>
      <c r="W131" s="125"/>
      <c r="X131" s="125"/>
      <c r="Y131" s="125"/>
      <c r="Z131" s="125"/>
      <c r="AA131" s="125"/>
      <c r="AB131" s="125"/>
      <c r="AC131" s="125"/>
      <c r="AD131" s="125"/>
      <c r="AE131" s="125"/>
      <c r="AF131" s="125"/>
      <c r="AG131" s="125"/>
      <c r="AH131" s="125"/>
      <c r="AI131" s="125"/>
      <c r="AJ131" s="125"/>
      <c r="AK131" s="125"/>
      <c r="AL131" s="125"/>
      <c r="AM131" s="125"/>
      <c r="AN131" s="125"/>
      <c r="AO131" s="125"/>
      <c r="AP131" s="125"/>
      <c r="AQ131" s="125"/>
      <c r="AR131" s="125"/>
      <c r="AS131" s="125"/>
      <c r="AT131" s="125"/>
      <c r="AU131" s="125"/>
      <c r="AV131" s="125"/>
      <c r="AW131" s="125"/>
      <c r="AX131" s="125"/>
      <c r="AY131" s="125"/>
      <c r="AZ131" s="125"/>
      <c r="BA131" s="125"/>
      <c r="BB131" s="125"/>
      <c r="BC131" s="125"/>
      <c r="BD131" s="125"/>
      <c r="BE131" s="125"/>
      <c r="BF131" s="125"/>
    </row>
    <row r="132" spans="1:58" ht="15.75" customHeight="1">
      <c r="A132" s="125"/>
      <c r="B132" s="125"/>
      <c r="C132" s="125"/>
      <c r="D132" s="125"/>
      <c r="E132" s="125"/>
      <c r="F132" s="125"/>
      <c r="G132" s="125"/>
      <c r="H132" s="125"/>
      <c r="I132" s="125"/>
      <c r="J132" s="125"/>
      <c r="K132" s="125"/>
      <c r="L132" s="125"/>
      <c r="M132" s="125"/>
      <c r="N132" s="125"/>
      <c r="O132" s="125"/>
      <c r="P132" s="125"/>
      <c r="Q132" s="125"/>
      <c r="R132" s="125"/>
      <c r="S132" s="125"/>
      <c r="T132" s="125"/>
      <c r="U132" s="125"/>
      <c r="V132" s="125"/>
      <c r="W132" s="125"/>
      <c r="X132" s="125"/>
      <c r="Y132" s="125"/>
      <c r="Z132" s="125"/>
      <c r="AA132" s="125"/>
      <c r="AB132" s="125"/>
      <c r="AC132" s="125"/>
      <c r="AD132" s="125"/>
      <c r="AE132" s="125"/>
      <c r="AF132" s="125"/>
      <c r="AG132" s="125"/>
      <c r="AH132" s="125"/>
      <c r="AI132" s="125"/>
      <c r="AJ132" s="125"/>
      <c r="AK132" s="125"/>
      <c r="AL132" s="125"/>
      <c r="AM132" s="125"/>
      <c r="AN132" s="125"/>
      <c r="AO132" s="125"/>
      <c r="AP132" s="125"/>
      <c r="AQ132" s="125"/>
      <c r="AR132" s="125"/>
      <c r="AS132" s="125"/>
      <c r="AT132" s="125"/>
      <c r="AU132" s="125"/>
      <c r="AV132" s="125"/>
      <c r="AW132" s="125"/>
      <c r="AX132" s="125"/>
      <c r="AY132" s="125"/>
      <c r="AZ132" s="125"/>
      <c r="BA132" s="125"/>
      <c r="BB132" s="125"/>
      <c r="BC132" s="125"/>
      <c r="BD132" s="125"/>
      <c r="BE132" s="125"/>
      <c r="BF132" s="125"/>
    </row>
    <row r="133" spans="1:58" ht="15.75" customHeight="1">
      <c r="A133" s="125"/>
      <c r="B133" s="125"/>
      <c r="C133" s="125"/>
      <c r="D133" s="125"/>
      <c r="E133" s="125"/>
      <c r="F133" s="125"/>
      <c r="G133" s="125"/>
      <c r="H133" s="125"/>
      <c r="I133" s="125"/>
      <c r="J133" s="125"/>
      <c r="K133" s="125"/>
      <c r="L133" s="125"/>
      <c r="M133" s="125"/>
      <c r="N133" s="125"/>
      <c r="O133" s="125"/>
      <c r="P133" s="125"/>
      <c r="Q133" s="125"/>
      <c r="R133" s="125"/>
      <c r="S133" s="125"/>
      <c r="T133" s="125"/>
      <c r="U133" s="125"/>
      <c r="V133" s="125"/>
      <c r="W133" s="125"/>
      <c r="X133" s="125"/>
      <c r="Y133" s="125"/>
      <c r="Z133" s="125"/>
      <c r="AA133" s="125"/>
      <c r="AB133" s="125"/>
      <c r="AC133" s="125"/>
      <c r="AD133" s="125"/>
      <c r="AE133" s="125"/>
      <c r="AF133" s="125"/>
      <c r="AG133" s="125"/>
      <c r="AH133" s="125"/>
      <c r="AI133" s="125"/>
      <c r="AJ133" s="125"/>
      <c r="AK133" s="125"/>
      <c r="AL133" s="125"/>
      <c r="AM133" s="125"/>
      <c r="AN133" s="125"/>
      <c r="AO133" s="125"/>
      <c r="AP133" s="125"/>
      <c r="AQ133" s="125"/>
      <c r="AR133" s="125"/>
      <c r="AS133" s="125"/>
      <c r="AT133" s="125"/>
      <c r="AU133" s="125"/>
      <c r="AV133" s="125"/>
      <c r="AW133" s="125"/>
      <c r="AX133" s="125"/>
      <c r="AY133" s="125"/>
      <c r="AZ133" s="125"/>
      <c r="BA133" s="125"/>
      <c r="BB133" s="125"/>
      <c r="BC133" s="125"/>
      <c r="BD133" s="125"/>
      <c r="BE133" s="125"/>
      <c r="BF133" s="125"/>
    </row>
    <row r="134" spans="1:58" ht="15.75" customHeight="1">
      <c r="A134" s="125"/>
      <c r="B134" s="125"/>
      <c r="C134" s="125"/>
      <c r="D134" s="125"/>
      <c r="E134" s="125"/>
      <c r="F134" s="125"/>
      <c r="G134" s="125"/>
      <c r="H134" s="125"/>
      <c r="I134" s="125"/>
      <c r="J134" s="125"/>
      <c r="K134" s="125"/>
      <c r="L134" s="125"/>
      <c r="M134" s="125"/>
      <c r="N134" s="125"/>
      <c r="O134" s="125"/>
      <c r="P134" s="125"/>
      <c r="Q134" s="125"/>
      <c r="R134" s="125"/>
      <c r="S134" s="125"/>
      <c r="T134" s="125"/>
      <c r="U134" s="125"/>
      <c r="V134" s="125"/>
      <c r="W134" s="125"/>
      <c r="X134" s="125"/>
      <c r="Y134" s="125"/>
      <c r="Z134" s="125"/>
      <c r="AA134" s="125"/>
      <c r="AB134" s="125"/>
      <c r="AC134" s="125"/>
      <c r="AD134" s="125"/>
      <c r="AE134" s="125"/>
      <c r="AF134" s="125"/>
      <c r="AG134" s="125"/>
      <c r="AH134" s="125"/>
      <c r="AI134" s="125"/>
      <c r="AJ134" s="125"/>
      <c r="AK134" s="125"/>
      <c r="AL134" s="125"/>
      <c r="AM134" s="125"/>
      <c r="AN134" s="125"/>
      <c r="AO134" s="125"/>
      <c r="AP134" s="125"/>
      <c r="AQ134" s="125"/>
      <c r="AR134" s="125"/>
      <c r="AS134" s="125"/>
      <c r="AT134" s="125"/>
      <c r="AU134" s="125"/>
      <c r="AV134" s="125"/>
      <c r="AW134" s="125"/>
      <c r="AX134" s="125"/>
      <c r="AY134" s="125"/>
      <c r="AZ134" s="125"/>
      <c r="BA134" s="125"/>
      <c r="BB134" s="125"/>
      <c r="BC134" s="125"/>
      <c r="BD134" s="125"/>
      <c r="BE134" s="125"/>
      <c r="BF134" s="125"/>
    </row>
    <row r="135" spans="1:58" ht="15.75" customHeight="1">
      <c r="A135" s="125"/>
      <c r="B135" s="125"/>
      <c r="C135" s="125"/>
      <c r="D135" s="125"/>
      <c r="E135" s="125"/>
      <c r="F135" s="125"/>
      <c r="G135" s="125"/>
      <c r="H135" s="125"/>
      <c r="I135" s="125"/>
      <c r="J135" s="125"/>
      <c r="K135" s="125"/>
      <c r="L135" s="125"/>
      <c r="M135" s="125"/>
      <c r="N135" s="125"/>
      <c r="O135" s="125"/>
      <c r="P135" s="125"/>
      <c r="Q135" s="125"/>
      <c r="R135" s="125"/>
      <c r="S135" s="125"/>
      <c r="T135" s="125"/>
      <c r="U135" s="125"/>
      <c r="V135" s="125"/>
      <c r="W135" s="125"/>
      <c r="X135" s="125"/>
      <c r="Y135" s="125"/>
      <c r="Z135" s="125"/>
      <c r="AA135" s="125"/>
      <c r="AB135" s="125"/>
      <c r="AC135" s="125"/>
      <c r="AD135" s="125"/>
      <c r="AE135" s="125"/>
      <c r="AF135" s="125"/>
      <c r="AG135" s="125"/>
      <c r="AH135" s="125"/>
      <c r="AI135" s="125"/>
      <c r="AJ135" s="125"/>
      <c r="AK135" s="125"/>
      <c r="AL135" s="125"/>
      <c r="AM135" s="125"/>
      <c r="AN135" s="125"/>
      <c r="AO135" s="125"/>
      <c r="AP135" s="125"/>
      <c r="AQ135" s="125"/>
      <c r="AR135" s="125"/>
      <c r="AS135" s="125"/>
      <c r="AT135" s="125"/>
      <c r="AU135" s="125"/>
      <c r="AV135" s="125"/>
      <c r="AW135" s="125"/>
      <c r="AX135" s="125"/>
      <c r="AY135" s="125"/>
      <c r="AZ135" s="125"/>
      <c r="BA135" s="125"/>
      <c r="BB135" s="125"/>
      <c r="BC135" s="125"/>
      <c r="BD135" s="125"/>
      <c r="BE135" s="125"/>
      <c r="BF135" s="125"/>
    </row>
    <row r="136" spans="1:58" ht="15.75" customHeight="1">
      <c r="A136" s="125"/>
      <c r="B136" s="125"/>
      <c r="C136" s="125"/>
      <c r="D136" s="125"/>
      <c r="E136" s="125"/>
      <c r="F136" s="125"/>
      <c r="G136" s="125"/>
      <c r="H136" s="125"/>
      <c r="I136" s="125"/>
      <c r="J136" s="125"/>
      <c r="K136" s="125"/>
      <c r="L136" s="125"/>
      <c r="M136" s="125"/>
      <c r="N136" s="125"/>
      <c r="O136" s="125"/>
      <c r="P136" s="125"/>
      <c r="Q136" s="125"/>
      <c r="R136" s="125"/>
      <c r="S136" s="125"/>
      <c r="T136" s="125"/>
      <c r="U136" s="125"/>
      <c r="V136" s="125"/>
      <c r="W136" s="125"/>
      <c r="X136" s="125"/>
      <c r="Y136" s="125"/>
      <c r="Z136" s="125"/>
      <c r="AA136" s="125"/>
      <c r="AB136" s="125"/>
      <c r="AC136" s="125"/>
      <c r="AD136" s="125"/>
      <c r="AE136" s="125"/>
      <c r="AF136" s="125"/>
      <c r="AG136" s="125"/>
      <c r="AH136" s="125"/>
      <c r="AI136" s="125"/>
      <c r="AJ136" s="125"/>
      <c r="AK136" s="125"/>
      <c r="AL136" s="125"/>
      <c r="AM136" s="125"/>
      <c r="AN136" s="125"/>
      <c r="AO136" s="125"/>
      <c r="AP136" s="125"/>
      <c r="AQ136" s="125"/>
      <c r="AR136" s="125"/>
      <c r="AS136" s="125"/>
      <c r="AT136" s="125"/>
      <c r="AU136" s="125"/>
      <c r="AV136" s="125"/>
      <c r="AW136" s="125"/>
      <c r="AX136" s="125"/>
      <c r="AY136" s="125"/>
      <c r="AZ136" s="125"/>
      <c r="BA136" s="125"/>
      <c r="BB136" s="125"/>
      <c r="BC136" s="125"/>
      <c r="BD136" s="125"/>
      <c r="BE136" s="125"/>
      <c r="BF136" s="125"/>
    </row>
    <row r="137" spans="1:58" ht="15.75" customHeight="1">
      <c r="A137" s="125"/>
      <c r="B137" s="125"/>
      <c r="C137" s="125"/>
      <c r="D137" s="125"/>
      <c r="E137" s="125"/>
      <c r="F137" s="125"/>
      <c r="G137" s="125"/>
      <c r="H137" s="125"/>
      <c r="I137" s="125"/>
      <c r="J137" s="125"/>
      <c r="K137" s="125"/>
      <c r="L137" s="125"/>
      <c r="M137" s="125"/>
      <c r="N137" s="125"/>
      <c r="O137" s="125"/>
      <c r="P137" s="125"/>
      <c r="Q137" s="125"/>
      <c r="R137" s="125"/>
      <c r="S137" s="125"/>
      <c r="T137" s="125"/>
      <c r="U137" s="125"/>
      <c r="V137" s="125"/>
      <c r="W137" s="125"/>
      <c r="X137" s="125"/>
      <c r="Y137" s="125"/>
      <c r="Z137" s="125"/>
      <c r="AA137" s="125"/>
      <c r="AB137" s="125"/>
      <c r="AC137" s="125"/>
      <c r="AD137" s="125"/>
      <c r="AE137" s="125"/>
      <c r="AF137" s="125"/>
      <c r="AG137" s="125"/>
      <c r="AH137" s="125"/>
      <c r="AI137" s="125"/>
      <c r="AJ137" s="125"/>
      <c r="AK137" s="125"/>
      <c r="AL137" s="125"/>
      <c r="AM137" s="125"/>
      <c r="AN137" s="125"/>
      <c r="AO137" s="125"/>
      <c r="AP137" s="125"/>
      <c r="AQ137" s="125"/>
      <c r="AR137" s="125"/>
      <c r="AS137" s="125"/>
      <c r="AT137" s="125"/>
      <c r="AU137" s="125"/>
      <c r="AV137" s="125"/>
      <c r="AW137" s="125"/>
      <c r="AX137" s="125"/>
      <c r="AY137" s="125"/>
      <c r="AZ137" s="125"/>
      <c r="BA137" s="125"/>
      <c r="BB137" s="125"/>
      <c r="BC137" s="125"/>
      <c r="BD137" s="125"/>
      <c r="BE137" s="125"/>
      <c r="BF137" s="125"/>
    </row>
    <row r="138" spans="1:58" ht="15.75" customHeight="1">
      <c r="A138" s="125"/>
      <c r="B138" s="125"/>
      <c r="C138" s="125"/>
      <c r="D138" s="125"/>
      <c r="E138" s="125"/>
      <c r="F138" s="125"/>
      <c r="G138" s="125"/>
      <c r="H138" s="125"/>
      <c r="I138" s="125"/>
      <c r="J138" s="125"/>
      <c r="K138" s="125"/>
      <c r="L138" s="125"/>
      <c r="M138" s="125"/>
      <c r="N138" s="125"/>
      <c r="O138" s="125"/>
      <c r="P138" s="125"/>
      <c r="Q138" s="125"/>
      <c r="R138" s="125"/>
      <c r="S138" s="125"/>
      <c r="T138" s="125"/>
      <c r="U138" s="125"/>
      <c r="V138" s="125"/>
      <c r="W138" s="125"/>
      <c r="X138" s="125"/>
      <c r="Y138" s="125"/>
      <c r="Z138" s="125"/>
      <c r="AA138" s="125"/>
      <c r="AB138" s="125"/>
      <c r="AC138" s="125"/>
      <c r="AD138" s="125"/>
      <c r="AE138" s="125"/>
      <c r="AF138" s="125"/>
      <c r="AG138" s="125"/>
      <c r="AH138" s="125"/>
      <c r="AI138" s="125"/>
      <c r="AJ138" s="125"/>
      <c r="AK138" s="125"/>
      <c r="AL138" s="125"/>
      <c r="AM138" s="125"/>
      <c r="AN138" s="125"/>
      <c r="AO138" s="125"/>
      <c r="AP138" s="125"/>
      <c r="AQ138" s="125"/>
      <c r="AR138" s="125"/>
      <c r="AS138" s="125"/>
      <c r="AT138" s="125"/>
      <c r="AU138" s="125"/>
      <c r="AV138" s="125"/>
      <c r="AW138" s="125"/>
      <c r="AX138" s="125"/>
      <c r="AY138" s="125"/>
      <c r="AZ138" s="125"/>
      <c r="BA138" s="125"/>
      <c r="BB138" s="125"/>
      <c r="BC138" s="125"/>
      <c r="BD138" s="125"/>
      <c r="BE138" s="125"/>
      <c r="BF138" s="125"/>
    </row>
    <row r="139" spans="1:58" ht="15.75" customHeight="1">
      <c r="A139" s="125"/>
      <c r="B139" s="125"/>
      <c r="C139" s="125"/>
      <c r="D139" s="125"/>
      <c r="E139" s="125"/>
      <c r="F139" s="125"/>
      <c r="G139" s="125"/>
      <c r="H139" s="125"/>
      <c r="I139" s="125"/>
      <c r="J139" s="125"/>
      <c r="K139" s="125"/>
      <c r="L139" s="125"/>
      <c r="M139" s="125"/>
      <c r="N139" s="125"/>
      <c r="O139" s="125"/>
      <c r="P139" s="125"/>
      <c r="Q139" s="125"/>
      <c r="R139" s="125"/>
      <c r="S139" s="125"/>
      <c r="T139" s="125"/>
      <c r="U139" s="125"/>
      <c r="V139" s="125"/>
      <c r="W139" s="125"/>
      <c r="X139" s="125"/>
      <c r="Y139" s="125"/>
      <c r="Z139" s="125"/>
      <c r="AA139" s="125"/>
      <c r="AB139" s="125"/>
      <c r="AC139" s="125"/>
      <c r="AD139" s="125"/>
      <c r="AE139" s="125"/>
      <c r="AF139" s="125"/>
      <c r="AG139" s="125"/>
      <c r="AH139" s="125"/>
      <c r="AI139" s="125"/>
      <c r="AJ139" s="125"/>
      <c r="AK139" s="125"/>
      <c r="AL139" s="125"/>
      <c r="AM139" s="125"/>
      <c r="AN139" s="125"/>
      <c r="AO139" s="125"/>
      <c r="AP139" s="125"/>
      <c r="AQ139" s="125"/>
      <c r="AR139" s="125"/>
      <c r="AS139" s="125"/>
      <c r="AT139" s="125"/>
      <c r="AU139" s="125"/>
      <c r="AV139" s="125"/>
      <c r="AW139" s="125"/>
      <c r="AX139" s="125"/>
      <c r="AY139" s="125"/>
      <c r="AZ139" s="125"/>
      <c r="BA139" s="125"/>
      <c r="BB139" s="125"/>
      <c r="BC139" s="125"/>
      <c r="BD139" s="125"/>
      <c r="BE139" s="125"/>
      <c r="BF139" s="125"/>
    </row>
    <row r="140" spans="1:58" ht="15.75" customHeight="1">
      <c r="A140" s="125"/>
      <c r="B140" s="125"/>
      <c r="C140" s="125"/>
      <c r="D140" s="125"/>
      <c r="E140" s="125"/>
      <c r="F140" s="125"/>
      <c r="G140" s="125"/>
      <c r="H140" s="125"/>
      <c r="I140" s="125"/>
      <c r="J140" s="125"/>
      <c r="K140" s="125"/>
      <c r="L140" s="125"/>
      <c r="M140" s="125"/>
      <c r="N140" s="125"/>
      <c r="O140" s="125"/>
      <c r="P140" s="125"/>
      <c r="Q140" s="125"/>
      <c r="R140" s="125"/>
      <c r="S140" s="125"/>
      <c r="T140" s="125"/>
      <c r="U140" s="125"/>
      <c r="V140" s="125"/>
      <c r="W140" s="125"/>
      <c r="X140" s="125"/>
      <c r="Y140" s="125"/>
      <c r="Z140" s="125"/>
      <c r="AA140" s="125"/>
      <c r="AB140" s="125"/>
      <c r="AC140" s="125"/>
      <c r="AD140" s="125"/>
      <c r="AE140" s="125"/>
      <c r="AF140" s="125"/>
      <c r="AG140" s="125"/>
      <c r="AH140" s="125"/>
      <c r="AI140" s="125"/>
      <c r="AJ140" s="125"/>
      <c r="AK140" s="125"/>
      <c r="AL140" s="125"/>
      <c r="AM140" s="125"/>
      <c r="AN140" s="125"/>
      <c r="AO140" s="125"/>
      <c r="AP140" s="125"/>
      <c r="AQ140" s="125"/>
      <c r="AR140" s="125"/>
      <c r="AS140" s="125"/>
      <c r="AT140" s="125"/>
      <c r="AU140" s="125"/>
      <c r="AV140" s="125"/>
      <c r="AW140" s="125"/>
      <c r="AX140" s="125"/>
      <c r="AY140" s="125"/>
      <c r="AZ140" s="125"/>
      <c r="BA140" s="125"/>
      <c r="BB140" s="125"/>
      <c r="BC140" s="125"/>
      <c r="BD140" s="125"/>
      <c r="BE140" s="125"/>
      <c r="BF140" s="125"/>
    </row>
    <row r="141" spans="1:58" ht="15.75" customHeight="1">
      <c r="A141" s="125"/>
      <c r="B141" s="125"/>
      <c r="C141" s="125"/>
      <c r="D141" s="125"/>
      <c r="E141" s="125"/>
      <c r="F141" s="125"/>
      <c r="G141" s="125"/>
      <c r="H141" s="125"/>
      <c r="I141" s="125"/>
      <c r="J141" s="125"/>
      <c r="K141" s="125"/>
      <c r="L141" s="125"/>
      <c r="M141" s="125"/>
      <c r="N141" s="125"/>
      <c r="O141" s="125"/>
      <c r="P141" s="125"/>
      <c r="Q141" s="125"/>
      <c r="R141" s="125"/>
      <c r="S141" s="125"/>
      <c r="T141" s="125"/>
      <c r="U141" s="125"/>
      <c r="V141" s="125"/>
      <c r="W141" s="125"/>
      <c r="X141" s="125"/>
      <c r="Y141" s="125"/>
      <c r="Z141" s="125"/>
      <c r="AA141" s="125"/>
      <c r="AB141" s="125"/>
      <c r="AC141" s="125"/>
      <c r="AD141" s="125"/>
      <c r="AE141" s="125"/>
      <c r="AF141" s="125"/>
      <c r="AG141" s="125"/>
      <c r="AH141" s="125"/>
      <c r="AI141" s="125"/>
      <c r="AJ141" s="125"/>
      <c r="AK141" s="125"/>
      <c r="AL141" s="125"/>
      <c r="AM141" s="125"/>
      <c r="AN141" s="125"/>
      <c r="AO141" s="125"/>
      <c r="AP141" s="125"/>
      <c r="AQ141" s="125"/>
      <c r="AR141" s="125"/>
      <c r="AS141" s="125"/>
      <c r="AT141" s="125"/>
      <c r="AU141" s="125"/>
      <c r="AV141" s="125"/>
      <c r="AW141" s="125"/>
      <c r="AX141" s="125"/>
      <c r="AY141" s="125"/>
      <c r="AZ141" s="125"/>
      <c r="BA141" s="125"/>
      <c r="BB141" s="125"/>
      <c r="BC141" s="125"/>
      <c r="BD141" s="125"/>
      <c r="BE141" s="125"/>
      <c r="BF141" s="125"/>
    </row>
    <row r="142" spans="1:58" ht="15.75" customHeight="1">
      <c r="A142" s="125"/>
      <c r="B142" s="125"/>
      <c r="C142" s="125"/>
      <c r="D142" s="125"/>
      <c r="E142" s="125"/>
      <c r="F142" s="125"/>
      <c r="G142" s="125"/>
      <c r="H142" s="125"/>
      <c r="I142" s="125"/>
      <c r="J142" s="125"/>
      <c r="K142" s="125"/>
      <c r="L142" s="125"/>
      <c r="M142" s="125"/>
      <c r="N142" s="125"/>
      <c r="O142" s="125"/>
      <c r="P142" s="125"/>
      <c r="Q142" s="125"/>
      <c r="R142" s="125"/>
      <c r="S142" s="125"/>
      <c r="T142" s="125"/>
      <c r="U142" s="125"/>
      <c r="V142" s="125"/>
      <c r="W142" s="125"/>
      <c r="X142" s="125"/>
      <c r="Y142" s="125"/>
      <c r="Z142" s="125"/>
      <c r="AA142" s="125"/>
      <c r="AB142" s="125"/>
      <c r="AC142" s="125"/>
      <c r="AD142" s="125"/>
      <c r="AE142" s="125"/>
      <c r="AF142" s="125"/>
      <c r="AG142" s="125"/>
      <c r="AH142" s="125"/>
      <c r="AI142" s="125"/>
      <c r="AJ142" s="125"/>
      <c r="AK142" s="125"/>
      <c r="AL142" s="125"/>
      <c r="AM142" s="125"/>
      <c r="AN142" s="125"/>
      <c r="AO142" s="125"/>
      <c r="AP142" s="125"/>
      <c r="AQ142" s="125"/>
      <c r="AR142" s="125"/>
      <c r="AS142" s="125"/>
      <c r="AT142" s="125"/>
      <c r="AU142" s="125"/>
      <c r="AV142" s="125"/>
      <c r="AW142" s="125"/>
      <c r="AX142" s="125"/>
      <c r="AY142" s="125"/>
      <c r="AZ142" s="125"/>
      <c r="BA142" s="125"/>
      <c r="BB142" s="125"/>
      <c r="BC142" s="125"/>
      <c r="BD142" s="125"/>
      <c r="BE142" s="125"/>
      <c r="BF142" s="125"/>
    </row>
    <row r="143" spans="1:58" ht="15.75" customHeight="1">
      <c r="A143" s="125"/>
      <c r="B143" s="125"/>
      <c r="C143" s="125"/>
      <c r="D143" s="125"/>
      <c r="E143" s="125"/>
      <c r="F143" s="125"/>
      <c r="G143" s="125"/>
      <c r="H143" s="125"/>
      <c r="I143" s="125"/>
      <c r="J143" s="125"/>
      <c r="K143" s="125"/>
      <c r="L143" s="125"/>
      <c r="M143" s="125"/>
      <c r="N143" s="125"/>
      <c r="O143" s="125"/>
      <c r="P143" s="125"/>
      <c r="Q143" s="125"/>
      <c r="R143" s="125"/>
      <c r="S143" s="125"/>
      <c r="T143" s="125"/>
      <c r="U143" s="125"/>
      <c r="V143" s="125"/>
      <c r="W143" s="125"/>
      <c r="X143" s="125"/>
      <c r="Y143" s="125"/>
      <c r="Z143" s="125"/>
      <c r="AA143" s="125"/>
      <c r="AB143" s="125"/>
      <c r="AC143" s="125"/>
      <c r="AD143" s="125"/>
      <c r="AE143" s="125"/>
      <c r="AF143" s="125"/>
      <c r="AG143" s="125"/>
      <c r="AH143" s="125"/>
      <c r="AI143" s="125"/>
      <c r="AJ143" s="125"/>
      <c r="AK143" s="125"/>
      <c r="AL143" s="125"/>
      <c r="AM143" s="125"/>
      <c r="AN143" s="125"/>
      <c r="AO143" s="125"/>
      <c r="AP143" s="125"/>
      <c r="AQ143" s="125"/>
      <c r="AR143" s="125"/>
      <c r="AS143" s="125"/>
      <c r="AT143" s="125"/>
      <c r="AU143" s="125"/>
      <c r="AV143" s="125"/>
      <c r="AW143" s="125"/>
      <c r="AX143" s="125"/>
      <c r="AY143" s="125"/>
      <c r="AZ143" s="125"/>
      <c r="BA143" s="125"/>
      <c r="BB143" s="125"/>
      <c r="BC143" s="125"/>
      <c r="BD143" s="125"/>
      <c r="BE143" s="125"/>
      <c r="BF143" s="125"/>
    </row>
    <row r="144" spans="1:58" ht="15.75" customHeight="1">
      <c r="A144" s="125"/>
      <c r="B144" s="125"/>
      <c r="C144" s="125"/>
      <c r="D144" s="125"/>
      <c r="E144" s="125"/>
      <c r="F144" s="125"/>
      <c r="G144" s="125"/>
      <c r="H144" s="125"/>
      <c r="I144" s="125"/>
      <c r="J144" s="125"/>
      <c r="K144" s="125"/>
      <c r="L144" s="125"/>
      <c r="M144" s="125"/>
      <c r="N144" s="125"/>
      <c r="O144" s="125"/>
      <c r="P144" s="125"/>
      <c r="Q144" s="125"/>
      <c r="R144" s="125"/>
      <c r="S144" s="125"/>
      <c r="T144" s="125"/>
      <c r="U144" s="125"/>
      <c r="V144" s="125"/>
      <c r="W144" s="125"/>
      <c r="X144" s="125"/>
      <c r="Y144" s="125"/>
      <c r="Z144" s="125"/>
      <c r="AA144" s="125"/>
      <c r="AB144" s="125"/>
      <c r="AC144" s="125"/>
      <c r="AD144" s="125"/>
      <c r="AE144" s="125"/>
      <c r="AF144" s="125"/>
      <c r="AG144" s="125"/>
      <c r="AH144" s="125"/>
      <c r="AI144" s="125"/>
      <c r="AJ144" s="125"/>
      <c r="AK144" s="125"/>
      <c r="AL144" s="125"/>
      <c r="AM144" s="125"/>
      <c r="AN144" s="125"/>
      <c r="AO144" s="125"/>
      <c r="AP144" s="125"/>
      <c r="AQ144" s="125"/>
      <c r="AR144" s="125"/>
      <c r="AS144" s="125"/>
      <c r="AT144" s="125"/>
      <c r="AU144" s="125"/>
      <c r="AV144" s="125"/>
      <c r="AW144" s="125"/>
      <c r="AX144" s="125"/>
      <c r="AY144" s="125"/>
      <c r="AZ144" s="125"/>
      <c r="BA144" s="125"/>
      <c r="BB144" s="125"/>
      <c r="BC144" s="125"/>
      <c r="BD144" s="125"/>
      <c r="BE144" s="125"/>
      <c r="BF144" s="125"/>
    </row>
    <row r="145" spans="1:58" ht="15.75" customHeight="1">
      <c r="A145" s="125"/>
      <c r="B145" s="125"/>
      <c r="C145" s="125"/>
      <c r="D145" s="125"/>
      <c r="E145" s="125"/>
      <c r="F145" s="125"/>
      <c r="G145" s="125"/>
      <c r="H145" s="125"/>
      <c r="I145" s="125"/>
      <c r="J145" s="125"/>
      <c r="K145" s="125"/>
      <c r="L145" s="125"/>
      <c r="M145" s="125"/>
      <c r="N145" s="125"/>
      <c r="O145" s="125"/>
      <c r="P145" s="125"/>
      <c r="Q145" s="125"/>
      <c r="R145" s="125"/>
      <c r="S145" s="125"/>
      <c r="T145" s="125"/>
      <c r="U145" s="125"/>
      <c r="V145" s="125"/>
      <c r="W145" s="125"/>
      <c r="X145" s="125"/>
      <c r="Y145" s="125"/>
      <c r="Z145" s="125"/>
      <c r="AA145" s="125"/>
      <c r="AB145" s="125"/>
      <c r="AC145" s="125"/>
      <c r="AD145" s="125"/>
      <c r="AE145" s="125"/>
      <c r="AF145" s="125"/>
      <c r="AG145" s="125"/>
      <c r="AH145" s="125"/>
      <c r="AI145" s="125"/>
      <c r="AJ145" s="125"/>
      <c r="AK145" s="125"/>
      <c r="AL145" s="125"/>
      <c r="AM145" s="125"/>
      <c r="AN145" s="125"/>
      <c r="AO145" s="125"/>
      <c r="AP145" s="125"/>
      <c r="AQ145" s="125"/>
      <c r="AR145" s="125"/>
      <c r="AS145" s="125"/>
      <c r="AT145" s="125"/>
      <c r="AU145" s="125"/>
      <c r="AV145" s="125"/>
      <c r="AW145" s="125"/>
      <c r="AX145" s="125"/>
      <c r="AY145" s="125"/>
      <c r="AZ145" s="125"/>
      <c r="BA145" s="125"/>
      <c r="BB145" s="125"/>
      <c r="BC145" s="125"/>
      <c r="BD145" s="125"/>
      <c r="BE145" s="125"/>
      <c r="BF145" s="125"/>
    </row>
    <row r="146" spans="1:58" ht="15.75" customHeight="1">
      <c r="A146" s="125"/>
      <c r="B146" s="125"/>
      <c r="C146" s="125"/>
      <c r="D146" s="125"/>
      <c r="E146" s="125"/>
      <c r="F146" s="125"/>
      <c r="G146" s="125"/>
      <c r="H146" s="125"/>
      <c r="I146" s="125"/>
      <c r="J146" s="125"/>
      <c r="K146" s="125"/>
      <c r="L146" s="125"/>
      <c r="M146" s="125"/>
      <c r="N146" s="125"/>
      <c r="O146" s="125"/>
      <c r="P146" s="125"/>
      <c r="Q146" s="125"/>
      <c r="R146" s="125"/>
      <c r="S146" s="125"/>
      <c r="T146" s="125"/>
      <c r="U146" s="125"/>
      <c r="V146" s="125"/>
      <c r="W146" s="125"/>
      <c r="X146" s="125"/>
      <c r="Y146" s="125"/>
      <c r="Z146" s="125"/>
      <c r="AA146" s="125"/>
      <c r="AB146" s="125"/>
      <c r="AC146" s="125"/>
      <c r="AD146" s="125"/>
      <c r="AE146" s="125"/>
      <c r="AF146" s="125"/>
      <c r="AG146" s="125"/>
      <c r="AH146" s="125"/>
      <c r="AI146" s="125"/>
      <c r="AJ146" s="125"/>
      <c r="AK146" s="125"/>
      <c r="AL146" s="125"/>
      <c r="AM146" s="125"/>
      <c r="AN146" s="125"/>
      <c r="AO146" s="125"/>
      <c r="AP146" s="125"/>
      <c r="AQ146" s="125"/>
      <c r="AR146" s="125"/>
      <c r="AS146" s="125"/>
      <c r="AT146" s="125"/>
      <c r="AU146" s="125"/>
      <c r="AV146" s="125"/>
      <c r="AW146" s="125"/>
      <c r="AX146" s="125"/>
      <c r="AY146" s="125"/>
      <c r="AZ146" s="125"/>
      <c r="BA146" s="125"/>
      <c r="BB146" s="125"/>
      <c r="BC146" s="125"/>
      <c r="BD146" s="125"/>
      <c r="BE146" s="125"/>
      <c r="BF146" s="125"/>
    </row>
    <row r="147" spans="1:58" ht="15.75" customHeight="1">
      <c r="A147" s="125"/>
      <c r="B147" s="125"/>
      <c r="C147" s="125"/>
      <c r="D147" s="125"/>
      <c r="E147" s="125"/>
      <c r="F147" s="125"/>
      <c r="G147" s="125"/>
      <c r="H147" s="125"/>
      <c r="I147" s="125"/>
      <c r="J147" s="125"/>
      <c r="K147" s="125"/>
      <c r="L147" s="125"/>
      <c r="M147" s="125"/>
      <c r="N147" s="125"/>
      <c r="O147" s="125"/>
      <c r="P147" s="125"/>
      <c r="Q147" s="125"/>
      <c r="R147" s="125"/>
      <c r="S147" s="125"/>
      <c r="T147" s="125"/>
      <c r="U147" s="125"/>
      <c r="V147" s="125"/>
      <c r="W147" s="125"/>
      <c r="X147" s="125"/>
      <c r="Y147" s="125"/>
      <c r="Z147" s="125"/>
      <c r="AA147" s="125"/>
      <c r="AB147" s="125"/>
      <c r="AC147" s="125"/>
      <c r="AD147" s="125"/>
      <c r="AE147" s="125"/>
      <c r="AF147" s="125"/>
      <c r="AG147" s="125"/>
      <c r="AH147" s="125"/>
      <c r="AI147" s="125"/>
      <c r="AJ147" s="125"/>
      <c r="AK147" s="125"/>
      <c r="AL147" s="125"/>
      <c r="AM147" s="125"/>
      <c r="AN147" s="125"/>
      <c r="AO147" s="125"/>
      <c r="AP147" s="125"/>
      <c r="AQ147" s="125"/>
      <c r="AR147" s="125"/>
      <c r="AS147" s="125"/>
      <c r="AT147" s="125"/>
      <c r="AU147" s="125"/>
      <c r="AV147" s="125"/>
      <c r="AW147" s="125"/>
      <c r="AX147" s="125"/>
      <c r="AY147" s="125"/>
      <c r="AZ147" s="125"/>
      <c r="BA147" s="125"/>
      <c r="BB147" s="125"/>
      <c r="BC147" s="125"/>
      <c r="BD147" s="125"/>
      <c r="BE147" s="125"/>
      <c r="BF147" s="125"/>
    </row>
    <row r="148" spans="1:58" ht="15.75" customHeight="1">
      <c r="A148" s="125"/>
      <c r="B148" s="125"/>
      <c r="C148" s="125"/>
      <c r="D148" s="125"/>
      <c r="E148" s="125"/>
      <c r="F148" s="125"/>
      <c r="G148" s="125"/>
      <c r="H148" s="125"/>
      <c r="I148" s="125"/>
      <c r="J148" s="125"/>
      <c r="K148" s="125"/>
      <c r="L148" s="125"/>
      <c r="M148" s="125"/>
      <c r="N148" s="125"/>
      <c r="O148" s="125"/>
      <c r="P148" s="125"/>
      <c r="Q148" s="125"/>
      <c r="R148" s="125"/>
      <c r="S148" s="125"/>
      <c r="T148" s="125"/>
      <c r="U148" s="125"/>
      <c r="V148" s="125"/>
      <c r="W148" s="125"/>
      <c r="X148" s="125"/>
      <c r="Y148" s="125"/>
      <c r="Z148" s="125"/>
      <c r="AA148" s="125"/>
      <c r="AB148" s="125"/>
      <c r="AC148" s="125"/>
      <c r="AD148" s="125"/>
      <c r="AE148" s="125"/>
      <c r="AF148" s="125"/>
      <c r="AG148" s="125"/>
      <c r="AH148" s="125"/>
      <c r="AI148" s="125"/>
      <c r="AJ148" s="125"/>
      <c r="AK148" s="125"/>
      <c r="AL148" s="125"/>
      <c r="AM148" s="125"/>
      <c r="AN148" s="125"/>
      <c r="AO148" s="125"/>
      <c r="AP148" s="125"/>
      <c r="AQ148" s="125"/>
      <c r="AR148" s="125"/>
      <c r="AS148" s="125"/>
      <c r="AT148" s="125"/>
      <c r="AU148" s="125"/>
      <c r="AV148" s="125"/>
      <c r="AW148" s="125"/>
      <c r="AX148" s="125"/>
      <c r="AY148" s="125"/>
      <c r="AZ148" s="125"/>
      <c r="BA148" s="125"/>
      <c r="BB148" s="125"/>
      <c r="BC148" s="125"/>
      <c r="BD148" s="125"/>
      <c r="BE148" s="125"/>
      <c r="BF148" s="125"/>
    </row>
    <row r="149" spans="1:58" ht="15.75" customHeight="1">
      <c r="A149" s="125"/>
      <c r="B149" s="125"/>
      <c r="C149" s="125"/>
      <c r="D149" s="125"/>
      <c r="E149" s="125"/>
      <c r="F149" s="125"/>
      <c r="G149" s="125"/>
      <c r="H149" s="125"/>
      <c r="I149" s="125"/>
      <c r="J149" s="125"/>
      <c r="K149" s="125"/>
      <c r="L149" s="125"/>
      <c r="M149" s="125"/>
      <c r="N149" s="125"/>
      <c r="O149" s="125"/>
      <c r="P149" s="125"/>
      <c r="Q149" s="125"/>
      <c r="R149" s="125"/>
      <c r="S149" s="125"/>
      <c r="T149" s="125"/>
      <c r="U149" s="125"/>
      <c r="V149" s="125"/>
      <c r="W149" s="125"/>
      <c r="X149" s="125"/>
      <c r="Y149" s="125"/>
      <c r="Z149" s="125"/>
      <c r="AA149" s="125"/>
      <c r="AB149" s="125"/>
      <c r="AC149" s="125"/>
      <c r="AD149" s="125"/>
      <c r="AE149" s="125"/>
      <c r="AF149" s="125"/>
      <c r="AG149" s="125"/>
      <c r="AH149" s="125"/>
      <c r="AI149" s="125"/>
      <c r="AJ149" s="125"/>
      <c r="AK149" s="125"/>
      <c r="AL149" s="125"/>
      <c r="AM149" s="125"/>
      <c r="AN149" s="125"/>
      <c r="AO149" s="125"/>
      <c r="AP149" s="125"/>
      <c r="AQ149" s="125"/>
      <c r="AR149" s="125"/>
      <c r="AS149" s="125"/>
      <c r="AT149" s="125"/>
      <c r="AU149" s="125"/>
      <c r="AV149" s="125"/>
      <c r="AW149" s="125"/>
      <c r="AX149" s="125"/>
      <c r="AY149" s="125"/>
      <c r="AZ149" s="125"/>
      <c r="BA149" s="125"/>
      <c r="BB149" s="125"/>
      <c r="BC149" s="125"/>
      <c r="BD149" s="125"/>
      <c r="BE149" s="125"/>
      <c r="BF149" s="125"/>
    </row>
    <row r="150" spans="1:58" ht="15.75" customHeight="1">
      <c r="A150" s="125"/>
      <c r="B150" s="125"/>
      <c r="C150" s="125"/>
      <c r="D150" s="125"/>
      <c r="E150" s="125"/>
      <c r="F150" s="125"/>
      <c r="G150" s="125"/>
      <c r="H150" s="125"/>
      <c r="I150" s="125"/>
      <c r="J150" s="125"/>
      <c r="K150" s="125"/>
      <c r="L150" s="125"/>
      <c r="M150" s="125"/>
      <c r="N150" s="125"/>
      <c r="O150" s="125"/>
      <c r="P150" s="125"/>
      <c r="Q150" s="125"/>
      <c r="R150" s="125"/>
      <c r="S150" s="125"/>
      <c r="T150" s="125"/>
      <c r="U150" s="125"/>
      <c r="V150" s="125"/>
      <c r="W150" s="125"/>
      <c r="X150" s="125"/>
      <c r="Y150" s="125"/>
      <c r="Z150" s="125"/>
      <c r="AA150" s="125"/>
      <c r="AB150" s="125"/>
      <c r="AC150" s="125"/>
      <c r="AD150" s="125"/>
      <c r="AE150" s="125"/>
      <c r="AF150" s="125"/>
      <c r="AG150" s="125"/>
      <c r="AH150" s="125"/>
      <c r="AI150" s="125"/>
      <c r="AJ150" s="125"/>
      <c r="AK150" s="125"/>
      <c r="AL150" s="125"/>
      <c r="AM150" s="125"/>
      <c r="AN150" s="125"/>
      <c r="AO150" s="125"/>
      <c r="AP150" s="125"/>
      <c r="AQ150" s="125"/>
      <c r="AR150" s="125"/>
      <c r="AS150" s="125"/>
      <c r="AT150" s="125"/>
      <c r="AU150" s="125"/>
      <c r="AV150" s="125"/>
      <c r="AW150" s="125"/>
      <c r="AX150" s="125"/>
      <c r="AY150" s="125"/>
      <c r="AZ150" s="125"/>
      <c r="BA150" s="125"/>
      <c r="BB150" s="125"/>
      <c r="BC150" s="125"/>
      <c r="BD150" s="125"/>
      <c r="BE150" s="125"/>
      <c r="BF150" s="125"/>
    </row>
    <row r="151" spans="1:58" ht="15.75" customHeight="1">
      <c r="A151" s="125"/>
      <c r="B151" s="125"/>
      <c r="C151" s="125"/>
      <c r="D151" s="125"/>
      <c r="E151" s="125"/>
      <c r="F151" s="125"/>
      <c r="G151" s="125"/>
      <c r="H151" s="125"/>
      <c r="I151" s="125"/>
      <c r="J151" s="125"/>
      <c r="K151" s="125"/>
      <c r="L151" s="125"/>
      <c r="M151" s="125"/>
      <c r="N151" s="125"/>
      <c r="O151" s="125"/>
      <c r="P151" s="125"/>
      <c r="Q151" s="125"/>
      <c r="R151" s="125"/>
      <c r="S151" s="125"/>
      <c r="T151" s="125"/>
      <c r="U151" s="125"/>
      <c r="V151" s="125"/>
      <c r="W151" s="125"/>
      <c r="X151" s="125"/>
      <c r="Y151" s="125"/>
      <c r="Z151" s="125"/>
      <c r="AA151" s="125"/>
      <c r="AB151" s="125"/>
      <c r="AC151" s="125"/>
      <c r="AD151" s="125"/>
      <c r="AE151" s="125"/>
      <c r="AF151" s="125"/>
      <c r="AG151" s="125"/>
      <c r="AH151" s="125"/>
      <c r="AI151" s="125"/>
      <c r="AJ151" s="125"/>
      <c r="AK151" s="125"/>
      <c r="AL151" s="125"/>
      <c r="AM151" s="125"/>
      <c r="AN151" s="125"/>
      <c r="AO151" s="125"/>
      <c r="AP151" s="125"/>
      <c r="AQ151" s="125"/>
      <c r="AR151" s="125"/>
      <c r="AS151" s="125"/>
      <c r="AT151" s="125"/>
      <c r="AU151" s="125"/>
      <c r="AV151" s="125"/>
      <c r="AW151" s="125"/>
      <c r="AX151" s="125"/>
      <c r="AY151" s="125"/>
      <c r="AZ151" s="125"/>
      <c r="BA151" s="125"/>
      <c r="BB151" s="125"/>
      <c r="BC151" s="125"/>
      <c r="BD151" s="125"/>
      <c r="BE151" s="125"/>
      <c r="BF151" s="125"/>
    </row>
    <row r="152" spans="1:58" ht="15.75" customHeight="1">
      <c r="A152" s="125"/>
      <c r="B152" s="125"/>
      <c r="C152" s="125"/>
      <c r="D152" s="125"/>
      <c r="E152" s="125"/>
      <c r="F152" s="125"/>
      <c r="G152" s="125"/>
      <c r="H152" s="125"/>
      <c r="I152" s="125"/>
      <c r="J152" s="125"/>
      <c r="K152" s="125"/>
      <c r="L152" s="125"/>
      <c r="M152" s="125"/>
      <c r="N152" s="125"/>
      <c r="O152" s="125"/>
      <c r="P152" s="125"/>
      <c r="Q152" s="125"/>
      <c r="R152" s="125"/>
      <c r="S152" s="125"/>
      <c r="T152" s="125"/>
      <c r="U152" s="125"/>
      <c r="V152" s="125"/>
      <c r="W152" s="125"/>
      <c r="X152" s="125"/>
      <c r="Y152" s="125"/>
      <c r="Z152" s="125"/>
      <c r="AA152" s="125"/>
      <c r="AB152" s="125"/>
      <c r="AC152" s="125"/>
      <c r="AD152" s="125"/>
      <c r="AE152" s="125"/>
      <c r="AF152" s="125"/>
      <c r="AG152" s="125"/>
      <c r="AH152" s="125"/>
      <c r="AI152" s="125"/>
      <c r="AJ152" s="125"/>
      <c r="AK152" s="125"/>
      <c r="AL152" s="125"/>
      <c r="AM152" s="125"/>
      <c r="AN152" s="125"/>
      <c r="AO152" s="125"/>
      <c r="AP152" s="125"/>
      <c r="AQ152" s="125"/>
      <c r="AR152" s="125"/>
      <c r="AS152" s="125"/>
      <c r="AT152" s="125"/>
      <c r="AU152" s="125"/>
      <c r="AV152" s="125"/>
      <c r="AW152" s="125"/>
      <c r="AX152" s="125"/>
      <c r="AY152" s="125"/>
      <c r="AZ152" s="125"/>
      <c r="BA152" s="125"/>
      <c r="BB152" s="125"/>
      <c r="BC152" s="125"/>
      <c r="BD152" s="125"/>
      <c r="BE152" s="125"/>
      <c r="BF152" s="125"/>
    </row>
    <row r="153" spans="1:58" ht="15.75" customHeight="1">
      <c r="A153" s="125"/>
      <c r="B153" s="125"/>
      <c r="C153" s="125"/>
      <c r="D153" s="125"/>
      <c r="E153" s="125"/>
      <c r="F153" s="125"/>
      <c r="G153" s="125"/>
      <c r="H153" s="125"/>
      <c r="I153" s="125"/>
      <c r="J153" s="125"/>
      <c r="K153" s="125"/>
      <c r="L153" s="125"/>
      <c r="M153" s="125"/>
      <c r="N153" s="125"/>
      <c r="O153" s="125"/>
      <c r="P153" s="125"/>
      <c r="Q153" s="125"/>
      <c r="R153" s="125"/>
      <c r="S153" s="125"/>
      <c r="T153" s="125"/>
      <c r="U153" s="125"/>
      <c r="V153" s="125"/>
      <c r="W153" s="125"/>
      <c r="X153" s="125"/>
      <c r="Y153" s="125"/>
      <c r="Z153" s="125"/>
      <c r="AA153" s="125"/>
      <c r="AB153" s="125"/>
      <c r="AC153" s="125"/>
      <c r="AD153" s="125"/>
      <c r="AE153" s="125"/>
      <c r="AF153" s="125"/>
      <c r="AG153" s="125"/>
      <c r="AH153" s="125"/>
      <c r="AI153" s="125"/>
      <c r="AJ153" s="125"/>
      <c r="AK153" s="125"/>
      <c r="AL153" s="125"/>
      <c r="AM153" s="125"/>
      <c r="AN153" s="125"/>
      <c r="AO153" s="125"/>
      <c r="AP153" s="125"/>
      <c r="AQ153" s="125"/>
      <c r="AR153" s="125"/>
      <c r="AS153" s="125"/>
      <c r="AT153" s="125"/>
      <c r="AU153" s="125"/>
      <c r="AV153" s="125"/>
      <c r="AW153" s="125"/>
      <c r="AX153" s="125"/>
      <c r="AY153" s="125"/>
      <c r="AZ153" s="125"/>
      <c r="BA153" s="125"/>
      <c r="BB153" s="125"/>
      <c r="BC153" s="125"/>
      <c r="BD153" s="125"/>
      <c r="BE153" s="125"/>
      <c r="BF153" s="125"/>
    </row>
    <row r="154" spans="1:58" ht="15.75" customHeight="1">
      <c r="A154" s="125"/>
      <c r="B154" s="125"/>
      <c r="C154" s="125"/>
      <c r="D154" s="125"/>
      <c r="E154" s="125"/>
      <c r="F154" s="125"/>
      <c r="G154" s="125"/>
      <c r="H154" s="125"/>
      <c r="I154" s="125"/>
      <c r="J154" s="125"/>
      <c r="K154" s="125"/>
      <c r="L154" s="125"/>
      <c r="M154" s="125"/>
      <c r="N154" s="125"/>
      <c r="O154" s="125"/>
      <c r="P154" s="125"/>
      <c r="Q154" s="125"/>
      <c r="R154" s="125"/>
      <c r="S154" s="125"/>
      <c r="T154" s="125"/>
      <c r="U154" s="125"/>
      <c r="V154" s="125"/>
      <c r="W154" s="125"/>
      <c r="X154" s="125"/>
      <c r="Y154" s="125"/>
      <c r="Z154" s="125"/>
      <c r="AA154" s="125"/>
      <c r="AB154" s="125"/>
      <c r="AC154" s="125"/>
      <c r="AD154" s="125"/>
      <c r="AE154" s="125"/>
      <c r="AF154" s="125"/>
      <c r="AG154" s="125"/>
      <c r="AH154" s="125"/>
      <c r="AI154" s="125"/>
      <c r="AJ154" s="125"/>
      <c r="AK154" s="125"/>
      <c r="AL154" s="125"/>
      <c r="AM154" s="125"/>
      <c r="AN154" s="125"/>
      <c r="AO154" s="125"/>
      <c r="AP154" s="125"/>
      <c r="AQ154" s="125"/>
      <c r="AR154" s="125"/>
      <c r="AS154" s="125"/>
      <c r="AT154" s="125"/>
      <c r="AU154" s="125"/>
      <c r="AV154" s="125"/>
      <c r="AW154" s="125"/>
      <c r="AX154" s="125"/>
      <c r="AY154" s="125"/>
      <c r="AZ154" s="125"/>
      <c r="BA154" s="125"/>
      <c r="BB154" s="125"/>
      <c r="BC154" s="125"/>
      <c r="BD154" s="125"/>
      <c r="BE154" s="125"/>
      <c r="BF154" s="125"/>
    </row>
    <row r="155" spans="1:58" ht="15.75" customHeight="1">
      <c r="A155" s="125"/>
      <c r="B155" s="125"/>
      <c r="C155" s="125"/>
      <c r="D155" s="125"/>
      <c r="E155" s="125"/>
      <c r="F155" s="125"/>
      <c r="G155" s="125"/>
      <c r="H155" s="125"/>
      <c r="I155" s="125"/>
      <c r="J155" s="125"/>
      <c r="K155" s="125"/>
      <c r="L155" s="125"/>
      <c r="M155" s="125"/>
      <c r="N155" s="125"/>
      <c r="O155" s="125"/>
      <c r="P155" s="125"/>
      <c r="Q155" s="125"/>
      <c r="R155" s="125"/>
      <c r="S155" s="125"/>
      <c r="T155" s="125"/>
      <c r="U155" s="125"/>
      <c r="V155" s="125"/>
      <c r="W155" s="125"/>
      <c r="X155" s="125"/>
      <c r="Y155" s="125"/>
      <c r="Z155" s="125"/>
      <c r="AA155" s="125"/>
      <c r="AB155" s="125"/>
      <c r="AC155" s="125"/>
      <c r="AD155" s="125"/>
      <c r="AE155" s="125"/>
      <c r="AF155" s="125"/>
      <c r="AG155" s="125"/>
      <c r="AH155" s="125"/>
      <c r="AI155" s="125"/>
      <c r="AJ155" s="125"/>
      <c r="AK155" s="125"/>
      <c r="AL155" s="125"/>
      <c r="AM155" s="125"/>
      <c r="AN155" s="125"/>
      <c r="AO155" s="125"/>
      <c r="AP155" s="125"/>
      <c r="AQ155" s="125"/>
      <c r="AR155" s="125"/>
      <c r="AS155" s="125"/>
      <c r="AT155" s="125"/>
      <c r="AU155" s="125"/>
      <c r="AV155" s="125"/>
      <c r="AW155" s="125"/>
      <c r="AX155" s="125"/>
      <c r="AY155" s="125"/>
      <c r="AZ155" s="125"/>
      <c r="BA155" s="125"/>
      <c r="BB155" s="125"/>
      <c r="BC155" s="125"/>
      <c r="BD155" s="125"/>
      <c r="BE155" s="125"/>
      <c r="BF155" s="125"/>
    </row>
    <row r="156" spans="1:58" ht="15.75" customHeight="1">
      <c r="A156" s="125"/>
      <c r="B156" s="125"/>
      <c r="C156" s="125"/>
      <c r="D156" s="125"/>
      <c r="E156" s="125"/>
      <c r="F156" s="125"/>
      <c r="G156" s="125"/>
      <c r="H156" s="125"/>
      <c r="I156" s="125"/>
      <c r="J156" s="125"/>
      <c r="K156" s="125"/>
      <c r="L156" s="125"/>
      <c r="M156" s="125"/>
      <c r="N156" s="125"/>
      <c r="O156" s="125"/>
      <c r="P156" s="125"/>
      <c r="Q156" s="125"/>
      <c r="R156" s="125"/>
      <c r="S156" s="125"/>
      <c r="T156" s="125"/>
      <c r="U156" s="125"/>
      <c r="V156" s="125"/>
      <c r="W156" s="125"/>
      <c r="X156" s="125"/>
      <c r="Y156" s="125"/>
      <c r="Z156" s="125"/>
      <c r="AA156" s="125"/>
      <c r="AB156" s="125"/>
      <c r="AC156" s="125"/>
      <c r="AD156" s="125"/>
      <c r="AE156" s="125"/>
      <c r="AF156" s="125"/>
      <c r="AG156" s="125"/>
      <c r="AH156" s="125"/>
      <c r="AI156" s="125"/>
      <c r="AJ156" s="125"/>
      <c r="AK156" s="125"/>
      <c r="AL156" s="125"/>
      <c r="AM156" s="125"/>
      <c r="AN156" s="125"/>
      <c r="AO156" s="125"/>
      <c r="AP156" s="125"/>
      <c r="AQ156" s="125"/>
      <c r="AR156" s="125"/>
      <c r="AS156" s="125"/>
      <c r="AT156" s="125"/>
      <c r="AU156" s="125"/>
      <c r="AV156" s="125"/>
      <c r="AW156" s="125"/>
      <c r="AX156" s="125"/>
      <c r="AY156" s="125"/>
      <c r="AZ156" s="125"/>
      <c r="BA156" s="125"/>
      <c r="BB156" s="125"/>
      <c r="BC156" s="125"/>
      <c r="BD156" s="125"/>
      <c r="BE156" s="125"/>
      <c r="BF156" s="125"/>
    </row>
    <row r="157" spans="1:58" ht="15.75" customHeight="1">
      <c r="A157" s="125"/>
      <c r="B157" s="125"/>
      <c r="C157" s="125"/>
      <c r="D157" s="125"/>
      <c r="E157" s="125"/>
      <c r="F157" s="125"/>
      <c r="G157" s="125"/>
      <c r="H157" s="125"/>
      <c r="I157" s="125"/>
      <c r="J157" s="125"/>
      <c r="K157" s="125"/>
      <c r="L157" s="125"/>
      <c r="M157" s="125"/>
      <c r="N157" s="125"/>
      <c r="O157" s="125"/>
      <c r="P157" s="125"/>
      <c r="Q157" s="125"/>
      <c r="R157" s="125"/>
      <c r="S157" s="125"/>
      <c r="T157" s="125"/>
      <c r="U157" s="125"/>
      <c r="V157" s="125"/>
      <c r="W157" s="125"/>
      <c r="X157" s="125"/>
      <c r="Y157" s="125"/>
      <c r="Z157" s="125"/>
      <c r="AA157" s="125"/>
      <c r="AB157" s="125"/>
      <c r="AC157" s="125"/>
      <c r="AD157" s="125"/>
      <c r="AE157" s="125"/>
      <c r="AF157" s="125"/>
      <c r="AG157" s="125"/>
      <c r="AH157" s="125"/>
      <c r="AI157" s="125"/>
      <c r="AJ157" s="125"/>
      <c r="AK157" s="125"/>
      <c r="AL157" s="125"/>
      <c r="AM157" s="125"/>
      <c r="AN157" s="125"/>
      <c r="AO157" s="125"/>
      <c r="AP157" s="125"/>
      <c r="AQ157" s="125"/>
      <c r="AR157" s="125"/>
      <c r="AS157" s="125"/>
      <c r="AT157" s="125"/>
      <c r="AU157" s="125"/>
      <c r="AV157" s="125"/>
      <c r="AW157" s="125"/>
      <c r="AX157" s="125"/>
      <c r="AY157" s="125"/>
      <c r="AZ157" s="125"/>
      <c r="BA157" s="125"/>
      <c r="BB157" s="125"/>
      <c r="BC157" s="125"/>
      <c r="BD157" s="125"/>
      <c r="BE157" s="125"/>
      <c r="BF157" s="125"/>
    </row>
    <row r="158" spans="1:58" ht="15.75" customHeight="1">
      <c r="A158" s="125"/>
      <c r="B158" s="125"/>
      <c r="C158" s="125"/>
      <c r="D158" s="125"/>
      <c r="E158" s="125"/>
      <c r="F158" s="125"/>
      <c r="G158" s="125"/>
      <c r="H158" s="125"/>
      <c r="I158" s="125"/>
      <c r="J158" s="125"/>
      <c r="K158" s="125"/>
      <c r="L158" s="125"/>
      <c r="M158" s="125"/>
      <c r="N158" s="125"/>
      <c r="O158" s="125"/>
      <c r="P158" s="125"/>
      <c r="Q158" s="125"/>
      <c r="R158" s="125"/>
      <c r="S158" s="125"/>
      <c r="T158" s="125"/>
      <c r="U158" s="125"/>
      <c r="V158" s="125"/>
      <c r="W158" s="125"/>
      <c r="X158" s="125"/>
      <c r="Y158" s="125"/>
      <c r="Z158" s="125"/>
      <c r="AA158" s="125"/>
      <c r="AB158" s="125"/>
      <c r="AC158" s="125"/>
      <c r="AD158" s="125"/>
      <c r="AE158" s="125"/>
      <c r="AF158" s="125"/>
      <c r="AG158" s="125"/>
      <c r="AH158" s="125"/>
      <c r="AI158" s="125"/>
      <c r="AJ158" s="125"/>
      <c r="AK158" s="125"/>
      <c r="AL158" s="125"/>
      <c r="AM158" s="125"/>
      <c r="AN158" s="125"/>
      <c r="AO158" s="125"/>
      <c r="AP158" s="125"/>
      <c r="AQ158" s="125"/>
      <c r="AR158" s="125"/>
      <c r="AS158" s="125"/>
      <c r="AT158" s="125"/>
      <c r="AU158" s="125"/>
      <c r="AV158" s="125"/>
      <c r="AW158" s="125"/>
      <c r="AX158" s="125"/>
      <c r="AY158" s="125"/>
      <c r="AZ158" s="125"/>
      <c r="BA158" s="125"/>
      <c r="BB158" s="125"/>
      <c r="BC158" s="125"/>
      <c r="BD158" s="125"/>
      <c r="BE158" s="125"/>
      <c r="BF158" s="125"/>
    </row>
    <row r="159" spans="1:58" ht="15.75" customHeight="1">
      <c r="A159" s="125"/>
      <c r="B159" s="125"/>
      <c r="C159" s="125"/>
      <c r="D159" s="125"/>
      <c r="E159" s="125"/>
      <c r="F159" s="125"/>
      <c r="G159" s="125"/>
      <c r="H159" s="125"/>
      <c r="I159" s="125"/>
      <c r="J159" s="125"/>
      <c r="K159" s="125"/>
      <c r="L159" s="125"/>
      <c r="M159" s="125"/>
      <c r="N159" s="125"/>
      <c r="O159" s="125"/>
      <c r="P159" s="125"/>
      <c r="Q159" s="125"/>
      <c r="R159" s="125"/>
      <c r="S159" s="125"/>
      <c r="T159" s="125"/>
      <c r="U159" s="125"/>
      <c r="V159" s="125"/>
      <c r="W159" s="125"/>
      <c r="X159" s="125"/>
      <c r="Y159" s="125"/>
      <c r="Z159" s="125"/>
      <c r="AA159" s="125"/>
      <c r="AB159" s="125"/>
      <c r="AC159" s="125"/>
      <c r="AD159" s="125"/>
      <c r="AE159" s="125"/>
      <c r="AF159" s="125"/>
      <c r="AG159" s="125"/>
      <c r="AH159" s="125"/>
      <c r="AI159" s="125"/>
      <c r="AJ159" s="125"/>
      <c r="AK159" s="125"/>
      <c r="AL159" s="125"/>
      <c r="AM159" s="125"/>
      <c r="AN159" s="125"/>
      <c r="AO159" s="125"/>
      <c r="AP159" s="125"/>
      <c r="AQ159" s="125"/>
      <c r="AR159" s="125"/>
      <c r="AS159" s="125"/>
      <c r="AT159" s="125"/>
      <c r="AU159" s="125"/>
      <c r="AV159" s="125"/>
      <c r="AW159" s="125"/>
      <c r="AX159" s="125"/>
      <c r="AY159" s="125"/>
      <c r="AZ159" s="125"/>
      <c r="BA159" s="125"/>
      <c r="BB159" s="125"/>
      <c r="BC159" s="125"/>
      <c r="BD159" s="125"/>
      <c r="BE159" s="125"/>
      <c r="BF159" s="125"/>
    </row>
    <row r="160" spans="1:58" ht="15.75" customHeight="1">
      <c r="A160" s="125"/>
      <c r="B160" s="125"/>
      <c r="C160" s="125"/>
      <c r="D160" s="125"/>
      <c r="E160" s="125"/>
      <c r="F160" s="125"/>
      <c r="G160" s="125"/>
      <c r="H160" s="125"/>
      <c r="I160" s="125"/>
      <c r="J160" s="125"/>
      <c r="K160" s="125"/>
      <c r="L160" s="125"/>
      <c r="M160" s="125"/>
      <c r="N160" s="125"/>
      <c r="O160" s="125"/>
      <c r="P160" s="125"/>
      <c r="Q160" s="125"/>
      <c r="R160" s="125"/>
      <c r="S160" s="125"/>
      <c r="T160" s="125"/>
      <c r="U160" s="125"/>
      <c r="V160" s="125"/>
      <c r="W160" s="125"/>
      <c r="X160" s="125"/>
      <c r="Y160" s="125"/>
      <c r="Z160" s="125"/>
      <c r="AA160" s="125"/>
      <c r="AB160" s="125"/>
      <c r="AC160" s="125"/>
      <c r="AD160" s="125"/>
      <c r="AE160" s="125"/>
      <c r="AF160" s="125"/>
      <c r="AG160" s="125"/>
      <c r="AH160" s="125"/>
      <c r="AI160" s="125"/>
      <c r="AJ160" s="125"/>
      <c r="AK160" s="125"/>
      <c r="AL160" s="125"/>
      <c r="AM160" s="125"/>
      <c r="AN160" s="125"/>
      <c r="AO160" s="125"/>
      <c r="AP160" s="125"/>
      <c r="AQ160" s="125"/>
      <c r="AR160" s="125"/>
      <c r="AS160" s="125"/>
      <c r="AT160" s="125"/>
      <c r="AU160" s="125"/>
      <c r="AV160" s="125"/>
      <c r="AW160" s="125"/>
      <c r="AX160" s="125"/>
      <c r="AY160" s="125"/>
      <c r="AZ160" s="125"/>
      <c r="BA160" s="125"/>
      <c r="BB160" s="125"/>
      <c r="BC160" s="125"/>
      <c r="BD160" s="125"/>
      <c r="BE160" s="125"/>
      <c r="BF160" s="125"/>
    </row>
    <row r="161" spans="1:58" ht="15.75" customHeight="1">
      <c r="A161" s="125"/>
      <c r="B161" s="125"/>
      <c r="C161" s="125"/>
      <c r="D161" s="125"/>
      <c r="E161" s="125"/>
      <c r="F161" s="125"/>
      <c r="G161" s="125"/>
      <c r="H161" s="125"/>
      <c r="I161" s="125"/>
      <c r="J161" s="125"/>
      <c r="K161" s="125"/>
      <c r="L161" s="125"/>
      <c r="M161" s="125"/>
      <c r="N161" s="125"/>
      <c r="O161" s="125"/>
      <c r="P161" s="125"/>
      <c r="Q161" s="125"/>
      <c r="R161" s="125"/>
      <c r="S161" s="125"/>
      <c r="T161" s="125"/>
      <c r="U161" s="125"/>
      <c r="V161" s="125"/>
      <c r="W161" s="125"/>
      <c r="X161" s="125"/>
      <c r="Y161" s="125"/>
      <c r="Z161" s="125"/>
      <c r="AA161" s="125"/>
      <c r="AB161" s="125"/>
      <c r="AC161" s="125"/>
      <c r="AD161" s="125"/>
      <c r="AE161" s="125"/>
      <c r="AF161" s="125"/>
      <c r="AG161" s="125"/>
      <c r="AH161" s="125"/>
      <c r="AI161" s="125"/>
      <c r="AJ161" s="125"/>
      <c r="AK161" s="125"/>
      <c r="AL161" s="125"/>
      <c r="AM161" s="125"/>
      <c r="AN161" s="125"/>
      <c r="AO161" s="125"/>
      <c r="AP161" s="125"/>
      <c r="AQ161" s="125"/>
      <c r="AR161" s="125"/>
      <c r="AS161" s="125"/>
      <c r="AT161" s="125"/>
      <c r="AU161" s="125"/>
      <c r="AV161" s="125"/>
      <c r="AW161" s="125"/>
      <c r="AX161" s="125"/>
      <c r="AY161" s="125"/>
      <c r="AZ161" s="125"/>
      <c r="BA161" s="125"/>
      <c r="BB161" s="125"/>
      <c r="BC161" s="125"/>
      <c r="BD161" s="125"/>
      <c r="BE161" s="125"/>
      <c r="BF161" s="125"/>
    </row>
    <row r="162" spans="1:58" ht="15.75" customHeight="1">
      <c r="A162" s="125"/>
      <c r="B162" s="125"/>
      <c r="C162" s="125"/>
      <c r="D162" s="125"/>
      <c r="E162" s="125"/>
      <c r="F162" s="125"/>
      <c r="G162" s="125"/>
      <c r="H162" s="125"/>
      <c r="I162" s="125"/>
      <c r="J162" s="125"/>
      <c r="K162" s="125"/>
      <c r="L162" s="125"/>
      <c r="M162" s="125"/>
      <c r="N162" s="125"/>
      <c r="O162" s="125"/>
      <c r="P162" s="125"/>
      <c r="Q162" s="125"/>
      <c r="R162" s="125"/>
      <c r="S162" s="125"/>
      <c r="T162" s="125"/>
      <c r="U162" s="125"/>
      <c r="V162" s="125"/>
      <c r="W162" s="125"/>
      <c r="X162" s="125"/>
      <c r="Y162" s="125"/>
      <c r="Z162" s="125"/>
      <c r="AA162" s="125"/>
      <c r="AB162" s="125"/>
      <c r="AC162" s="125"/>
      <c r="AD162" s="125"/>
      <c r="AE162" s="125"/>
      <c r="AF162" s="125"/>
      <c r="AG162" s="125"/>
      <c r="AH162" s="125"/>
      <c r="AI162" s="125"/>
      <c r="AJ162" s="125"/>
      <c r="AK162" s="125"/>
      <c r="AL162" s="125"/>
      <c r="AM162" s="125"/>
      <c r="AN162" s="125"/>
      <c r="AO162" s="125"/>
      <c r="AP162" s="125"/>
      <c r="AQ162" s="125"/>
      <c r="AR162" s="125"/>
      <c r="AS162" s="125"/>
      <c r="AT162" s="125"/>
      <c r="AU162" s="125"/>
      <c r="AV162" s="125"/>
      <c r="AW162" s="125"/>
      <c r="AX162" s="125"/>
      <c r="AY162" s="125"/>
      <c r="AZ162" s="125"/>
      <c r="BA162" s="125"/>
      <c r="BB162" s="125"/>
      <c r="BC162" s="125"/>
      <c r="BD162" s="125"/>
      <c r="BE162" s="125"/>
      <c r="BF162" s="125"/>
    </row>
    <row r="163" spans="1:58" ht="15.75" customHeight="1">
      <c r="A163" s="125"/>
      <c r="B163" s="125"/>
      <c r="C163" s="125"/>
      <c r="D163" s="125"/>
      <c r="E163" s="125"/>
      <c r="F163" s="125"/>
      <c r="G163" s="125"/>
      <c r="H163" s="125"/>
      <c r="I163" s="125"/>
      <c r="J163" s="125"/>
      <c r="K163" s="125"/>
      <c r="L163" s="125"/>
      <c r="M163" s="125"/>
      <c r="N163" s="125"/>
      <c r="O163" s="125"/>
      <c r="P163" s="125"/>
      <c r="Q163" s="125"/>
      <c r="R163" s="125"/>
      <c r="S163" s="125"/>
      <c r="T163" s="125"/>
      <c r="U163" s="125"/>
      <c r="V163" s="125"/>
      <c r="W163" s="125"/>
      <c r="X163" s="125"/>
      <c r="Y163" s="125"/>
      <c r="Z163" s="125"/>
      <c r="AA163" s="125"/>
      <c r="AB163" s="125"/>
      <c r="AC163" s="125"/>
      <c r="AD163" s="125"/>
      <c r="AE163" s="125"/>
      <c r="AF163" s="125"/>
      <c r="AG163" s="125"/>
      <c r="AH163" s="125"/>
      <c r="AI163" s="125"/>
      <c r="AJ163" s="125"/>
      <c r="AK163" s="125"/>
      <c r="AL163" s="125"/>
      <c r="AM163" s="125"/>
      <c r="AN163" s="125"/>
      <c r="AO163" s="125"/>
      <c r="AP163" s="125"/>
      <c r="AQ163" s="125"/>
      <c r="AR163" s="125"/>
      <c r="AS163" s="125"/>
      <c r="AT163" s="125"/>
      <c r="AU163" s="125"/>
      <c r="AV163" s="125"/>
      <c r="AW163" s="125"/>
      <c r="AX163" s="125"/>
      <c r="AY163" s="125"/>
      <c r="AZ163" s="125"/>
      <c r="BA163" s="125"/>
      <c r="BB163" s="125"/>
      <c r="BC163" s="125"/>
      <c r="BD163" s="125"/>
      <c r="BE163" s="125"/>
      <c r="BF163" s="125"/>
    </row>
    <row r="164" spans="1:58" ht="15.75" customHeight="1">
      <c r="A164" s="125"/>
      <c r="B164" s="125"/>
      <c r="C164" s="125"/>
      <c r="D164" s="125"/>
      <c r="E164" s="125"/>
      <c r="F164" s="125"/>
      <c r="G164" s="125"/>
      <c r="H164" s="125"/>
      <c r="I164" s="125"/>
      <c r="J164" s="125"/>
      <c r="K164" s="125"/>
      <c r="L164" s="125"/>
      <c r="M164" s="125"/>
      <c r="N164" s="125"/>
      <c r="O164" s="125"/>
      <c r="P164" s="125"/>
      <c r="Q164" s="125"/>
      <c r="R164" s="125"/>
      <c r="S164" s="125"/>
      <c r="T164" s="125"/>
      <c r="U164" s="125"/>
      <c r="V164" s="125"/>
      <c r="W164" s="125"/>
      <c r="X164" s="125"/>
      <c r="Y164" s="125"/>
      <c r="Z164" s="125"/>
      <c r="AA164" s="125"/>
      <c r="AB164" s="125"/>
      <c r="AC164" s="125"/>
      <c r="AD164" s="125"/>
      <c r="AE164" s="125"/>
      <c r="AF164" s="125"/>
      <c r="AG164" s="125"/>
      <c r="AH164" s="125"/>
      <c r="AI164" s="125"/>
      <c r="AJ164" s="125"/>
      <c r="AK164" s="125"/>
      <c r="AL164" s="125"/>
      <c r="AM164" s="125"/>
      <c r="AN164" s="125"/>
      <c r="AO164" s="125"/>
      <c r="AP164" s="125"/>
      <c r="AQ164" s="125"/>
      <c r="AR164" s="125"/>
      <c r="AS164" s="125"/>
      <c r="AT164" s="125"/>
      <c r="AU164" s="125"/>
      <c r="AV164" s="125"/>
      <c r="AW164" s="125"/>
      <c r="AX164" s="125"/>
      <c r="AY164" s="125"/>
      <c r="AZ164" s="125"/>
      <c r="BA164" s="125"/>
      <c r="BB164" s="125"/>
      <c r="BC164" s="125"/>
      <c r="BD164" s="125"/>
      <c r="BE164" s="125"/>
      <c r="BF164" s="125"/>
    </row>
    <row r="165" spans="1:58" ht="15.75" customHeight="1">
      <c r="A165" s="125"/>
      <c r="B165" s="125"/>
      <c r="C165" s="125"/>
      <c r="D165" s="125"/>
      <c r="E165" s="125"/>
      <c r="F165" s="125"/>
      <c r="G165" s="125"/>
      <c r="H165" s="125"/>
      <c r="I165" s="125"/>
      <c r="J165" s="125"/>
      <c r="K165" s="125"/>
      <c r="L165" s="125"/>
      <c r="M165" s="125"/>
      <c r="N165" s="125"/>
      <c r="O165" s="125"/>
      <c r="P165" s="125"/>
      <c r="Q165" s="125"/>
      <c r="R165" s="125"/>
      <c r="S165" s="125"/>
      <c r="T165" s="125"/>
      <c r="U165" s="125"/>
      <c r="V165" s="125"/>
      <c r="W165" s="125"/>
      <c r="X165" s="125"/>
      <c r="Y165" s="125"/>
      <c r="Z165" s="125"/>
      <c r="AA165" s="125"/>
      <c r="AB165" s="125"/>
      <c r="AC165" s="125"/>
      <c r="AD165" s="125"/>
      <c r="AE165" s="125"/>
      <c r="AF165" s="125"/>
      <c r="AG165" s="125"/>
      <c r="AH165" s="125"/>
      <c r="AI165" s="125"/>
      <c r="AJ165" s="125"/>
      <c r="AK165" s="125"/>
      <c r="AL165" s="125"/>
      <c r="AM165" s="125"/>
      <c r="AN165" s="125"/>
      <c r="AO165" s="125"/>
      <c r="AP165" s="125"/>
      <c r="AQ165" s="125"/>
      <c r="AR165" s="125"/>
      <c r="AS165" s="125"/>
      <c r="AT165" s="125"/>
      <c r="AU165" s="125"/>
      <c r="AV165" s="125"/>
      <c r="AW165" s="125"/>
      <c r="AX165" s="125"/>
      <c r="AY165" s="125"/>
      <c r="AZ165" s="125"/>
      <c r="BA165" s="125"/>
      <c r="BB165" s="125"/>
      <c r="BC165" s="125"/>
      <c r="BD165" s="125"/>
      <c r="BE165" s="125"/>
      <c r="BF165" s="125"/>
    </row>
    <row r="166" spans="1:58" ht="15.75" customHeight="1">
      <c r="A166" s="125"/>
      <c r="B166" s="125"/>
      <c r="C166" s="125"/>
      <c r="D166" s="125"/>
      <c r="E166" s="125"/>
      <c r="F166" s="125"/>
      <c r="G166" s="125"/>
      <c r="H166" s="125"/>
      <c r="I166" s="125"/>
      <c r="J166" s="125"/>
      <c r="K166" s="125"/>
      <c r="L166" s="125"/>
      <c r="M166" s="125"/>
      <c r="N166" s="125"/>
      <c r="O166" s="125"/>
      <c r="P166" s="125"/>
      <c r="Q166" s="125"/>
      <c r="R166" s="125"/>
      <c r="S166" s="125"/>
      <c r="T166" s="125"/>
      <c r="U166" s="125"/>
      <c r="V166" s="125"/>
      <c r="W166" s="125"/>
      <c r="X166" s="125"/>
      <c r="Y166" s="125"/>
      <c r="Z166" s="125"/>
      <c r="AA166" s="125"/>
      <c r="AB166" s="125"/>
      <c r="AC166" s="125"/>
      <c r="AD166" s="125"/>
      <c r="AE166" s="125"/>
      <c r="AF166" s="125"/>
      <c r="AG166" s="125"/>
      <c r="AH166" s="125"/>
      <c r="AI166" s="125"/>
      <c r="AJ166" s="125"/>
      <c r="AK166" s="125"/>
      <c r="AL166" s="125"/>
      <c r="AM166" s="125"/>
      <c r="AN166" s="125"/>
      <c r="AO166" s="125"/>
      <c r="AP166" s="125"/>
      <c r="AQ166" s="125"/>
      <c r="AR166" s="125"/>
      <c r="AS166" s="125"/>
      <c r="AT166" s="125"/>
      <c r="AU166" s="125"/>
      <c r="AV166" s="125"/>
      <c r="AW166" s="125"/>
      <c r="AX166" s="125"/>
      <c r="AY166" s="125"/>
      <c r="AZ166" s="125"/>
      <c r="BA166" s="125"/>
      <c r="BB166" s="125"/>
      <c r="BC166" s="125"/>
      <c r="BD166" s="125"/>
      <c r="BE166" s="125"/>
      <c r="BF166" s="125"/>
    </row>
    <row r="167" spans="1:58" ht="15.75" customHeight="1">
      <c r="A167" s="125"/>
      <c r="B167" s="125"/>
      <c r="C167" s="125"/>
      <c r="D167" s="125"/>
      <c r="E167" s="125"/>
      <c r="F167" s="125"/>
      <c r="G167" s="125"/>
      <c r="H167" s="125"/>
      <c r="I167" s="125"/>
      <c r="J167" s="125"/>
      <c r="K167" s="125"/>
      <c r="L167" s="125"/>
      <c r="M167" s="125"/>
      <c r="N167" s="125"/>
      <c r="O167" s="125"/>
      <c r="P167" s="125"/>
      <c r="Q167" s="125"/>
      <c r="R167" s="125"/>
      <c r="S167" s="125"/>
      <c r="T167" s="125"/>
      <c r="U167" s="125"/>
      <c r="V167" s="125"/>
      <c r="W167" s="125"/>
      <c r="X167" s="125"/>
      <c r="Y167" s="125"/>
      <c r="Z167" s="125"/>
      <c r="AA167" s="125"/>
      <c r="AB167" s="125"/>
      <c r="AC167" s="125"/>
      <c r="AD167" s="125"/>
      <c r="AE167" s="125"/>
      <c r="AF167" s="125"/>
      <c r="AG167" s="125"/>
      <c r="AH167" s="125"/>
      <c r="AI167" s="125"/>
      <c r="AJ167" s="125"/>
      <c r="AK167" s="125"/>
      <c r="AL167" s="125"/>
      <c r="AM167" s="125"/>
      <c r="AN167" s="125"/>
      <c r="AO167" s="125"/>
      <c r="AP167" s="125"/>
      <c r="AQ167" s="125"/>
      <c r="AR167" s="125"/>
      <c r="AS167" s="125"/>
      <c r="AT167" s="125"/>
      <c r="AU167" s="125"/>
      <c r="AV167" s="125"/>
      <c r="AW167" s="125"/>
      <c r="AX167" s="125"/>
      <c r="AY167" s="125"/>
      <c r="AZ167" s="125"/>
      <c r="BA167" s="125"/>
      <c r="BB167" s="125"/>
      <c r="BC167" s="125"/>
      <c r="BD167" s="125"/>
      <c r="BE167" s="125"/>
      <c r="BF167" s="125"/>
    </row>
    <row r="168" spans="1:58" ht="15.75" customHeight="1">
      <c r="A168" s="125"/>
      <c r="B168" s="125"/>
      <c r="C168" s="125"/>
      <c r="D168" s="125"/>
      <c r="E168" s="125"/>
      <c r="F168" s="125"/>
      <c r="G168" s="125"/>
      <c r="H168" s="125"/>
      <c r="I168" s="125"/>
      <c r="J168" s="125"/>
      <c r="K168" s="125"/>
      <c r="L168" s="125"/>
      <c r="M168" s="125"/>
      <c r="N168" s="125"/>
      <c r="O168" s="125"/>
      <c r="P168" s="125"/>
      <c r="Q168" s="125"/>
      <c r="R168" s="125"/>
      <c r="S168" s="125"/>
      <c r="T168" s="125"/>
      <c r="U168" s="125"/>
      <c r="V168" s="125"/>
      <c r="W168" s="125"/>
      <c r="X168" s="125"/>
      <c r="Y168" s="125"/>
      <c r="Z168" s="125"/>
      <c r="AA168" s="125"/>
      <c r="AB168" s="125"/>
      <c r="AC168" s="125"/>
      <c r="AD168" s="125"/>
      <c r="AE168" s="125"/>
      <c r="AF168" s="125"/>
      <c r="AG168" s="125"/>
      <c r="AH168" s="125"/>
      <c r="AI168" s="125"/>
      <c r="AJ168" s="125"/>
      <c r="AK168" s="125"/>
      <c r="AL168" s="125"/>
      <c r="AM168" s="125"/>
      <c r="AN168" s="125"/>
      <c r="AO168" s="125"/>
      <c r="AP168" s="125"/>
      <c r="AQ168" s="125"/>
      <c r="AR168" s="125"/>
      <c r="AS168" s="125"/>
      <c r="AT168" s="125"/>
      <c r="AU168" s="125"/>
      <c r="AV168" s="125"/>
      <c r="AW168" s="125"/>
      <c r="AX168" s="125"/>
      <c r="AY168" s="125"/>
      <c r="AZ168" s="125"/>
      <c r="BA168" s="125"/>
      <c r="BB168" s="125"/>
      <c r="BC168" s="125"/>
      <c r="BD168" s="125"/>
      <c r="BE168" s="125"/>
      <c r="BF168" s="125"/>
    </row>
    <row r="169" spans="1:58" ht="15.75" customHeight="1">
      <c r="A169" s="125"/>
      <c r="B169" s="125"/>
      <c r="C169" s="125"/>
      <c r="D169" s="125"/>
      <c r="E169" s="125"/>
      <c r="F169" s="125"/>
      <c r="G169" s="125"/>
      <c r="H169" s="125"/>
      <c r="I169" s="125"/>
      <c r="J169" s="125"/>
      <c r="K169" s="125"/>
      <c r="L169" s="125"/>
      <c r="M169" s="125"/>
      <c r="N169" s="125"/>
      <c r="O169" s="125"/>
      <c r="P169" s="125"/>
      <c r="Q169" s="125"/>
      <c r="R169" s="125"/>
      <c r="S169" s="125"/>
      <c r="T169" s="125"/>
      <c r="U169" s="125"/>
      <c r="V169" s="125"/>
      <c r="W169" s="125"/>
      <c r="X169" s="125"/>
      <c r="Y169" s="125"/>
      <c r="Z169" s="125"/>
      <c r="AA169" s="125"/>
      <c r="AB169" s="125"/>
      <c r="AC169" s="125"/>
      <c r="AD169" s="125"/>
      <c r="AE169" s="125"/>
      <c r="AF169" s="125"/>
      <c r="AG169" s="125"/>
      <c r="AH169" s="125"/>
      <c r="AI169" s="125"/>
      <c r="AJ169" s="125"/>
      <c r="AK169" s="125"/>
      <c r="AL169" s="125"/>
      <c r="AM169" s="125"/>
      <c r="AN169" s="125"/>
      <c r="AO169" s="125"/>
      <c r="AP169" s="125"/>
      <c r="AQ169" s="125"/>
      <c r="AR169" s="125"/>
      <c r="AS169" s="125"/>
      <c r="AT169" s="125"/>
      <c r="AU169" s="125"/>
      <c r="AV169" s="125"/>
      <c r="AW169" s="125"/>
      <c r="AX169" s="125"/>
      <c r="AY169" s="125"/>
      <c r="AZ169" s="125"/>
      <c r="BA169" s="125"/>
      <c r="BB169" s="125"/>
      <c r="BC169" s="125"/>
      <c r="BD169" s="125"/>
      <c r="BE169" s="125"/>
      <c r="BF169" s="125"/>
    </row>
    <row r="170" spans="1:58" ht="15.75" customHeight="1">
      <c r="A170" s="125"/>
      <c r="B170" s="125"/>
      <c r="C170" s="125"/>
      <c r="D170" s="125"/>
      <c r="E170" s="125"/>
      <c r="F170" s="125"/>
      <c r="G170" s="125"/>
      <c r="H170" s="125"/>
      <c r="I170" s="125"/>
      <c r="J170" s="125"/>
      <c r="K170" s="125"/>
      <c r="L170" s="125"/>
      <c r="M170" s="125"/>
      <c r="N170" s="125"/>
      <c r="O170" s="125"/>
      <c r="P170" s="125"/>
      <c r="Q170" s="125"/>
      <c r="R170" s="125"/>
      <c r="S170" s="125"/>
      <c r="T170" s="125"/>
      <c r="U170" s="125"/>
      <c r="V170" s="125"/>
      <c r="W170" s="125"/>
      <c r="X170" s="125"/>
      <c r="Y170" s="125"/>
      <c r="Z170" s="125"/>
      <c r="AA170" s="125"/>
      <c r="AB170" s="125"/>
      <c r="AC170" s="125"/>
      <c r="AD170" s="125"/>
      <c r="AE170" s="125"/>
      <c r="AF170" s="125"/>
      <c r="AG170" s="125"/>
      <c r="AH170" s="125"/>
      <c r="AI170" s="125"/>
      <c r="AJ170" s="125"/>
      <c r="AK170" s="125"/>
      <c r="AL170" s="125"/>
      <c r="AM170" s="125"/>
      <c r="AN170" s="125"/>
      <c r="AO170" s="125"/>
      <c r="AP170" s="125"/>
      <c r="AQ170" s="125"/>
      <c r="AR170" s="125"/>
      <c r="AS170" s="125"/>
      <c r="AT170" s="125"/>
      <c r="AU170" s="125"/>
      <c r="AV170" s="125"/>
      <c r="AW170" s="125"/>
      <c r="AX170" s="125"/>
      <c r="AY170" s="125"/>
      <c r="AZ170" s="125"/>
      <c r="BA170" s="125"/>
      <c r="BB170" s="125"/>
      <c r="BC170" s="125"/>
      <c r="BD170" s="125"/>
      <c r="BE170" s="125"/>
      <c r="BF170" s="125"/>
    </row>
    <row r="171" spans="1:58" ht="15.75" customHeight="1">
      <c r="A171" s="125"/>
      <c r="B171" s="125"/>
      <c r="C171" s="125"/>
      <c r="D171" s="125"/>
      <c r="E171" s="125"/>
      <c r="F171" s="125"/>
      <c r="G171" s="125"/>
      <c r="H171" s="125"/>
      <c r="I171" s="125"/>
      <c r="J171" s="125"/>
      <c r="K171" s="125"/>
      <c r="L171" s="125"/>
      <c r="M171" s="125"/>
      <c r="N171" s="125"/>
      <c r="O171" s="125"/>
      <c r="P171" s="125"/>
      <c r="Q171" s="125"/>
      <c r="R171" s="125"/>
      <c r="S171" s="125"/>
      <c r="T171" s="125"/>
      <c r="U171" s="125"/>
      <c r="V171" s="125"/>
      <c r="W171" s="125"/>
      <c r="X171" s="125"/>
      <c r="Y171" s="125"/>
      <c r="Z171" s="125"/>
      <c r="AA171" s="125"/>
      <c r="AB171" s="125"/>
      <c r="AC171" s="125"/>
      <c r="AD171" s="125"/>
      <c r="AE171" s="125"/>
      <c r="AF171" s="125"/>
      <c r="AG171" s="125"/>
      <c r="AH171" s="125"/>
      <c r="AI171" s="125"/>
      <c r="AJ171" s="125"/>
      <c r="AK171" s="125"/>
      <c r="AL171" s="125"/>
      <c r="AM171" s="125"/>
      <c r="AN171" s="125"/>
      <c r="AO171" s="125"/>
      <c r="AP171" s="125"/>
      <c r="AQ171" s="125"/>
      <c r="AR171" s="125"/>
      <c r="AS171" s="125"/>
      <c r="AT171" s="125"/>
      <c r="AU171" s="125"/>
      <c r="AV171" s="125"/>
      <c r="AW171" s="125"/>
      <c r="AX171" s="125"/>
      <c r="AY171" s="125"/>
      <c r="AZ171" s="125"/>
      <c r="BA171" s="125"/>
      <c r="BB171" s="125"/>
      <c r="BC171" s="125"/>
      <c r="BD171" s="125"/>
      <c r="BE171" s="125"/>
      <c r="BF171" s="125"/>
    </row>
    <row r="172" spans="1:58" ht="15.75" customHeight="1">
      <c r="A172" s="125"/>
      <c r="B172" s="125"/>
      <c r="C172" s="125"/>
      <c r="D172" s="125"/>
      <c r="E172" s="125"/>
      <c r="F172" s="125"/>
      <c r="G172" s="125"/>
      <c r="H172" s="125"/>
      <c r="I172" s="125"/>
      <c r="J172" s="125"/>
      <c r="K172" s="125"/>
      <c r="L172" s="125"/>
      <c r="M172" s="125"/>
      <c r="N172" s="125"/>
      <c r="O172" s="125"/>
      <c r="P172" s="125"/>
      <c r="Q172" s="125"/>
      <c r="R172" s="125"/>
      <c r="S172" s="125"/>
      <c r="T172" s="125"/>
      <c r="U172" s="125"/>
      <c r="V172" s="125"/>
      <c r="W172" s="125"/>
      <c r="X172" s="125"/>
      <c r="Y172" s="125"/>
      <c r="Z172" s="125"/>
      <c r="AA172" s="125"/>
      <c r="AB172" s="125"/>
      <c r="AC172" s="125"/>
      <c r="AD172" s="125"/>
      <c r="AE172" s="125"/>
      <c r="AF172" s="125"/>
      <c r="AG172" s="125"/>
      <c r="AH172" s="125"/>
      <c r="AI172" s="125"/>
      <c r="AJ172" s="125"/>
      <c r="AK172" s="125"/>
      <c r="AL172" s="125"/>
      <c r="AM172" s="125"/>
      <c r="AN172" s="125"/>
      <c r="AO172" s="125"/>
      <c r="AP172" s="125"/>
      <c r="AQ172" s="125"/>
      <c r="AR172" s="125"/>
      <c r="AS172" s="125"/>
      <c r="AT172" s="125"/>
      <c r="AU172" s="125"/>
      <c r="AV172" s="125"/>
      <c r="AW172" s="125"/>
      <c r="AX172" s="125"/>
      <c r="AY172" s="125"/>
      <c r="AZ172" s="125"/>
      <c r="BA172" s="125"/>
      <c r="BB172" s="125"/>
      <c r="BC172" s="125"/>
      <c r="BD172" s="125"/>
      <c r="BE172" s="125"/>
      <c r="BF172" s="125"/>
    </row>
    <row r="173" spans="1:58" ht="15.75" customHeight="1">
      <c r="A173" s="125"/>
      <c r="B173" s="125"/>
      <c r="C173" s="125"/>
      <c r="D173" s="125"/>
      <c r="E173" s="125"/>
      <c r="F173" s="125"/>
      <c r="G173" s="125"/>
      <c r="H173" s="125"/>
      <c r="I173" s="125"/>
      <c r="J173" s="125"/>
      <c r="K173" s="125"/>
      <c r="L173" s="125"/>
      <c r="M173" s="125"/>
      <c r="N173" s="125"/>
      <c r="O173" s="125"/>
      <c r="P173" s="125"/>
      <c r="Q173" s="125"/>
      <c r="R173" s="125"/>
      <c r="S173" s="125"/>
      <c r="T173" s="125"/>
      <c r="U173" s="125"/>
      <c r="V173" s="125"/>
      <c r="W173" s="125"/>
      <c r="X173" s="125"/>
      <c r="Y173" s="125"/>
      <c r="Z173" s="125"/>
      <c r="AA173" s="125"/>
      <c r="AB173" s="125"/>
      <c r="AC173" s="125"/>
      <c r="AD173" s="125"/>
      <c r="AE173" s="125"/>
      <c r="AF173" s="125"/>
      <c r="AG173" s="125"/>
      <c r="AH173" s="125"/>
      <c r="AI173" s="125"/>
      <c r="AJ173" s="125"/>
      <c r="AK173" s="125"/>
      <c r="AL173" s="125"/>
      <c r="AM173" s="125"/>
      <c r="AN173" s="125"/>
      <c r="AO173" s="125"/>
      <c r="AP173" s="125"/>
      <c r="AQ173" s="125"/>
      <c r="AR173" s="125"/>
      <c r="AS173" s="125"/>
      <c r="AT173" s="125"/>
      <c r="AU173" s="125"/>
      <c r="AV173" s="125"/>
      <c r="AW173" s="125"/>
      <c r="AX173" s="125"/>
      <c r="AY173" s="125"/>
      <c r="AZ173" s="125"/>
      <c r="BA173" s="125"/>
      <c r="BB173" s="125"/>
      <c r="BC173" s="125"/>
      <c r="BD173" s="125"/>
      <c r="BE173" s="125"/>
      <c r="BF173" s="125"/>
    </row>
    <row r="174" spans="1:58" ht="15.75" customHeight="1">
      <c r="A174" s="125"/>
      <c r="B174" s="125"/>
      <c r="C174" s="125"/>
      <c r="D174" s="125"/>
      <c r="E174" s="125"/>
      <c r="F174" s="125"/>
      <c r="G174" s="125"/>
      <c r="H174" s="125"/>
      <c r="I174" s="125"/>
      <c r="J174" s="125"/>
      <c r="K174" s="125"/>
      <c r="L174" s="125"/>
      <c r="M174" s="125"/>
      <c r="N174" s="125"/>
      <c r="O174" s="125"/>
      <c r="P174" s="125"/>
      <c r="Q174" s="125"/>
      <c r="R174" s="125"/>
      <c r="S174" s="125"/>
      <c r="T174" s="125"/>
      <c r="U174" s="125"/>
      <c r="V174" s="125"/>
      <c r="W174" s="125"/>
      <c r="X174" s="125"/>
      <c r="Y174" s="125"/>
      <c r="Z174" s="125"/>
      <c r="AA174" s="125"/>
      <c r="AB174" s="125"/>
      <c r="AC174" s="125"/>
      <c r="AD174" s="125"/>
      <c r="AE174" s="125"/>
      <c r="AF174" s="125"/>
      <c r="AG174" s="125"/>
      <c r="AH174" s="125"/>
      <c r="AI174" s="125"/>
      <c r="AJ174" s="125"/>
      <c r="AK174" s="125"/>
      <c r="AL174" s="125"/>
      <c r="AM174" s="125"/>
      <c r="AN174" s="125"/>
      <c r="AO174" s="125"/>
      <c r="AP174" s="125"/>
      <c r="AQ174" s="125"/>
      <c r="AR174" s="125"/>
      <c r="AS174" s="125"/>
      <c r="AT174" s="125"/>
      <c r="AU174" s="125"/>
      <c r="AV174" s="125"/>
      <c r="AW174" s="125"/>
      <c r="AX174" s="125"/>
      <c r="AY174" s="125"/>
      <c r="AZ174" s="125"/>
      <c r="BA174" s="125"/>
      <c r="BB174" s="125"/>
      <c r="BC174" s="125"/>
      <c r="BD174" s="125"/>
      <c r="BE174" s="125"/>
      <c r="BF174" s="125"/>
    </row>
    <row r="175" spans="1:58" ht="15.75" customHeight="1">
      <c r="A175" s="125"/>
      <c r="B175" s="125"/>
      <c r="C175" s="125"/>
      <c r="D175" s="125"/>
      <c r="E175" s="125"/>
      <c r="F175" s="125"/>
      <c r="G175" s="125"/>
      <c r="H175" s="125"/>
      <c r="I175" s="125"/>
      <c r="J175" s="125"/>
      <c r="K175" s="125"/>
      <c r="L175" s="125"/>
      <c r="M175" s="125"/>
      <c r="N175" s="125"/>
      <c r="O175" s="125"/>
      <c r="P175" s="125"/>
      <c r="Q175" s="125"/>
      <c r="R175" s="125"/>
      <c r="S175" s="125"/>
      <c r="T175" s="125"/>
      <c r="U175" s="125"/>
      <c r="V175" s="125"/>
      <c r="W175" s="125"/>
      <c r="X175" s="125"/>
      <c r="Y175" s="125"/>
      <c r="Z175" s="125"/>
      <c r="AA175" s="125"/>
      <c r="AB175" s="125"/>
      <c r="AC175" s="125"/>
      <c r="AD175" s="125"/>
      <c r="AE175" s="125"/>
      <c r="AF175" s="125"/>
      <c r="AG175" s="125"/>
      <c r="AH175" s="125"/>
      <c r="AI175" s="125"/>
      <c r="AJ175" s="125"/>
      <c r="AK175" s="125"/>
      <c r="AL175" s="125"/>
      <c r="AM175" s="125"/>
      <c r="AN175" s="125"/>
      <c r="AO175" s="125"/>
      <c r="AP175" s="125"/>
      <c r="AQ175" s="125"/>
      <c r="AR175" s="125"/>
      <c r="AS175" s="125"/>
      <c r="AT175" s="125"/>
      <c r="AU175" s="125"/>
      <c r="AV175" s="125"/>
      <c r="AW175" s="125"/>
      <c r="AX175" s="125"/>
      <c r="AY175" s="125"/>
      <c r="AZ175" s="125"/>
      <c r="BA175" s="125"/>
      <c r="BB175" s="125"/>
      <c r="BC175" s="125"/>
      <c r="BD175" s="125"/>
      <c r="BE175" s="125"/>
      <c r="BF175" s="125"/>
    </row>
    <row r="176" spans="1:58" ht="15.75" customHeight="1">
      <c r="A176" s="125"/>
      <c r="B176" s="125"/>
      <c r="C176" s="125"/>
      <c r="D176" s="125"/>
      <c r="E176" s="125"/>
      <c r="F176" s="125"/>
      <c r="G176" s="125"/>
      <c r="H176" s="125"/>
      <c r="I176" s="125"/>
      <c r="J176" s="125"/>
      <c r="K176" s="125"/>
      <c r="L176" s="125"/>
      <c r="M176" s="125"/>
      <c r="N176" s="125"/>
      <c r="O176" s="125"/>
      <c r="P176" s="125"/>
      <c r="Q176" s="125"/>
      <c r="R176" s="125"/>
      <c r="S176" s="125"/>
      <c r="T176" s="125"/>
      <c r="U176" s="125"/>
      <c r="V176" s="125"/>
      <c r="W176" s="125"/>
      <c r="X176" s="125"/>
      <c r="Y176" s="125"/>
      <c r="Z176" s="125"/>
      <c r="AA176" s="125"/>
      <c r="AB176" s="125"/>
      <c r="AC176" s="125"/>
      <c r="AD176" s="125"/>
      <c r="AE176" s="125"/>
      <c r="AF176" s="125"/>
      <c r="AG176" s="125"/>
      <c r="AH176" s="125"/>
      <c r="AI176" s="125"/>
      <c r="AJ176" s="125"/>
      <c r="AK176" s="125"/>
      <c r="AL176" s="125"/>
      <c r="AM176" s="125"/>
      <c r="AN176" s="125"/>
      <c r="AO176" s="125"/>
      <c r="AP176" s="125"/>
      <c r="AQ176" s="125"/>
      <c r="AR176" s="125"/>
      <c r="AS176" s="125"/>
      <c r="AT176" s="125"/>
      <c r="AU176" s="125"/>
      <c r="AV176" s="125"/>
      <c r="AW176" s="125"/>
      <c r="AX176" s="125"/>
      <c r="AY176" s="125"/>
      <c r="AZ176" s="125"/>
      <c r="BA176" s="125"/>
      <c r="BB176" s="125"/>
      <c r="BC176" s="125"/>
      <c r="BD176" s="125"/>
      <c r="BE176" s="125"/>
      <c r="BF176" s="125"/>
    </row>
    <row r="177" spans="1:58" ht="15.75" customHeight="1">
      <c r="A177" s="125"/>
      <c r="B177" s="125"/>
      <c r="C177" s="125"/>
      <c r="D177" s="125"/>
      <c r="E177" s="125"/>
      <c r="F177" s="125"/>
      <c r="G177" s="125"/>
      <c r="H177" s="125"/>
      <c r="I177" s="125"/>
      <c r="J177" s="125"/>
      <c r="K177" s="125"/>
      <c r="L177" s="125"/>
      <c r="M177" s="125"/>
      <c r="N177" s="125"/>
      <c r="O177" s="125"/>
      <c r="P177" s="125"/>
      <c r="Q177" s="125"/>
      <c r="R177" s="125"/>
      <c r="S177" s="125"/>
      <c r="T177" s="125"/>
      <c r="U177" s="125"/>
      <c r="V177" s="125"/>
      <c r="W177" s="125"/>
      <c r="X177" s="125"/>
      <c r="Y177" s="125"/>
      <c r="Z177" s="125"/>
      <c r="AA177" s="125"/>
      <c r="AB177" s="125"/>
      <c r="AC177" s="125"/>
      <c r="AD177" s="125"/>
      <c r="AE177" s="125"/>
      <c r="AF177" s="125"/>
      <c r="AG177" s="125"/>
      <c r="AH177" s="125"/>
      <c r="AI177" s="125"/>
      <c r="AJ177" s="125"/>
      <c r="AK177" s="125"/>
      <c r="AL177" s="125"/>
      <c r="AM177" s="125"/>
      <c r="AN177" s="125"/>
      <c r="AO177" s="125"/>
      <c r="AP177" s="125"/>
      <c r="AQ177" s="125"/>
      <c r="AR177" s="125"/>
      <c r="AS177" s="125"/>
      <c r="AT177" s="125"/>
      <c r="AU177" s="125"/>
      <c r="AV177" s="125"/>
      <c r="AW177" s="125"/>
      <c r="AX177" s="125"/>
      <c r="AY177" s="125"/>
      <c r="AZ177" s="125"/>
      <c r="BA177" s="125"/>
      <c r="BB177" s="125"/>
      <c r="BC177" s="125"/>
      <c r="BD177" s="125"/>
      <c r="BE177" s="125"/>
      <c r="BF177" s="125"/>
    </row>
    <row r="178" spans="1:58" ht="15.75" customHeight="1">
      <c r="A178" s="125"/>
      <c r="B178" s="125"/>
      <c r="C178" s="125"/>
      <c r="D178" s="125"/>
      <c r="E178" s="125"/>
      <c r="F178" s="125"/>
      <c r="G178" s="125"/>
      <c r="H178" s="125"/>
      <c r="I178" s="125"/>
      <c r="J178" s="125"/>
      <c r="K178" s="125"/>
      <c r="L178" s="125"/>
      <c r="M178" s="125"/>
      <c r="N178" s="125"/>
      <c r="O178" s="125"/>
      <c r="P178" s="125"/>
      <c r="Q178" s="125"/>
      <c r="R178" s="125"/>
      <c r="S178" s="125"/>
      <c r="T178" s="125"/>
      <c r="U178" s="125"/>
      <c r="V178" s="125"/>
      <c r="W178" s="125"/>
      <c r="X178" s="125"/>
      <c r="Y178" s="125"/>
      <c r="Z178" s="125"/>
      <c r="AA178" s="125"/>
      <c r="AB178" s="125"/>
      <c r="AC178" s="125"/>
      <c r="AD178" s="125"/>
      <c r="AE178" s="125"/>
      <c r="AF178" s="125"/>
      <c r="AG178" s="125"/>
      <c r="AH178" s="125"/>
      <c r="AI178" s="125"/>
      <c r="AJ178" s="125"/>
      <c r="AK178" s="125"/>
      <c r="AL178" s="125"/>
      <c r="AM178" s="125"/>
      <c r="AN178" s="125"/>
      <c r="AO178" s="125"/>
      <c r="AP178" s="125"/>
      <c r="AQ178" s="125"/>
      <c r="AR178" s="125"/>
      <c r="AS178" s="125"/>
      <c r="AT178" s="125"/>
      <c r="AU178" s="125"/>
      <c r="AV178" s="125"/>
      <c r="AW178" s="125"/>
      <c r="AX178" s="125"/>
      <c r="AY178" s="125"/>
      <c r="AZ178" s="125"/>
      <c r="BA178" s="125"/>
      <c r="BB178" s="125"/>
      <c r="BC178" s="125"/>
      <c r="BD178" s="125"/>
      <c r="BE178" s="125"/>
      <c r="BF178" s="125"/>
    </row>
    <row r="179" spans="1:58" ht="15.75" customHeight="1">
      <c r="A179" s="125"/>
      <c r="B179" s="125"/>
      <c r="C179" s="125"/>
      <c r="D179" s="125"/>
      <c r="E179" s="125"/>
      <c r="F179" s="125"/>
      <c r="G179" s="125"/>
      <c r="H179" s="125"/>
      <c r="I179" s="125"/>
      <c r="J179" s="125"/>
      <c r="K179" s="125"/>
      <c r="L179" s="125"/>
      <c r="M179" s="125"/>
      <c r="N179" s="125"/>
      <c r="O179" s="125"/>
      <c r="P179" s="125"/>
      <c r="Q179" s="125"/>
      <c r="R179" s="125"/>
      <c r="S179" s="125"/>
      <c r="T179" s="125"/>
      <c r="U179" s="125"/>
      <c r="V179" s="125"/>
      <c r="W179" s="125"/>
      <c r="X179" s="125"/>
      <c r="Y179" s="125"/>
      <c r="Z179" s="125"/>
      <c r="AA179" s="125"/>
      <c r="AB179" s="125"/>
      <c r="AC179" s="125"/>
      <c r="AD179" s="125"/>
      <c r="AE179" s="125"/>
      <c r="AF179" s="125"/>
      <c r="AG179" s="125"/>
      <c r="AH179" s="125"/>
      <c r="AI179" s="125"/>
      <c r="AJ179" s="125"/>
      <c r="AK179" s="125"/>
      <c r="AL179" s="125"/>
      <c r="AM179" s="125"/>
      <c r="AN179" s="125"/>
      <c r="AO179" s="125"/>
      <c r="AP179" s="125"/>
      <c r="AQ179" s="125"/>
      <c r="AR179" s="125"/>
      <c r="AS179" s="125"/>
      <c r="AT179" s="125"/>
      <c r="AU179" s="125"/>
      <c r="AV179" s="125"/>
      <c r="AW179" s="125"/>
      <c r="AX179" s="125"/>
      <c r="AY179" s="125"/>
      <c r="AZ179" s="125"/>
      <c r="BA179" s="125"/>
      <c r="BB179" s="125"/>
      <c r="BC179" s="125"/>
      <c r="BD179" s="125"/>
      <c r="BE179" s="125"/>
      <c r="BF179" s="125"/>
    </row>
    <row r="180" spans="1:58" ht="15.75" customHeight="1">
      <c r="A180" s="125"/>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row>
    <row r="181" spans="1:58" ht="15.75" customHeight="1">
      <c r="A181" s="125"/>
      <c r="B181" s="125"/>
      <c r="C181" s="125"/>
      <c r="D181" s="125"/>
      <c r="E181" s="125"/>
      <c r="F181" s="125"/>
      <c r="G181" s="125"/>
      <c r="H181" s="125"/>
      <c r="I181" s="125"/>
      <c r="J181" s="125"/>
      <c r="K181" s="125"/>
      <c r="L181" s="125"/>
      <c r="M181" s="125"/>
      <c r="N181" s="125"/>
      <c r="O181" s="125"/>
      <c r="P181" s="125"/>
      <c r="Q181" s="125"/>
      <c r="R181" s="125"/>
      <c r="S181" s="125"/>
      <c r="T181" s="125"/>
      <c r="U181" s="125"/>
      <c r="V181" s="125"/>
      <c r="W181" s="125"/>
      <c r="X181" s="125"/>
      <c r="Y181" s="125"/>
      <c r="Z181" s="125"/>
      <c r="AA181" s="125"/>
      <c r="AB181" s="125"/>
      <c r="AC181" s="125"/>
      <c r="AD181" s="125"/>
      <c r="AE181" s="125"/>
      <c r="AF181" s="125"/>
      <c r="AG181" s="125"/>
      <c r="AH181" s="125"/>
      <c r="AI181" s="125"/>
      <c r="AJ181" s="125"/>
      <c r="AK181" s="125"/>
      <c r="AL181" s="125"/>
      <c r="AM181" s="125"/>
      <c r="AN181" s="125"/>
      <c r="AO181" s="125"/>
      <c r="AP181" s="125"/>
      <c r="AQ181" s="125"/>
      <c r="AR181" s="125"/>
      <c r="AS181" s="125"/>
      <c r="AT181" s="125"/>
      <c r="AU181" s="125"/>
      <c r="AV181" s="125"/>
      <c r="AW181" s="125"/>
      <c r="AX181" s="125"/>
      <c r="AY181" s="125"/>
      <c r="AZ181" s="125"/>
      <c r="BA181" s="125"/>
      <c r="BB181" s="125"/>
      <c r="BC181" s="125"/>
      <c r="BD181" s="125"/>
      <c r="BE181" s="125"/>
      <c r="BF181" s="125"/>
    </row>
    <row r="182" spans="1:58" ht="15.75" customHeight="1">
      <c r="A182" s="125"/>
      <c r="B182" s="125"/>
      <c r="C182" s="125"/>
      <c r="D182" s="125"/>
      <c r="E182" s="125"/>
      <c r="F182" s="125"/>
      <c r="G182" s="125"/>
      <c r="H182" s="125"/>
      <c r="I182" s="125"/>
      <c r="J182" s="125"/>
      <c r="K182" s="125"/>
      <c r="L182" s="125"/>
      <c r="M182" s="125"/>
      <c r="N182" s="125"/>
      <c r="O182" s="125"/>
      <c r="P182" s="125"/>
      <c r="Q182" s="125"/>
      <c r="R182" s="125"/>
      <c r="S182" s="125"/>
      <c r="T182" s="125"/>
      <c r="U182" s="125"/>
      <c r="V182" s="125"/>
      <c r="W182" s="125"/>
      <c r="X182" s="125"/>
      <c r="Y182" s="125"/>
      <c r="Z182" s="125"/>
      <c r="AA182" s="125"/>
      <c r="AB182" s="125"/>
      <c r="AC182" s="125"/>
      <c r="AD182" s="125"/>
      <c r="AE182" s="125"/>
      <c r="AF182" s="125"/>
      <c r="AG182" s="125"/>
      <c r="AH182" s="125"/>
      <c r="AI182" s="125"/>
      <c r="AJ182" s="125"/>
      <c r="AK182" s="125"/>
      <c r="AL182" s="125"/>
      <c r="AM182" s="125"/>
      <c r="AN182" s="125"/>
      <c r="AO182" s="125"/>
      <c r="AP182" s="125"/>
      <c r="AQ182" s="125"/>
      <c r="AR182" s="125"/>
      <c r="AS182" s="125"/>
      <c r="AT182" s="125"/>
      <c r="AU182" s="125"/>
      <c r="AV182" s="125"/>
      <c r="AW182" s="125"/>
      <c r="AX182" s="125"/>
      <c r="AY182" s="125"/>
      <c r="AZ182" s="125"/>
      <c r="BA182" s="125"/>
      <c r="BB182" s="125"/>
      <c r="BC182" s="125"/>
      <c r="BD182" s="125"/>
      <c r="BE182" s="125"/>
      <c r="BF182" s="125"/>
    </row>
    <row r="183" spans="1:58" ht="15.75" customHeight="1">
      <c r="A183" s="125"/>
      <c r="B183" s="125"/>
      <c r="C183" s="125"/>
      <c r="D183" s="125"/>
      <c r="E183" s="125"/>
      <c r="F183" s="125"/>
      <c r="G183" s="125"/>
      <c r="H183" s="125"/>
      <c r="I183" s="125"/>
      <c r="J183" s="125"/>
      <c r="K183" s="125"/>
      <c r="L183" s="125"/>
      <c r="M183" s="125"/>
      <c r="N183" s="125"/>
      <c r="O183" s="125"/>
      <c r="P183" s="125"/>
      <c r="Q183" s="125"/>
      <c r="R183" s="125"/>
      <c r="S183" s="125"/>
      <c r="T183" s="125"/>
      <c r="U183" s="125"/>
      <c r="V183" s="125"/>
      <c r="W183" s="125"/>
      <c r="X183" s="125"/>
      <c r="Y183" s="125"/>
      <c r="Z183" s="125"/>
      <c r="AA183" s="125"/>
      <c r="AB183" s="125"/>
      <c r="AC183" s="125"/>
      <c r="AD183" s="125"/>
      <c r="AE183" s="125"/>
      <c r="AF183" s="125"/>
      <c r="AG183" s="125"/>
      <c r="AH183" s="125"/>
      <c r="AI183" s="125"/>
      <c r="AJ183" s="125"/>
      <c r="AK183" s="125"/>
      <c r="AL183" s="125"/>
      <c r="AM183" s="125"/>
      <c r="AN183" s="125"/>
      <c r="AO183" s="125"/>
      <c r="AP183" s="125"/>
      <c r="AQ183" s="125"/>
      <c r="AR183" s="125"/>
      <c r="AS183" s="125"/>
      <c r="AT183" s="125"/>
      <c r="AU183" s="125"/>
      <c r="AV183" s="125"/>
      <c r="AW183" s="125"/>
      <c r="AX183" s="125"/>
      <c r="AY183" s="125"/>
      <c r="AZ183" s="125"/>
      <c r="BA183" s="125"/>
      <c r="BB183" s="125"/>
      <c r="BC183" s="125"/>
      <c r="BD183" s="125"/>
      <c r="BE183" s="125"/>
      <c r="BF183" s="125"/>
    </row>
    <row r="184" spans="1:58" ht="15.75" customHeight="1">
      <c r="A184" s="125"/>
      <c r="B184" s="125"/>
      <c r="C184" s="125"/>
      <c r="D184" s="125"/>
      <c r="E184" s="125"/>
      <c r="F184" s="125"/>
      <c r="G184" s="125"/>
      <c r="H184" s="125"/>
      <c r="I184" s="125"/>
      <c r="J184" s="125"/>
      <c r="K184" s="125"/>
      <c r="L184" s="125"/>
      <c r="M184" s="125"/>
      <c r="N184" s="125"/>
      <c r="O184" s="125"/>
      <c r="P184" s="125"/>
      <c r="Q184" s="125"/>
      <c r="R184" s="125"/>
      <c r="S184" s="125"/>
      <c r="T184" s="125"/>
      <c r="U184" s="125"/>
      <c r="V184" s="125"/>
      <c r="W184" s="125"/>
      <c r="X184" s="125"/>
      <c r="Y184" s="125"/>
      <c r="Z184" s="125"/>
      <c r="AA184" s="125"/>
      <c r="AB184" s="125"/>
      <c r="AC184" s="125"/>
      <c r="AD184" s="125"/>
      <c r="AE184" s="125"/>
      <c r="AF184" s="125"/>
      <c r="AG184" s="125"/>
      <c r="AH184" s="125"/>
      <c r="AI184" s="125"/>
      <c r="AJ184" s="125"/>
      <c r="AK184" s="125"/>
      <c r="AL184" s="125"/>
      <c r="AM184" s="125"/>
      <c r="AN184" s="125"/>
      <c r="AO184" s="125"/>
      <c r="AP184" s="125"/>
      <c r="AQ184" s="125"/>
      <c r="AR184" s="125"/>
      <c r="AS184" s="125"/>
      <c r="AT184" s="125"/>
      <c r="AU184" s="125"/>
      <c r="AV184" s="125"/>
      <c r="AW184" s="125"/>
      <c r="AX184" s="125"/>
      <c r="AY184" s="125"/>
      <c r="AZ184" s="125"/>
      <c r="BA184" s="125"/>
      <c r="BB184" s="125"/>
      <c r="BC184" s="125"/>
      <c r="BD184" s="125"/>
      <c r="BE184" s="125"/>
      <c r="BF184" s="125"/>
    </row>
    <row r="185" spans="1:58" ht="15.75" customHeight="1">
      <c r="A185" s="125"/>
      <c r="B185" s="125"/>
      <c r="C185" s="125"/>
      <c r="D185" s="125"/>
      <c r="E185" s="125"/>
      <c r="F185" s="125"/>
      <c r="G185" s="125"/>
      <c r="H185" s="125"/>
      <c r="I185" s="125"/>
      <c r="J185" s="125"/>
      <c r="K185" s="125"/>
      <c r="L185" s="125"/>
      <c r="M185" s="125"/>
      <c r="N185" s="125"/>
      <c r="O185" s="125"/>
      <c r="P185" s="125"/>
      <c r="Q185" s="125"/>
      <c r="R185" s="125"/>
      <c r="S185" s="125"/>
      <c r="T185" s="125"/>
      <c r="U185" s="125"/>
      <c r="V185" s="125"/>
      <c r="W185" s="125"/>
      <c r="X185" s="125"/>
      <c r="Y185" s="125"/>
      <c r="Z185" s="125"/>
      <c r="AA185" s="125"/>
      <c r="AB185" s="125"/>
      <c r="AC185" s="125"/>
      <c r="AD185" s="125"/>
      <c r="AE185" s="125"/>
      <c r="AF185" s="125"/>
      <c r="AG185" s="125"/>
      <c r="AH185" s="125"/>
      <c r="AI185" s="125"/>
      <c r="AJ185" s="125"/>
      <c r="AK185" s="125"/>
      <c r="AL185" s="125"/>
      <c r="AM185" s="125"/>
      <c r="AN185" s="125"/>
      <c r="AO185" s="125"/>
      <c r="AP185" s="125"/>
      <c r="AQ185" s="125"/>
      <c r="AR185" s="125"/>
      <c r="AS185" s="125"/>
      <c r="AT185" s="125"/>
      <c r="AU185" s="125"/>
      <c r="AV185" s="125"/>
      <c r="AW185" s="125"/>
      <c r="AX185" s="125"/>
      <c r="AY185" s="125"/>
      <c r="AZ185" s="125"/>
      <c r="BA185" s="125"/>
      <c r="BB185" s="125"/>
      <c r="BC185" s="125"/>
      <c r="BD185" s="125"/>
      <c r="BE185" s="125"/>
      <c r="BF185" s="125"/>
    </row>
    <row r="186" spans="1:58" ht="15.75" customHeight="1">
      <c r="A186" s="125"/>
      <c r="B186" s="125"/>
      <c r="C186" s="125"/>
      <c r="D186" s="125"/>
      <c r="E186" s="125"/>
      <c r="F186" s="125"/>
      <c r="G186" s="125"/>
      <c r="H186" s="125"/>
      <c r="I186" s="125"/>
      <c r="J186" s="125"/>
      <c r="K186" s="125"/>
      <c r="L186" s="125"/>
      <c r="M186" s="125"/>
      <c r="N186" s="125"/>
      <c r="O186" s="125"/>
      <c r="P186" s="125"/>
      <c r="Q186" s="125"/>
      <c r="R186" s="125"/>
      <c r="S186" s="125"/>
      <c r="T186" s="125"/>
      <c r="U186" s="125"/>
      <c r="V186" s="125"/>
      <c r="W186" s="125"/>
      <c r="X186" s="125"/>
      <c r="Y186" s="125"/>
      <c r="Z186" s="125"/>
      <c r="AA186" s="125"/>
      <c r="AB186" s="125"/>
      <c r="AC186" s="125"/>
      <c r="AD186" s="125"/>
      <c r="AE186" s="125"/>
      <c r="AF186" s="125"/>
      <c r="AG186" s="125"/>
      <c r="AH186" s="125"/>
      <c r="AI186" s="125"/>
      <c r="AJ186" s="125"/>
      <c r="AK186" s="125"/>
      <c r="AL186" s="125"/>
      <c r="AM186" s="125"/>
      <c r="AN186" s="125"/>
      <c r="AO186" s="125"/>
      <c r="AP186" s="125"/>
      <c r="AQ186" s="125"/>
      <c r="AR186" s="125"/>
      <c r="AS186" s="125"/>
      <c r="AT186" s="125"/>
      <c r="AU186" s="125"/>
      <c r="AV186" s="125"/>
      <c r="AW186" s="125"/>
      <c r="AX186" s="125"/>
      <c r="AY186" s="125"/>
      <c r="AZ186" s="125"/>
      <c r="BA186" s="125"/>
      <c r="BB186" s="125"/>
      <c r="BC186" s="125"/>
      <c r="BD186" s="125"/>
      <c r="BE186" s="125"/>
      <c r="BF186" s="125"/>
    </row>
    <row r="187" spans="1:58" ht="15.75" customHeight="1">
      <c r="A187" s="125"/>
      <c r="B187" s="125"/>
      <c r="C187" s="125"/>
      <c r="D187" s="125"/>
      <c r="E187" s="125"/>
      <c r="F187" s="125"/>
      <c r="G187" s="125"/>
      <c r="H187" s="125"/>
      <c r="I187" s="125"/>
      <c r="J187" s="125"/>
      <c r="K187" s="125"/>
      <c r="L187" s="125"/>
      <c r="M187" s="125"/>
      <c r="N187" s="125"/>
      <c r="O187" s="125"/>
      <c r="P187" s="125"/>
      <c r="Q187" s="125"/>
      <c r="R187" s="125"/>
      <c r="S187" s="125"/>
      <c r="T187" s="125"/>
      <c r="U187" s="125"/>
      <c r="V187" s="125"/>
      <c r="W187" s="125"/>
      <c r="X187" s="125"/>
      <c r="Y187" s="125"/>
      <c r="Z187" s="125"/>
      <c r="AA187" s="125"/>
      <c r="AB187" s="125"/>
      <c r="AC187" s="125"/>
      <c r="AD187" s="125"/>
      <c r="AE187" s="125"/>
      <c r="AF187" s="125"/>
      <c r="AG187" s="125"/>
      <c r="AH187" s="125"/>
      <c r="AI187" s="125"/>
      <c r="AJ187" s="125"/>
      <c r="AK187" s="125"/>
      <c r="AL187" s="125"/>
      <c r="AM187" s="125"/>
      <c r="AN187" s="125"/>
      <c r="AO187" s="125"/>
      <c r="AP187" s="125"/>
      <c r="AQ187" s="125"/>
      <c r="AR187" s="125"/>
      <c r="AS187" s="125"/>
      <c r="AT187" s="125"/>
      <c r="AU187" s="125"/>
      <c r="AV187" s="125"/>
      <c r="AW187" s="125"/>
      <c r="AX187" s="125"/>
      <c r="AY187" s="125"/>
      <c r="AZ187" s="125"/>
      <c r="BA187" s="125"/>
      <c r="BB187" s="125"/>
      <c r="BC187" s="125"/>
      <c r="BD187" s="125"/>
      <c r="BE187" s="125"/>
      <c r="BF187" s="125"/>
    </row>
    <row r="188" spans="1:58" ht="15.75" customHeight="1">
      <c r="A188" s="125"/>
      <c r="B188" s="125"/>
      <c r="C188" s="125"/>
      <c r="D188" s="125"/>
      <c r="E188" s="125"/>
      <c r="F188" s="125"/>
      <c r="G188" s="125"/>
      <c r="H188" s="125"/>
      <c r="I188" s="125"/>
      <c r="J188" s="125"/>
      <c r="K188" s="125"/>
      <c r="L188" s="125"/>
      <c r="M188" s="125"/>
      <c r="N188" s="125"/>
      <c r="O188" s="125"/>
      <c r="P188" s="125"/>
      <c r="Q188" s="125"/>
      <c r="R188" s="125"/>
      <c r="S188" s="125"/>
      <c r="T188" s="125"/>
      <c r="U188" s="125"/>
      <c r="V188" s="125"/>
      <c r="W188" s="125"/>
      <c r="X188" s="125"/>
      <c r="Y188" s="125"/>
      <c r="Z188" s="125"/>
      <c r="AA188" s="125"/>
      <c r="AB188" s="125"/>
      <c r="AC188" s="125"/>
      <c r="AD188" s="125"/>
      <c r="AE188" s="125"/>
      <c r="AF188" s="125"/>
      <c r="AG188" s="125"/>
      <c r="AH188" s="125"/>
      <c r="AI188" s="125"/>
      <c r="AJ188" s="125"/>
      <c r="AK188" s="125"/>
      <c r="AL188" s="125"/>
      <c r="AM188" s="125"/>
      <c r="AN188" s="125"/>
      <c r="AO188" s="125"/>
      <c r="AP188" s="125"/>
      <c r="AQ188" s="125"/>
      <c r="AR188" s="125"/>
      <c r="AS188" s="125"/>
      <c r="AT188" s="125"/>
      <c r="AU188" s="125"/>
      <c r="AV188" s="125"/>
      <c r="AW188" s="125"/>
      <c r="AX188" s="125"/>
      <c r="AY188" s="125"/>
      <c r="AZ188" s="125"/>
      <c r="BA188" s="125"/>
      <c r="BB188" s="125"/>
      <c r="BC188" s="125"/>
      <c r="BD188" s="125"/>
      <c r="BE188" s="125"/>
      <c r="BF188" s="125"/>
    </row>
    <row r="189" spans="1:58" ht="15.75" customHeight="1">
      <c r="A189" s="125"/>
      <c r="B189" s="125"/>
      <c r="C189" s="125"/>
      <c r="D189" s="125"/>
      <c r="E189" s="125"/>
      <c r="F189" s="125"/>
      <c r="G189" s="125"/>
      <c r="H189" s="125"/>
      <c r="I189" s="125"/>
      <c r="J189" s="125"/>
      <c r="K189" s="125"/>
      <c r="L189" s="125"/>
      <c r="M189" s="125"/>
      <c r="N189" s="125"/>
      <c r="O189" s="125"/>
      <c r="P189" s="125"/>
      <c r="Q189" s="125"/>
      <c r="R189" s="125"/>
      <c r="S189" s="125"/>
      <c r="T189" s="125"/>
      <c r="U189" s="125"/>
      <c r="V189" s="125"/>
      <c r="W189" s="125"/>
      <c r="X189" s="125"/>
      <c r="Y189" s="125"/>
      <c r="Z189" s="125"/>
      <c r="AA189" s="125"/>
      <c r="AB189" s="125"/>
      <c r="AC189" s="125"/>
      <c r="AD189" s="125"/>
      <c r="AE189" s="125"/>
      <c r="AF189" s="125"/>
      <c r="AG189" s="125"/>
      <c r="AH189" s="125"/>
      <c r="AI189" s="125"/>
      <c r="AJ189" s="125"/>
      <c r="AK189" s="125"/>
      <c r="AL189" s="125"/>
      <c r="AM189" s="125"/>
      <c r="AN189" s="125"/>
      <c r="AO189" s="125"/>
      <c r="AP189" s="125"/>
      <c r="AQ189" s="125"/>
      <c r="AR189" s="125"/>
      <c r="AS189" s="125"/>
      <c r="AT189" s="125"/>
      <c r="AU189" s="125"/>
      <c r="AV189" s="125"/>
      <c r="AW189" s="125"/>
      <c r="AX189" s="125"/>
      <c r="AY189" s="125"/>
      <c r="AZ189" s="125"/>
      <c r="BA189" s="125"/>
      <c r="BB189" s="125"/>
      <c r="BC189" s="125"/>
      <c r="BD189" s="125"/>
      <c r="BE189" s="125"/>
      <c r="BF189" s="125"/>
    </row>
    <row r="190" spans="1:58" ht="15.75" customHeight="1">
      <c r="A190" s="125"/>
      <c r="B190" s="125"/>
      <c r="C190" s="125"/>
      <c r="D190" s="125"/>
      <c r="E190" s="125"/>
      <c r="F190" s="125"/>
      <c r="G190" s="125"/>
      <c r="H190" s="125"/>
      <c r="I190" s="125"/>
      <c r="J190" s="125"/>
      <c r="K190" s="125"/>
      <c r="L190" s="125"/>
      <c r="M190" s="125"/>
      <c r="N190" s="125"/>
      <c r="O190" s="125"/>
      <c r="P190" s="125"/>
      <c r="Q190" s="125"/>
      <c r="R190" s="125"/>
      <c r="S190" s="125"/>
      <c r="T190" s="125"/>
      <c r="U190" s="125"/>
      <c r="V190" s="125"/>
      <c r="W190" s="125"/>
      <c r="X190" s="125"/>
      <c r="Y190" s="125"/>
      <c r="Z190" s="125"/>
      <c r="AA190" s="125"/>
      <c r="AB190" s="125"/>
      <c r="AC190" s="125"/>
      <c r="AD190" s="125"/>
      <c r="AE190" s="125"/>
      <c r="AF190" s="125"/>
      <c r="AG190" s="125"/>
      <c r="AH190" s="125"/>
      <c r="AI190" s="125"/>
      <c r="AJ190" s="125"/>
      <c r="AK190" s="125"/>
      <c r="AL190" s="125"/>
      <c r="AM190" s="125"/>
      <c r="AN190" s="125"/>
      <c r="AO190" s="125"/>
      <c r="AP190" s="125"/>
      <c r="AQ190" s="125"/>
      <c r="AR190" s="125"/>
      <c r="AS190" s="125"/>
      <c r="AT190" s="125"/>
      <c r="AU190" s="125"/>
      <c r="AV190" s="125"/>
      <c r="AW190" s="125"/>
      <c r="AX190" s="125"/>
      <c r="AY190" s="125"/>
      <c r="AZ190" s="125"/>
      <c r="BA190" s="125"/>
      <c r="BB190" s="125"/>
      <c r="BC190" s="125"/>
      <c r="BD190" s="125"/>
      <c r="BE190" s="125"/>
      <c r="BF190" s="125"/>
    </row>
    <row r="191" spans="1:58" ht="15.75" customHeight="1">
      <c r="A191" s="125"/>
      <c r="B191" s="125"/>
      <c r="C191" s="125"/>
      <c r="D191" s="125"/>
      <c r="E191" s="125"/>
      <c r="F191" s="125"/>
      <c r="G191" s="125"/>
      <c r="H191" s="125"/>
      <c r="I191" s="125"/>
      <c r="J191" s="125"/>
      <c r="K191" s="125"/>
      <c r="L191" s="125"/>
      <c r="M191" s="125"/>
      <c r="N191" s="125"/>
      <c r="O191" s="125"/>
      <c r="P191" s="125"/>
      <c r="Q191" s="125"/>
      <c r="R191" s="125"/>
      <c r="S191" s="125"/>
      <c r="T191" s="125"/>
      <c r="U191" s="125"/>
      <c r="V191" s="125"/>
      <c r="W191" s="125"/>
      <c r="X191" s="125"/>
      <c r="Y191" s="125"/>
      <c r="Z191" s="125"/>
      <c r="AA191" s="125"/>
      <c r="AB191" s="125"/>
      <c r="AC191" s="125"/>
      <c r="AD191" s="125"/>
      <c r="AE191" s="125"/>
      <c r="AF191" s="125"/>
      <c r="AG191" s="125"/>
      <c r="AH191" s="125"/>
      <c r="AI191" s="125"/>
      <c r="AJ191" s="125"/>
      <c r="AK191" s="125"/>
      <c r="AL191" s="125"/>
      <c r="AM191" s="125"/>
      <c r="AN191" s="125"/>
      <c r="AO191" s="125"/>
      <c r="AP191" s="125"/>
      <c r="AQ191" s="125"/>
      <c r="AR191" s="125"/>
      <c r="AS191" s="125"/>
      <c r="AT191" s="125"/>
      <c r="AU191" s="125"/>
      <c r="AV191" s="125"/>
      <c r="AW191" s="125"/>
      <c r="AX191" s="125"/>
      <c r="AY191" s="125"/>
      <c r="AZ191" s="125"/>
      <c r="BA191" s="125"/>
      <c r="BB191" s="125"/>
      <c r="BC191" s="125"/>
      <c r="BD191" s="125"/>
      <c r="BE191" s="125"/>
      <c r="BF191" s="125"/>
    </row>
    <row r="192" spans="1:58" ht="15.75" customHeight="1">
      <c r="A192" s="125"/>
      <c r="B192" s="125"/>
      <c r="C192" s="125"/>
      <c r="D192" s="125"/>
      <c r="E192" s="125"/>
      <c r="F192" s="125"/>
      <c r="G192" s="125"/>
      <c r="H192" s="125"/>
      <c r="I192" s="125"/>
      <c r="J192" s="125"/>
      <c r="K192" s="125"/>
      <c r="L192" s="125"/>
      <c r="M192" s="125"/>
      <c r="N192" s="125"/>
      <c r="O192" s="125"/>
      <c r="P192" s="125"/>
      <c r="Q192" s="125"/>
      <c r="R192" s="125"/>
      <c r="S192" s="125"/>
      <c r="T192" s="125"/>
      <c r="U192" s="125"/>
      <c r="V192" s="125"/>
      <c r="W192" s="125"/>
      <c r="X192" s="125"/>
      <c r="Y192" s="125"/>
      <c r="Z192" s="125"/>
      <c r="AA192" s="125"/>
      <c r="AB192" s="125"/>
      <c r="AC192" s="125"/>
      <c r="AD192" s="125"/>
      <c r="AE192" s="125"/>
      <c r="AF192" s="125"/>
      <c r="AG192" s="125"/>
      <c r="AH192" s="125"/>
      <c r="AI192" s="125"/>
      <c r="AJ192" s="125"/>
      <c r="AK192" s="125"/>
      <c r="AL192" s="125"/>
      <c r="AM192" s="125"/>
      <c r="AN192" s="125"/>
      <c r="AO192" s="125"/>
      <c r="AP192" s="125"/>
      <c r="AQ192" s="125"/>
      <c r="AR192" s="125"/>
      <c r="AS192" s="125"/>
      <c r="AT192" s="125"/>
      <c r="AU192" s="125"/>
      <c r="AV192" s="125"/>
      <c r="AW192" s="125"/>
      <c r="AX192" s="125"/>
      <c r="AY192" s="125"/>
      <c r="AZ192" s="125"/>
      <c r="BA192" s="125"/>
      <c r="BB192" s="125"/>
      <c r="BC192" s="125"/>
      <c r="BD192" s="125"/>
      <c r="BE192" s="125"/>
      <c r="BF192" s="125"/>
    </row>
    <row r="193" spans="1:58" ht="15.75" customHeight="1">
      <c r="A193" s="125"/>
      <c r="B193" s="125"/>
      <c r="C193" s="125"/>
      <c r="D193" s="125"/>
      <c r="E193" s="125"/>
      <c r="F193" s="125"/>
      <c r="G193" s="125"/>
      <c r="H193" s="125"/>
      <c r="I193" s="125"/>
      <c r="J193" s="125"/>
      <c r="K193" s="125"/>
      <c r="L193" s="125"/>
      <c r="M193" s="125"/>
      <c r="N193" s="125"/>
      <c r="O193" s="125"/>
      <c r="P193" s="125"/>
      <c r="Q193" s="125"/>
      <c r="R193" s="125"/>
      <c r="S193" s="125"/>
      <c r="T193" s="125"/>
      <c r="U193" s="125"/>
      <c r="V193" s="125"/>
      <c r="W193" s="125"/>
      <c r="X193" s="125"/>
      <c r="Y193" s="125"/>
      <c r="Z193" s="125"/>
      <c r="AA193" s="125"/>
      <c r="AB193" s="125"/>
      <c r="AC193" s="125"/>
      <c r="AD193" s="125"/>
      <c r="AE193" s="125"/>
      <c r="AF193" s="125"/>
      <c r="AG193" s="125"/>
      <c r="AH193" s="125"/>
      <c r="AI193" s="125"/>
      <c r="AJ193" s="125"/>
      <c r="AK193" s="125"/>
      <c r="AL193" s="125"/>
      <c r="AM193" s="125"/>
      <c r="AN193" s="125"/>
      <c r="AO193" s="125"/>
      <c r="AP193" s="125"/>
      <c r="AQ193" s="125"/>
      <c r="AR193" s="125"/>
      <c r="AS193" s="125"/>
      <c r="AT193" s="125"/>
      <c r="AU193" s="125"/>
      <c r="AV193" s="125"/>
      <c r="AW193" s="125"/>
      <c r="AX193" s="125"/>
      <c r="AY193" s="125"/>
      <c r="AZ193" s="125"/>
      <c r="BA193" s="125"/>
      <c r="BB193" s="125"/>
      <c r="BC193" s="125"/>
      <c r="BD193" s="125"/>
      <c r="BE193" s="125"/>
      <c r="BF193" s="125"/>
    </row>
    <row r="194" spans="1:58" ht="15.75" customHeight="1">
      <c r="A194" s="125"/>
      <c r="B194" s="125"/>
      <c r="C194" s="125"/>
      <c r="D194" s="125"/>
      <c r="E194" s="125"/>
      <c r="F194" s="125"/>
      <c r="G194" s="125"/>
      <c r="H194" s="125"/>
      <c r="I194" s="125"/>
      <c r="J194" s="125"/>
      <c r="K194" s="125"/>
      <c r="L194" s="125"/>
      <c r="M194" s="125"/>
      <c r="N194" s="125"/>
      <c r="O194" s="125"/>
      <c r="P194" s="125"/>
      <c r="Q194" s="125"/>
      <c r="R194" s="125"/>
      <c r="S194" s="125"/>
      <c r="T194" s="125"/>
      <c r="U194" s="125"/>
      <c r="V194" s="125"/>
      <c r="W194" s="125"/>
      <c r="X194" s="125"/>
      <c r="Y194" s="125"/>
      <c r="Z194" s="125"/>
      <c r="AA194" s="125"/>
      <c r="AB194" s="125"/>
      <c r="AC194" s="125"/>
      <c r="AD194" s="125"/>
      <c r="AE194" s="125"/>
      <c r="AF194" s="125"/>
      <c r="AG194" s="125"/>
      <c r="AH194" s="125"/>
      <c r="AI194" s="125"/>
      <c r="AJ194" s="125"/>
      <c r="AK194" s="125"/>
      <c r="AL194" s="125"/>
      <c r="AM194" s="125"/>
      <c r="AN194" s="125"/>
      <c r="AO194" s="125"/>
      <c r="AP194" s="125"/>
      <c r="AQ194" s="125"/>
      <c r="AR194" s="125"/>
      <c r="AS194" s="125"/>
      <c r="AT194" s="125"/>
      <c r="AU194" s="125"/>
      <c r="AV194" s="125"/>
      <c r="AW194" s="125"/>
      <c r="AX194" s="125"/>
      <c r="AY194" s="125"/>
      <c r="AZ194" s="125"/>
      <c r="BA194" s="125"/>
      <c r="BB194" s="125"/>
      <c r="BC194" s="125"/>
      <c r="BD194" s="125"/>
      <c r="BE194" s="125"/>
      <c r="BF194" s="125"/>
    </row>
    <row r="195" spans="1:58" ht="15.75" customHeight="1">
      <c r="A195" s="125"/>
      <c r="B195" s="125"/>
      <c r="C195" s="125"/>
      <c r="D195" s="125"/>
      <c r="E195" s="125"/>
      <c r="F195" s="125"/>
      <c r="G195" s="125"/>
      <c r="H195" s="125"/>
      <c r="I195" s="125"/>
      <c r="J195" s="125"/>
      <c r="K195" s="125"/>
      <c r="L195" s="125"/>
      <c r="M195" s="125"/>
      <c r="N195" s="125"/>
      <c r="O195" s="125"/>
      <c r="P195" s="125"/>
      <c r="Q195" s="125"/>
      <c r="R195" s="125"/>
      <c r="S195" s="125"/>
      <c r="T195" s="125"/>
      <c r="U195" s="125"/>
      <c r="V195" s="125"/>
      <c r="W195" s="125"/>
      <c r="X195" s="125"/>
      <c r="Y195" s="125"/>
      <c r="Z195" s="125"/>
      <c r="AA195" s="125"/>
      <c r="AB195" s="125"/>
      <c r="AC195" s="125"/>
      <c r="AD195" s="125"/>
      <c r="AE195" s="125"/>
      <c r="AF195" s="125"/>
      <c r="AG195" s="125"/>
      <c r="AH195" s="125"/>
      <c r="AI195" s="125"/>
      <c r="AJ195" s="125"/>
      <c r="AK195" s="125"/>
      <c r="AL195" s="125"/>
      <c r="AM195" s="125"/>
      <c r="AN195" s="125"/>
      <c r="AO195" s="125"/>
      <c r="AP195" s="125"/>
      <c r="AQ195" s="125"/>
      <c r="AR195" s="125"/>
      <c r="AS195" s="125"/>
      <c r="AT195" s="125"/>
      <c r="AU195" s="125"/>
      <c r="AV195" s="125"/>
      <c r="AW195" s="125"/>
      <c r="AX195" s="125"/>
      <c r="AY195" s="125"/>
      <c r="AZ195" s="125"/>
      <c r="BA195" s="125"/>
      <c r="BB195" s="125"/>
      <c r="BC195" s="125"/>
      <c r="BD195" s="125"/>
      <c r="BE195" s="125"/>
      <c r="BF195" s="125"/>
    </row>
    <row r="196" spans="1:58" ht="15.75" customHeight="1">
      <c r="A196" s="125"/>
      <c r="B196" s="125"/>
      <c r="C196" s="125"/>
      <c r="D196" s="125"/>
      <c r="E196" s="125"/>
      <c r="F196" s="125"/>
      <c r="G196" s="125"/>
      <c r="H196" s="125"/>
      <c r="I196" s="125"/>
      <c r="J196" s="125"/>
      <c r="K196" s="125"/>
      <c r="L196" s="125"/>
      <c r="M196" s="125"/>
      <c r="N196" s="125"/>
      <c r="O196" s="125"/>
      <c r="P196" s="125"/>
      <c r="Q196" s="125"/>
      <c r="R196" s="125"/>
      <c r="S196" s="125"/>
      <c r="T196" s="125"/>
      <c r="U196" s="125"/>
      <c r="V196" s="125"/>
      <c r="W196" s="125"/>
      <c r="X196" s="125"/>
      <c r="Y196" s="125"/>
      <c r="Z196" s="125"/>
      <c r="AA196" s="125"/>
      <c r="AB196" s="125"/>
      <c r="AC196" s="125"/>
      <c r="AD196" s="125"/>
      <c r="AE196" s="125"/>
      <c r="AF196" s="125"/>
      <c r="AG196" s="125"/>
      <c r="AH196" s="125"/>
      <c r="AI196" s="125"/>
      <c r="AJ196" s="125"/>
      <c r="AK196" s="125"/>
      <c r="AL196" s="125"/>
      <c r="AM196" s="125"/>
      <c r="AN196" s="125"/>
      <c r="AO196" s="125"/>
      <c r="AP196" s="125"/>
      <c r="AQ196" s="125"/>
      <c r="AR196" s="125"/>
      <c r="AS196" s="125"/>
      <c r="AT196" s="125"/>
      <c r="AU196" s="125"/>
      <c r="AV196" s="125"/>
      <c r="AW196" s="125"/>
      <c r="AX196" s="125"/>
      <c r="AY196" s="125"/>
      <c r="AZ196" s="125"/>
      <c r="BA196" s="125"/>
      <c r="BB196" s="125"/>
      <c r="BC196" s="125"/>
      <c r="BD196" s="125"/>
      <c r="BE196" s="125"/>
      <c r="BF196" s="125"/>
    </row>
    <row r="197" spans="1:58" ht="15.75" customHeight="1">
      <c r="A197" s="125"/>
      <c r="B197" s="125"/>
      <c r="C197" s="125"/>
      <c r="D197" s="125"/>
      <c r="E197" s="125"/>
      <c r="F197" s="125"/>
      <c r="G197" s="125"/>
      <c r="H197" s="125"/>
      <c r="I197" s="125"/>
      <c r="J197" s="125"/>
      <c r="K197" s="125"/>
      <c r="L197" s="125"/>
      <c r="M197" s="125"/>
      <c r="N197" s="125"/>
      <c r="O197" s="125"/>
      <c r="P197" s="125"/>
      <c r="Q197" s="125"/>
      <c r="R197" s="125"/>
      <c r="S197" s="125"/>
      <c r="T197" s="125"/>
      <c r="U197" s="125"/>
      <c r="V197" s="125"/>
      <c r="W197" s="125"/>
      <c r="X197" s="125"/>
      <c r="Y197" s="125"/>
      <c r="Z197" s="125"/>
      <c r="AA197" s="125"/>
      <c r="AB197" s="125"/>
      <c r="AC197" s="125"/>
      <c r="AD197" s="125"/>
      <c r="AE197" s="125"/>
      <c r="AF197" s="125"/>
      <c r="AG197" s="125"/>
      <c r="AH197" s="125"/>
      <c r="AI197" s="125"/>
      <c r="AJ197" s="125"/>
      <c r="AK197" s="125"/>
      <c r="AL197" s="125"/>
      <c r="AM197" s="125"/>
      <c r="AN197" s="125"/>
      <c r="AO197" s="125"/>
      <c r="AP197" s="125"/>
      <c r="AQ197" s="125"/>
      <c r="AR197" s="125"/>
      <c r="AS197" s="125"/>
      <c r="AT197" s="125"/>
      <c r="AU197" s="125"/>
      <c r="AV197" s="125"/>
      <c r="AW197" s="125"/>
      <c r="AX197" s="125"/>
      <c r="AY197" s="125"/>
      <c r="AZ197" s="125"/>
      <c r="BA197" s="125"/>
      <c r="BB197" s="125"/>
      <c r="BC197" s="125"/>
      <c r="BD197" s="125"/>
      <c r="BE197" s="125"/>
      <c r="BF197" s="125"/>
    </row>
    <row r="198" spans="1:58" ht="15.75" customHeight="1">
      <c r="A198" s="125"/>
      <c r="B198" s="125"/>
      <c r="C198" s="125"/>
      <c r="D198" s="125"/>
      <c r="E198" s="125"/>
      <c r="F198" s="125"/>
      <c r="G198" s="125"/>
      <c r="H198" s="125"/>
      <c r="I198" s="125"/>
      <c r="J198" s="125"/>
      <c r="K198" s="125"/>
      <c r="L198" s="125"/>
      <c r="M198" s="125"/>
      <c r="N198" s="125"/>
      <c r="O198" s="125"/>
      <c r="P198" s="125"/>
      <c r="Q198" s="125"/>
      <c r="R198" s="125"/>
      <c r="S198" s="125"/>
      <c r="T198" s="125"/>
      <c r="U198" s="125"/>
      <c r="V198" s="125"/>
      <c r="W198" s="125"/>
      <c r="X198" s="125"/>
      <c r="Y198" s="125"/>
      <c r="Z198" s="125"/>
      <c r="AA198" s="125"/>
      <c r="AB198" s="125"/>
      <c r="AC198" s="125"/>
      <c r="AD198" s="125"/>
      <c r="AE198" s="125"/>
      <c r="AF198" s="125"/>
      <c r="AG198" s="125"/>
      <c r="AH198" s="125"/>
      <c r="AI198" s="125"/>
      <c r="AJ198" s="125"/>
      <c r="AK198" s="125"/>
      <c r="AL198" s="125"/>
      <c r="AM198" s="125"/>
      <c r="AN198" s="125"/>
      <c r="AO198" s="125"/>
      <c r="AP198" s="125"/>
      <c r="AQ198" s="125"/>
      <c r="AR198" s="125"/>
      <c r="AS198" s="125"/>
      <c r="AT198" s="125"/>
      <c r="AU198" s="125"/>
      <c r="AV198" s="125"/>
      <c r="AW198" s="125"/>
      <c r="AX198" s="125"/>
      <c r="AY198" s="125"/>
      <c r="AZ198" s="125"/>
      <c r="BA198" s="125"/>
      <c r="BB198" s="125"/>
      <c r="BC198" s="125"/>
      <c r="BD198" s="125"/>
      <c r="BE198" s="125"/>
      <c r="BF198" s="125"/>
    </row>
    <row r="199" spans="1:58" ht="15.75" customHeight="1">
      <c r="A199" s="125"/>
      <c r="B199" s="125"/>
      <c r="C199" s="125"/>
      <c r="D199" s="125"/>
      <c r="E199" s="125"/>
      <c r="F199" s="125"/>
      <c r="G199" s="125"/>
      <c r="H199" s="125"/>
      <c r="I199" s="125"/>
      <c r="J199" s="125"/>
      <c r="K199" s="125"/>
      <c r="L199" s="125"/>
      <c r="M199" s="125"/>
      <c r="N199" s="125"/>
      <c r="O199" s="125"/>
      <c r="P199" s="125"/>
      <c r="Q199" s="125"/>
      <c r="R199" s="125"/>
      <c r="S199" s="125"/>
      <c r="T199" s="125"/>
      <c r="U199" s="125"/>
      <c r="V199" s="125"/>
      <c r="W199" s="125"/>
      <c r="X199" s="125"/>
      <c r="Y199" s="125"/>
      <c r="Z199" s="125"/>
      <c r="AA199" s="125"/>
      <c r="AB199" s="125"/>
      <c r="AC199" s="125"/>
      <c r="AD199" s="125"/>
      <c r="AE199" s="125"/>
      <c r="AF199" s="125"/>
      <c r="AG199" s="125"/>
      <c r="AH199" s="125"/>
      <c r="AI199" s="125"/>
      <c r="AJ199" s="125"/>
      <c r="AK199" s="125"/>
      <c r="AL199" s="125"/>
      <c r="AM199" s="125"/>
      <c r="AN199" s="125"/>
      <c r="AO199" s="125"/>
      <c r="AP199" s="125"/>
      <c r="AQ199" s="125"/>
      <c r="AR199" s="125"/>
      <c r="AS199" s="125"/>
      <c r="AT199" s="125"/>
      <c r="AU199" s="125"/>
      <c r="AV199" s="125"/>
      <c r="AW199" s="125"/>
      <c r="AX199" s="125"/>
      <c r="AY199" s="125"/>
      <c r="AZ199" s="125"/>
      <c r="BA199" s="125"/>
      <c r="BB199" s="125"/>
      <c r="BC199" s="125"/>
      <c r="BD199" s="125"/>
      <c r="BE199" s="125"/>
      <c r="BF199" s="125"/>
    </row>
    <row r="200" spans="1:58" ht="15.75" customHeight="1">
      <c r="A200" s="125"/>
      <c r="B200" s="125"/>
      <c r="C200" s="125"/>
      <c r="D200" s="125"/>
      <c r="E200" s="125"/>
      <c r="F200" s="125"/>
      <c r="G200" s="125"/>
      <c r="H200" s="125"/>
      <c r="I200" s="125"/>
      <c r="J200" s="125"/>
      <c r="K200" s="125"/>
      <c r="L200" s="125"/>
      <c r="M200" s="125"/>
      <c r="N200" s="125"/>
      <c r="O200" s="125"/>
      <c r="P200" s="125"/>
      <c r="Q200" s="125"/>
      <c r="R200" s="125"/>
      <c r="S200" s="125"/>
      <c r="T200" s="125"/>
      <c r="U200" s="125"/>
      <c r="V200" s="125"/>
      <c r="W200" s="125"/>
      <c r="X200" s="125"/>
      <c r="Y200" s="125"/>
      <c r="Z200" s="125"/>
      <c r="AA200" s="125"/>
      <c r="AB200" s="125"/>
      <c r="AC200" s="125"/>
      <c r="AD200" s="125"/>
      <c r="AE200" s="125"/>
      <c r="AF200" s="125"/>
      <c r="AG200" s="125"/>
      <c r="AH200" s="125"/>
      <c r="AI200" s="125"/>
      <c r="AJ200" s="125"/>
      <c r="AK200" s="125"/>
      <c r="AL200" s="125"/>
      <c r="AM200" s="125"/>
      <c r="AN200" s="125"/>
      <c r="AO200" s="125"/>
      <c r="AP200" s="125"/>
      <c r="AQ200" s="125"/>
      <c r="AR200" s="125"/>
      <c r="AS200" s="125"/>
      <c r="AT200" s="125"/>
      <c r="AU200" s="125"/>
      <c r="AV200" s="125"/>
      <c r="AW200" s="125"/>
      <c r="AX200" s="125"/>
      <c r="AY200" s="125"/>
      <c r="AZ200" s="125"/>
      <c r="BA200" s="125"/>
      <c r="BB200" s="125"/>
      <c r="BC200" s="125"/>
      <c r="BD200" s="125"/>
      <c r="BE200" s="125"/>
      <c r="BF200" s="125"/>
    </row>
    <row r="201" spans="1:58" ht="15.75" customHeight="1">
      <c r="A201" s="125"/>
      <c r="B201" s="125"/>
      <c r="C201" s="125"/>
      <c r="D201" s="125"/>
      <c r="E201" s="125"/>
      <c r="F201" s="125"/>
      <c r="G201" s="125"/>
      <c r="H201" s="125"/>
      <c r="I201" s="125"/>
      <c r="J201" s="125"/>
      <c r="K201" s="125"/>
      <c r="L201" s="125"/>
      <c r="M201" s="125"/>
      <c r="N201" s="125"/>
      <c r="O201" s="125"/>
      <c r="P201" s="125"/>
      <c r="Q201" s="125"/>
      <c r="R201" s="125"/>
      <c r="S201" s="125"/>
      <c r="T201" s="125"/>
      <c r="U201" s="125"/>
      <c r="V201" s="125"/>
      <c r="W201" s="125"/>
      <c r="X201" s="125"/>
      <c r="Y201" s="125"/>
      <c r="Z201" s="125"/>
      <c r="AA201" s="125"/>
      <c r="AB201" s="125"/>
      <c r="AC201" s="125"/>
      <c r="AD201" s="125"/>
      <c r="AE201" s="125"/>
      <c r="AF201" s="125"/>
      <c r="AG201" s="125"/>
      <c r="AH201" s="125"/>
      <c r="AI201" s="125"/>
      <c r="AJ201" s="125"/>
      <c r="AK201" s="125"/>
      <c r="AL201" s="125"/>
      <c r="AM201" s="125"/>
      <c r="AN201" s="125"/>
      <c r="AO201" s="125"/>
      <c r="AP201" s="125"/>
      <c r="AQ201" s="125"/>
      <c r="AR201" s="125"/>
      <c r="AS201" s="125"/>
      <c r="AT201" s="125"/>
      <c r="AU201" s="125"/>
      <c r="AV201" s="125"/>
      <c r="AW201" s="125"/>
      <c r="AX201" s="125"/>
      <c r="AY201" s="125"/>
      <c r="AZ201" s="125"/>
      <c r="BA201" s="125"/>
      <c r="BB201" s="125"/>
      <c r="BC201" s="125"/>
      <c r="BD201" s="125"/>
      <c r="BE201" s="125"/>
      <c r="BF201" s="125"/>
    </row>
    <row r="202" spans="1:58" ht="15.75" customHeight="1">
      <c r="A202" s="125"/>
      <c r="B202" s="125"/>
      <c r="C202" s="125"/>
      <c r="D202" s="125"/>
      <c r="E202" s="125"/>
      <c r="F202" s="125"/>
      <c r="G202" s="125"/>
      <c r="H202" s="125"/>
      <c r="I202" s="125"/>
      <c r="J202" s="125"/>
      <c r="K202" s="125"/>
      <c r="L202" s="125"/>
      <c r="M202" s="125"/>
      <c r="N202" s="125"/>
      <c r="O202" s="125"/>
      <c r="P202" s="125"/>
      <c r="Q202" s="125"/>
      <c r="R202" s="125"/>
      <c r="S202" s="125"/>
      <c r="T202" s="125"/>
      <c r="U202" s="125"/>
      <c r="V202" s="125"/>
      <c r="W202" s="125"/>
      <c r="X202" s="125"/>
      <c r="Y202" s="125"/>
      <c r="Z202" s="125"/>
      <c r="AA202" s="125"/>
      <c r="AB202" s="125"/>
      <c r="AC202" s="125"/>
      <c r="AD202" s="125"/>
      <c r="AE202" s="125"/>
      <c r="AF202" s="125"/>
      <c r="AG202" s="125"/>
      <c r="AH202" s="125"/>
      <c r="AI202" s="125"/>
      <c r="AJ202" s="125"/>
      <c r="AK202" s="125"/>
      <c r="AL202" s="125"/>
      <c r="AM202" s="125"/>
      <c r="AN202" s="125"/>
      <c r="AO202" s="125"/>
      <c r="AP202" s="125"/>
      <c r="AQ202" s="125"/>
      <c r="AR202" s="125"/>
      <c r="AS202" s="125"/>
      <c r="AT202" s="125"/>
      <c r="AU202" s="125"/>
      <c r="AV202" s="125"/>
      <c r="AW202" s="125"/>
      <c r="AX202" s="125"/>
      <c r="AY202" s="125"/>
      <c r="AZ202" s="125"/>
      <c r="BA202" s="125"/>
      <c r="BB202" s="125"/>
      <c r="BC202" s="125"/>
      <c r="BD202" s="125"/>
      <c r="BE202" s="125"/>
      <c r="BF202" s="125"/>
    </row>
    <row r="203" spans="1:58" ht="15.75" customHeight="1">
      <c r="A203" s="125"/>
      <c r="B203" s="125"/>
      <c r="C203" s="125"/>
      <c r="D203" s="125"/>
      <c r="E203" s="125"/>
      <c r="F203" s="125"/>
      <c r="G203" s="125"/>
      <c r="H203" s="125"/>
      <c r="I203" s="125"/>
      <c r="J203" s="125"/>
      <c r="K203" s="125"/>
      <c r="L203" s="125"/>
      <c r="M203" s="125"/>
      <c r="N203" s="125"/>
      <c r="O203" s="125"/>
      <c r="P203" s="125"/>
      <c r="Q203" s="125"/>
      <c r="R203" s="125"/>
      <c r="S203" s="125"/>
      <c r="T203" s="125"/>
      <c r="U203" s="125"/>
      <c r="V203" s="125"/>
      <c r="W203" s="125"/>
      <c r="X203" s="125"/>
      <c r="Y203" s="125"/>
      <c r="Z203" s="125"/>
      <c r="AA203" s="125"/>
      <c r="AB203" s="125"/>
      <c r="AC203" s="125"/>
      <c r="AD203" s="125"/>
      <c r="AE203" s="125"/>
      <c r="AF203" s="125"/>
      <c r="AG203" s="125"/>
      <c r="AH203" s="125"/>
      <c r="AI203" s="125"/>
      <c r="AJ203" s="125"/>
      <c r="AK203" s="125"/>
      <c r="AL203" s="125"/>
      <c r="AM203" s="125"/>
      <c r="AN203" s="125"/>
      <c r="AO203" s="125"/>
      <c r="AP203" s="125"/>
      <c r="AQ203" s="125"/>
      <c r="AR203" s="125"/>
      <c r="AS203" s="125"/>
      <c r="AT203" s="125"/>
      <c r="AU203" s="125"/>
      <c r="AV203" s="125"/>
      <c r="AW203" s="125"/>
      <c r="AX203" s="125"/>
      <c r="AY203" s="125"/>
      <c r="AZ203" s="125"/>
      <c r="BA203" s="125"/>
      <c r="BB203" s="125"/>
      <c r="BC203" s="125"/>
      <c r="BD203" s="125"/>
      <c r="BE203" s="125"/>
      <c r="BF203" s="125"/>
    </row>
    <row r="204" spans="1:58" ht="15.75" customHeight="1">
      <c r="A204" s="125"/>
      <c r="B204" s="125"/>
      <c r="C204" s="125"/>
      <c r="D204" s="125"/>
      <c r="E204" s="125"/>
      <c r="F204" s="125"/>
      <c r="G204" s="125"/>
      <c r="H204" s="125"/>
      <c r="I204" s="125"/>
      <c r="J204" s="125"/>
      <c r="K204" s="125"/>
      <c r="L204" s="125"/>
      <c r="M204" s="125"/>
      <c r="N204" s="125"/>
      <c r="O204" s="125"/>
      <c r="P204" s="125"/>
      <c r="Q204" s="125"/>
      <c r="R204" s="125"/>
      <c r="S204" s="125"/>
      <c r="T204" s="125"/>
      <c r="U204" s="125"/>
      <c r="V204" s="125"/>
      <c r="W204" s="125"/>
      <c r="X204" s="125"/>
      <c r="Y204" s="125"/>
      <c r="Z204" s="125"/>
      <c r="AA204" s="125"/>
      <c r="AB204" s="125"/>
      <c r="AC204" s="125"/>
      <c r="AD204" s="125"/>
      <c r="AE204" s="125"/>
      <c r="AF204" s="125"/>
      <c r="AG204" s="125"/>
      <c r="AH204" s="125"/>
      <c r="AI204" s="125"/>
      <c r="AJ204" s="125"/>
      <c r="AK204" s="125"/>
      <c r="AL204" s="125"/>
      <c r="AM204" s="125"/>
      <c r="AN204" s="125"/>
      <c r="AO204" s="125"/>
      <c r="AP204" s="125"/>
      <c r="AQ204" s="125"/>
      <c r="AR204" s="125"/>
      <c r="AS204" s="125"/>
      <c r="AT204" s="125"/>
      <c r="AU204" s="125"/>
      <c r="AV204" s="125"/>
      <c r="AW204" s="125"/>
      <c r="AX204" s="125"/>
      <c r="AY204" s="125"/>
      <c r="AZ204" s="125"/>
      <c r="BA204" s="125"/>
      <c r="BB204" s="125"/>
      <c r="BC204" s="125"/>
      <c r="BD204" s="125"/>
      <c r="BE204" s="125"/>
      <c r="BF204" s="125"/>
    </row>
    <row r="205" spans="1:58" ht="15.75" customHeight="1">
      <c r="A205" s="125"/>
      <c r="B205" s="125"/>
      <c r="C205" s="125"/>
      <c r="D205" s="125"/>
      <c r="E205" s="125"/>
      <c r="F205" s="125"/>
      <c r="G205" s="125"/>
      <c r="H205" s="125"/>
      <c r="I205" s="125"/>
      <c r="J205" s="125"/>
      <c r="K205" s="125"/>
      <c r="L205" s="125"/>
      <c r="M205" s="125"/>
      <c r="N205" s="125"/>
      <c r="O205" s="125"/>
      <c r="P205" s="125"/>
      <c r="Q205" s="125"/>
      <c r="R205" s="125"/>
      <c r="S205" s="125"/>
      <c r="T205" s="125"/>
      <c r="U205" s="125"/>
      <c r="V205" s="125"/>
      <c r="W205" s="125"/>
      <c r="X205" s="125"/>
      <c r="Y205" s="125"/>
      <c r="Z205" s="125"/>
      <c r="AA205" s="125"/>
      <c r="AB205" s="125"/>
      <c r="AC205" s="125"/>
      <c r="AD205" s="125"/>
      <c r="AE205" s="125"/>
      <c r="AF205" s="125"/>
      <c r="AG205" s="125"/>
      <c r="AH205" s="125"/>
      <c r="AI205" s="125"/>
      <c r="AJ205" s="125"/>
      <c r="AK205" s="125"/>
      <c r="AL205" s="125"/>
      <c r="AM205" s="125"/>
      <c r="AN205" s="125"/>
      <c r="AO205" s="125"/>
      <c r="AP205" s="125"/>
      <c r="AQ205" s="125"/>
      <c r="AR205" s="125"/>
      <c r="AS205" s="125"/>
      <c r="AT205" s="125"/>
      <c r="AU205" s="125"/>
      <c r="AV205" s="125"/>
      <c r="AW205" s="125"/>
      <c r="AX205" s="125"/>
      <c r="AY205" s="125"/>
      <c r="AZ205" s="125"/>
      <c r="BA205" s="125"/>
      <c r="BB205" s="125"/>
      <c r="BC205" s="125"/>
      <c r="BD205" s="125"/>
      <c r="BE205" s="125"/>
      <c r="BF205" s="125"/>
    </row>
    <row r="206" spans="1:58" ht="15.75" customHeight="1">
      <c r="A206" s="125"/>
      <c r="B206" s="125"/>
      <c r="C206" s="125"/>
      <c r="D206" s="125"/>
      <c r="E206" s="125"/>
      <c r="F206" s="125"/>
      <c r="G206" s="125"/>
      <c r="H206" s="125"/>
      <c r="I206" s="125"/>
      <c r="J206" s="125"/>
      <c r="K206" s="125"/>
      <c r="L206" s="125"/>
      <c r="M206" s="125"/>
      <c r="N206" s="125"/>
      <c r="O206" s="125"/>
      <c r="P206" s="125"/>
      <c r="Q206" s="125"/>
      <c r="R206" s="125"/>
      <c r="S206" s="125"/>
      <c r="T206" s="125"/>
      <c r="U206" s="125"/>
      <c r="V206" s="125"/>
      <c r="W206" s="125"/>
      <c r="X206" s="125"/>
      <c r="Y206" s="125"/>
      <c r="Z206" s="125"/>
      <c r="AA206" s="125"/>
      <c r="AB206" s="125"/>
      <c r="AC206" s="125"/>
      <c r="AD206" s="125"/>
      <c r="AE206" s="125"/>
      <c r="AF206" s="125"/>
      <c r="AG206" s="125"/>
      <c r="AH206" s="125"/>
      <c r="AI206" s="125"/>
      <c r="AJ206" s="125"/>
      <c r="AK206" s="125"/>
      <c r="AL206" s="125"/>
      <c r="AM206" s="125"/>
      <c r="AN206" s="125"/>
      <c r="AO206" s="125"/>
      <c r="AP206" s="125"/>
      <c r="AQ206" s="125"/>
      <c r="AR206" s="125"/>
      <c r="AS206" s="125"/>
      <c r="AT206" s="125"/>
      <c r="AU206" s="125"/>
      <c r="AV206" s="125"/>
      <c r="AW206" s="125"/>
      <c r="AX206" s="125"/>
      <c r="AY206" s="125"/>
      <c r="AZ206" s="125"/>
      <c r="BA206" s="125"/>
      <c r="BB206" s="125"/>
      <c r="BC206" s="125"/>
      <c r="BD206" s="125"/>
      <c r="BE206" s="125"/>
      <c r="BF206" s="125"/>
    </row>
    <row r="207" spans="1:58" ht="15.75" customHeight="1">
      <c r="A207" s="125"/>
      <c r="B207" s="125"/>
      <c r="C207" s="125"/>
      <c r="D207" s="125"/>
      <c r="E207" s="125"/>
      <c r="F207" s="125"/>
      <c r="G207" s="125"/>
      <c r="H207" s="125"/>
      <c r="I207" s="125"/>
      <c r="J207" s="125"/>
      <c r="K207" s="125"/>
      <c r="L207" s="125"/>
      <c r="M207" s="125"/>
      <c r="N207" s="125"/>
      <c r="O207" s="125"/>
      <c r="P207" s="125"/>
      <c r="Q207" s="125"/>
      <c r="R207" s="125"/>
      <c r="S207" s="125"/>
      <c r="T207" s="125"/>
      <c r="U207" s="125"/>
      <c r="V207" s="125"/>
      <c r="W207" s="125"/>
      <c r="X207" s="125"/>
      <c r="Y207" s="125"/>
      <c r="Z207" s="125"/>
      <c r="AA207" s="125"/>
      <c r="AB207" s="125"/>
      <c r="AC207" s="125"/>
      <c r="AD207" s="125"/>
      <c r="AE207" s="125"/>
      <c r="AF207" s="125"/>
      <c r="AG207" s="125"/>
      <c r="AH207" s="125"/>
      <c r="AI207" s="125"/>
      <c r="AJ207" s="125"/>
      <c r="AK207" s="125"/>
      <c r="AL207" s="125"/>
      <c r="AM207" s="125"/>
      <c r="AN207" s="125"/>
      <c r="AO207" s="125"/>
      <c r="AP207" s="125"/>
      <c r="AQ207" s="125"/>
      <c r="AR207" s="125"/>
      <c r="AS207" s="125"/>
      <c r="AT207" s="125"/>
      <c r="AU207" s="125"/>
      <c r="AV207" s="125"/>
      <c r="AW207" s="125"/>
      <c r="AX207" s="125"/>
      <c r="AY207" s="125"/>
      <c r="AZ207" s="125"/>
      <c r="BA207" s="125"/>
      <c r="BB207" s="125"/>
      <c r="BC207" s="125"/>
      <c r="BD207" s="125"/>
      <c r="BE207" s="125"/>
      <c r="BF207" s="125"/>
    </row>
    <row r="208" spans="1:58" ht="15.75" customHeight="1">
      <c r="A208" s="125"/>
      <c r="B208" s="125"/>
      <c r="C208" s="125"/>
      <c r="D208" s="125"/>
      <c r="E208" s="125"/>
      <c r="F208" s="125"/>
      <c r="G208" s="125"/>
      <c r="H208" s="125"/>
      <c r="I208" s="125"/>
      <c r="J208" s="125"/>
      <c r="K208" s="125"/>
      <c r="L208" s="125"/>
      <c r="M208" s="125"/>
      <c r="N208" s="125"/>
      <c r="O208" s="125"/>
      <c r="P208" s="125"/>
      <c r="Q208" s="125"/>
      <c r="R208" s="125"/>
      <c r="S208" s="125"/>
      <c r="T208" s="125"/>
      <c r="U208" s="125"/>
      <c r="V208" s="125"/>
      <c r="W208" s="125"/>
      <c r="X208" s="125"/>
      <c r="Y208" s="125"/>
      <c r="Z208" s="125"/>
      <c r="AA208" s="125"/>
      <c r="AB208" s="125"/>
      <c r="AC208" s="125"/>
      <c r="AD208" s="125"/>
      <c r="AE208" s="125"/>
      <c r="AF208" s="125"/>
      <c r="AG208" s="125"/>
      <c r="AH208" s="125"/>
      <c r="AI208" s="125"/>
      <c r="AJ208" s="125"/>
      <c r="AK208" s="125"/>
      <c r="AL208" s="125"/>
      <c r="AM208" s="125"/>
      <c r="AN208" s="125"/>
      <c r="AO208" s="125"/>
      <c r="AP208" s="125"/>
      <c r="AQ208" s="125"/>
      <c r="AR208" s="125"/>
      <c r="AS208" s="125"/>
      <c r="AT208" s="125"/>
      <c r="AU208" s="125"/>
      <c r="AV208" s="125"/>
      <c r="AW208" s="125"/>
      <c r="AX208" s="125"/>
      <c r="AY208" s="125"/>
      <c r="AZ208" s="125"/>
      <c r="BA208" s="125"/>
      <c r="BB208" s="125"/>
      <c r="BC208" s="125"/>
      <c r="BD208" s="125"/>
      <c r="BE208" s="125"/>
      <c r="BF208" s="125"/>
    </row>
    <row r="209" spans="1:58" ht="15.75" customHeight="1">
      <c r="A209" s="125"/>
      <c r="B209" s="125"/>
      <c r="C209" s="125"/>
      <c r="D209" s="125"/>
      <c r="E209" s="125"/>
      <c r="F209" s="125"/>
      <c r="G209" s="125"/>
      <c r="H209" s="125"/>
      <c r="I209" s="125"/>
      <c r="J209" s="125"/>
      <c r="K209" s="125"/>
      <c r="L209" s="125"/>
      <c r="M209" s="125"/>
      <c r="N209" s="125"/>
      <c r="O209" s="125"/>
      <c r="P209" s="125"/>
      <c r="Q209" s="125"/>
      <c r="R209" s="125"/>
      <c r="S209" s="125"/>
      <c r="T209" s="125"/>
      <c r="U209" s="125"/>
      <c r="V209" s="125"/>
      <c r="W209" s="125"/>
      <c r="X209" s="125"/>
      <c r="Y209" s="125"/>
      <c r="Z209" s="125"/>
      <c r="AA209" s="125"/>
      <c r="AB209" s="125"/>
      <c r="AC209" s="125"/>
      <c r="AD209" s="125"/>
      <c r="AE209" s="125"/>
      <c r="AF209" s="125"/>
      <c r="AG209" s="125"/>
      <c r="AH209" s="125"/>
      <c r="AI209" s="125"/>
      <c r="AJ209" s="125"/>
      <c r="AK209" s="125"/>
      <c r="AL209" s="125"/>
      <c r="AM209" s="125"/>
      <c r="AN209" s="125"/>
      <c r="AO209" s="125"/>
      <c r="AP209" s="125"/>
      <c r="AQ209" s="125"/>
      <c r="AR209" s="125"/>
      <c r="AS209" s="125"/>
      <c r="AT209" s="125"/>
      <c r="AU209" s="125"/>
      <c r="AV209" s="125"/>
      <c r="AW209" s="125"/>
      <c r="AX209" s="125"/>
      <c r="AY209" s="125"/>
      <c r="AZ209" s="125"/>
      <c r="BA209" s="125"/>
      <c r="BB209" s="125"/>
      <c r="BC209" s="125"/>
      <c r="BD209" s="125"/>
      <c r="BE209" s="125"/>
      <c r="BF209" s="125"/>
    </row>
    <row r="210" spans="1:58" ht="15.75" customHeight="1">
      <c r="A210" s="125"/>
      <c r="B210" s="125"/>
      <c r="C210" s="125"/>
      <c r="D210" s="125"/>
      <c r="E210" s="125"/>
      <c r="F210" s="125"/>
      <c r="G210" s="125"/>
      <c r="H210" s="125"/>
      <c r="I210" s="125"/>
      <c r="J210" s="125"/>
      <c r="K210" s="125"/>
      <c r="L210" s="125"/>
      <c r="M210" s="125"/>
      <c r="N210" s="125"/>
      <c r="O210" s="125"/>
      <c r="P210" s="125"/>
      <c r="Q210" s="125"/>
      <c r="R210" s="125"/>
      <c r="S210" s="125"/>
      <c r="T210" s="125"/>
      <c r="U210" s="125"/>
      <c r="V210" s="125"/>
      <c r="W210" s="125"/>
      <c r="X210" s="125"/>
      <c r="Y210" s="125"/>
      <c r="Z210" s="125"/>
      <c r="AA210" s="125"/>
      <c r="AB210" s="125"/>
      <c r="AC210" s="125"/>
      <c r="AD210" s="125"/>
      <c r="AE210" s="125"/>
      <c r="AF210" s="125"/>
      <c r="AG210" s="125"/>
      <c r="AH210" s="125"/>
      <c r="AI210" s="125"/>
      <c r="AJ210" s="125"/>
      <c r="AK210" s="125"/>
      <c r="AL210" s="125"/>
      <c r="AM210" s="125"/>
      <c r="AN210" s="125"/>
      <c r="AO210" s="125"/>
      <c r="AP210" s="125"/>
      <c r="AQ210" s="125"/>
      <c r="AR210" s="125"/>
      <c r="AS210" s="125"/>
      <c r="AT210" s="125"/>
      <c r="AU210" s="125"/>
      <c r="AV210" s="125"/>
      <c r="AW210" s="125"/>
      <c r="AX210" s="125"/>
      <c r="AY210" s="125"/>
      <c r="AZ210" s="125"/>
      <c r="BA210" s="125"/>
      <c r="BB210" s="125"/>
      <c r="BC210" s="125"/>
      <c r="BD210" s="125"/>
      <c r="BE210" s="125"/>
      <c r="BF210" s="125"/>
    </row>
    <row r="211" spans="1:58" ht="15.75" customHeight="1">
      <c r="A211" s="125"/>
      <c r="B211" s="125"/>
      <c r="C211" s="125"/>
      <c r="D211" s="125"/>
      <c r="E211" s="125"/>
      <c r="F211" s="125"/>
      <c r="G211" s="125"/>
      <c r="H211" s="125"/>
      <c r="I211" s="125"/>
      <c r="J211" s="125"/>
      <c r="K211" s="125"/>
      <c r="L211" s="125"/>
      <c r="M211" s="125"/>
      <c r="N211" s="125"/>
      <c r="O211" s="125"/>
      <c r="P211" s="125"/>
      <c r="Q211" s="125"/>
      <c r="R211" s="125"/>
      <c r="S211" s="125"/>
      <c r="T211" s="125"/>
      <c r="U211" s="125"/>
      <c r="V211" s="125"/>
      <c r="W211" s="125"/>
      <c r="X211" s="125"/>
      <c r="Y211" s="125"/>
      <c r="Z211" s="125"/>
      <c r="AA211" s="125"/>
      <c r="AB211" s="125"/>
      <c r="AC211" s="125"/>
      <c r="AD211" s="125"/>
      <c r="AE211" s="125"/>
      <c r="AF211" s="125"/>
      <c r="AG211" s="125"/>
      <c r="AH211" s="125"/>
      <c r="AI211" s="125"/>
      <c r="AJ211" s="125"/>
      <c r="AK211" s="125"/>
      <c r="AL211" s="125"/>
      <c r="AM211" s="125"/>
      <c r="AN211" s="125"/>
      <c r="AO211" s="125"/>
      <c r="AP211" s="125"/>
      <c r="AQ211" s="125"/>
      <c r="AR211" s="125"/>
      <c r="AS211" s="125"/>
      <c r="AT211" s="125"/>
      <c r="AU211" s="125"/>
      <c r="AV211" s="125"/>
      <c r="AW211" s="125"/>
      <c r="AX211" s="125"/>
      <c r="AY211" s="125"/>
      <c r="AZ211" s="125"/>
      <c r="BA211" s="125"/>
      <c r="BB211" s="125"/>
      <c r="BC211" s="125"/>
      <c r="BD211" s="125"/>
      <c r="BE211" s="125"/>
      <c r="BF211" s="125"/>
    </row>
    <row r="212" spans="1:58" ht="15.75" customHeight="1">
      <c r="A212" s="125"/>
      <c r="B212" s="125"/>
      <c r="C212" s="125"/>
      <c r="D212" s="125"/>
      <c r="E212" s="125"/>
      <c r="F212" s="125"/>
      <c r="G212" s="125"/>
      <c r="H212" s="125"/>
      <c r="I212" s="125"/>
      <c r="J212" s="125"/>
      <c r="K212" s="125"/>
      <c r="L212" s="125"/>
      <c r="M212" s="125"/>
      <c r="N212" s="125"/>
      <c r="O212" s="125"/>
      <c r="P212" s="125"/>
      <c r="Q212" s="125"/>
      <c r="R212" s="125"/>
      <c r="S212" s="125"/>
      <c r="T212" s="125"/>
      <c r="U212" s="125"/>
      <c r="V212" s="125"/>
      <c r="W212" s="125"/>
      <c r="X212" s="125"/>
      <c r="Y212" s="125"/>
      <c r="Z212" s="125"/>
      <c r="AA212" s="125"/>
      <c r="AB212" s="125"/>
      <c r="AC212" s="125"/>
      <c r="AD212" s="125"/>
      <c r="AE212" s="125"/>
      <c r="AF212" s="125"/>
      <c r="AG212" s="125"/>
      <c r="AH212" s="125"/>
      <c r="AI212" s="125"/>
      <c r="AJ212" s="125"/>
      <c r="AK212" s="125"/>
      <c r="AL212" s="125"/>
      <c r="AM212" s="125"/>
      <c r="AN212" s="125"/>
      <c r="AO212" s="125"/>
      <c r="AP212" s="125"/>
      <c r="AQ212" s="125"/>
      <c r="AR212" s="125"/>
      <c r="AS212" s="125"/>
      <c r="AT212" s="125"/>
      <c r="AU212" s="125"/>
      <c r="AV212" s="125"/>
      <c r="AW212" s="125"/>
      <c r="AX212" s="125"/>
      <c r="AY212" s="125"/>
      <c r="AZ212" s="125"/>
      <c r="BA212" s="125"/>
      <c r="BB212" s="125"/>
      <c r="BC212" s="125"/>
      <c r="BD212" s="125"/>
      <c r="BE212" s="125"/>
      <c r="BF212" s="125"/>
    </row>
    <row r="213" spans="1:58" ht="15.75" customHeight="1">
      <c r="A213" s="125"/>
      <c r="B213" s="125"/>
      <c r="C213" s="125"/>
      <c r="D213" s="125"/>
      <c r="E213" s="125"/>
      <c r="F213" s="125"/>
      <c r="G213" s="125"/>
      <c r="H213" s="125"/>
      <c r="I213" s="125"/>
      <c r="J213" s="125"/>
      <c r="K213" s="125"/>
      <c r="L213" s="125"/>
      <c r="M213" s="125"/>
      <c r="N213" s="125"/>
      <c r="O213" s="125"/>
      <c r="P213" s="125"/>
      <c r="Q213" s="125"/>
      <c r="R213" s="125"/>
      <c r="S213" s="125"/>
      <c r="T213" s="125"/>
      <c r="U213" s="125"/>
      <c r="V213" s="125"/>
      <c r="W213" s="125"/>
      <c r="X213" s="125"/>
      <c r="Y213" s="125"/>
      <c r="Z213" s="125"/>
      <c r="AA213" s="125"/>
      <c r="AB213" s="125"/>
      <c r="AC213" s="125"/>
      <c r="AD213" s="125"/>
      <c r="AE213" s="125"/>
      <c r="AF213" s="125"/>
      <c r="AG213" s="125"/>
      <c r="AH213" s="125"/>
      <c r="AI213" s="125"/>
      <c r="AJ213" s="125"/>
      <c r="AK213" s="125"/>
      <c r="AL213" s="125"/>
      <c r="AM213" s="125"/>
      <c r="AN213" s="125"/>
      <c r="AO213" s="125"/>
      <c r="AP213" s="125"/>
      <c r="AQ213" s="125"/>
      <c r="AR213" s="125"/>
      <c r="AS213" s="125"/>
      <c r="AT213" s="125"/>
      <c r="AU213" s="125"/>
      <c r="AV213" s="125"/>
      <c r="AW213" s="125"/>
      <c r="AX213" s="125"/>
      <c r="AY213" s="125"/>
      <c r="AZ213" s="125"/>
      <c r="BA213" s="125"/>
      <c r="BB213" s="125"/>
      <c r="BC213" s="125"/>
      <c r="BD213" s="125"/>
      <c r="BE213" s="125"/>
      <c r="BF213" s="125"/>
    </row>
    <row r="214" spans="1:58" ht="15.75" customHeight="1">
      <c r="A214" s="125"/>
      <c r="B214" s="125"/>
      <c r="C214" s="125"/>
      <c r="D214" s="125"/>
      <c r="E214" s="125"/>
      <c r="F214" s="125"/>
      <c r="G214" s="125"/>
      <c r="H214" s="125"/>
      <c r="I214" s="125"/>
      <c r="J214" s="125"/>
      <c r="K214" s="125"/>
      <c r="L214" s="125"/>
      <c r="M214" s="125"/>
      <c r="N214" s="125"/>
      <c r="O214" s="125"/>
      <c r="P214" s="125"/>
      <c r="Q214" s="125"/>
      <c r="R214" s="125"/>
      <c r="S214" s="125"/>
      <c r="T214" s="125"/>
      <c r="U214" s="125"/>
      <c r="V214" s="125"/>
      <c r="W214" s="125"/>
      <c r="X214" s="125"/>
      <c r="Y214" s="125"/>
      <c r="Z214" s="125"/>
      <c r="AA214" s="125"/>
      <c r="AB214" s="125"/>
      <c r="AC214" s="125"/>
      <c r="AD214" s="125"/>
      <c r="AE214" s="125"/>
      <c r="AF214" s="125"/>
      <c r="AG214" s="125"/>
      <c r="AH214" s="125"/>
      <c r="AI214" s="125"/>
      <c r="AJ214" s="125"/>
      <c r="AK214" s="125"/>
      <c r="AL214" s="125"/>
      <c r="AM214" s="125"/>
      <c r="AN214" s="125"/>
      <c r="AO214" s="125"/>
      <c r="AP214" s="125"/>
      <c r="AQ214" s="125"/>
      <c r="AR214" s="125"/>
      <c r="AS214" s="125"/>
      <c r="AT214" s="125"/>
      <c r="AU214" s="125"/>
      <c r="AV214" s="125"/>
      <c r="AW214" s="125"/>
      <c r="AX214" s="125"/>
      <c r="AY214" s="125"/>
      <c r="AZ214" s="125"/>
      <c r="BA214" s="125"/>
      <c r="BB214" s="125"/>
      <c r="BC214" s="125"/>
      <c r="BD214" s="125"/>
      <c r="BE214" s="125"/>
      <c r="BF214" s="125"/>
    </row>
    <row r="215" spans="1:58" ht="15.75" customHeight="1">
      <c r="A215" s="125"/>
      <c r="B215" s="125"/>
      <c r="C215" s="125"/>
      <c r="D215" s="125"/>
      <c r="E215" s="125"/>
      <c r="F215" s="125"/>
      <c r="G215" s="125"/>
      <c r="H215" s="125"/>
      <c r="I215" s="125"/>
      <c r="J215" s="125"/>
      <c r="K215" s="125"/>
      <c r="L215" s="125"/>
      <c r="M215" s="125"/>
      <c r="N215" s="125"/>
      <c r="O215" s="125"/>
      <c r="P215" s="125"/>
      <c r="Q215" s="125"/>
      <c r="R215" s="125"/>
      <c r="S215" s="125"/>
      <c r="T215" s="125"/>
      <c r="U215" s="125"/>
      <c r="V215" s="125"/>
      <c r="W215" s="125"/>
      <c r="X215" s="125"/>
      <c r="Y215" s="125"/>
      <c r="Z215" s="125"/>
      <c r="AA215" s="125"/>
      <c r="AB215" s="125"/>
      <c r="AC215" s="125"/>
      <c r="AD215" s="125"/>
      <c r="AE215" s="125"/>
      <c r="AF215" s="125"/>
      <c r="AG215" s="125"/>
      <c r="AH215" s="125"/>
      <c r="AI215" s="125"/>
      <c r="AJ215" s="125"/>
      <c r="AK215" s="125"/>
      <c r="AL215" s="125"/>
      <c r="AM215" s="125"/>
      <c r="AN215" s="125"/>
      <c r="AO215" s="125"/>
      <c r="AP215" s="125"/>
      <c r="AQ215" s="125"/>
      <c r="AR215" s="125"/>
      <c r="AS215" s="125"/>
      <c r="AT215" s="125"/>
      <c r="AU215" s="125"/>
      <c r="AV215" s="125"/>
      <c r="AW215" s="125"/>
      <c r="AX215" s="125"/>
      <c r="AY215" s="125"/>
      <c r="AZ215" s="125"/>
      <c r="BA215" s="125"/>
      <c r="BB215" s="125"/>
      <c r="BC215" s="125"/>
      <c r="BD215" s="125"/>
      <c r="BE215" s="125"/>
      <c r="BF215" s="125"/>
    </row>
    <row r="216" spans="1:58" ht="15.75" customHeight="1">
      <c r="A216" s="125"/>
      <c r="B216" s="125"/>
      <c r="C216" s="125"/>
      <c r="D216" s="125"/>
      <c r="E216" s="125"/>
      <c r="F216" s="125"/>
      <c r="G216" s="125"/>
      <c r="H216" s="125"/>
      <c r="I216" s="125"/>
      <c r="J216" s="125"/>
      <c r="K216" s="125"/>
      <c r="L216" s="125"/>
      <c r="M216" s="125"/>
      <c r="N216" s="125"/>
      <c r="O216" s="125"/>
      <c r="P216" s="125"/>
      <c r="Q216" s="125"/>
      <c r="R216" s="125"/>
      <c r="S216" s="125"/>
      <c r="T216" s="125"/>
      <c r="U216" s="125"/>
      <c r="V216" s="125"/>
      <c r="W216" s="125"/>
      <c r="X216" s="125"/>
      <c r="Y216" s="125"/>
      <c r="Z216" s="125"/>
      <c r="AA216" s="125"/>
      <c r="AB216" s="125"/>
      <c r="AC216" s="125"/>
      <c r="AD216" s="125"/>
      <c r="AE216" s="125"/>
      <c r="AF216" s="125"/>
      <c r="AG216" s="125"/>
      <c r="AH216" s="125"/>
      <c r="AI216" s="125"/>
      <c r="AJ216" s="125"/>
      <c r="AK216" s="125"/>
      <c r="AL216" s="125"/>
      <c r="AM216" s="125"/>
      <c r="AN216" s="125"/>
      <c r="AO216" s="125"/>
      <c r="AP216" s="125"/>
      <c r="AQ216" s="125"/>
      <c r="AR216" s="125"/>
      <c r="AS216" s="125"/>
      <c r="AT216" s="125"/>
      <c r="AU216" s="125"/>
      <c r="AV216" s="125"/>
      <c r="AW216" s="125"/>
      <c r="AX216" s="125"/>
      <c r="AY216" s="125"/>
      <c r="AZ216" s="125"/>
      <c r="BA216" s="125"/>
      <c r="BB216" s="125"/>
      <c r="BC216" s="125"/>
      <c r="BD216" s="125"/>
      <c r="BE216" s="125"/>
      <c r="BF216" s="125"/>
    </row>
    <row r="217" spans="1:58" ht="15.75" customHeight="1">
      <c r="A217" s="125"/>
      <c r="B217" s="125"/>
      <c r="C217" s="125"/>
      <c r="D217" s="125"/>
      <c r="E217" s="125"/>
      <c r="F217" s="125"/>
      <c r="G217" s="125"/>
      <c r="H217" s="125"/>
      <c r="I217" s="125"/>
      <c r="J217" s="125"/>
      <c r="K217" s="125"/>
      <c r="L217" s="125"/>
      <c r="M217" s="125"/>
      <c r="N217" s="125"/>
      <c r="O217" s="125"/>
      <c r="P217" s="125"/>
      <c r="Q217" s="125"/>
      <c r="R217" s="125"/>
      <c r="S217" s="125"/>
      <c r="T217" s="125"/>
      <c r="U217" s="125"/>
      <c r="V217" s="125"/>
      <c r="W217" s="125"/>
      <c r="X217" s="125"/>
      <c r="Y217" s="125"/>
      <c r="Z217" s="125"/>
      <c r="AA217" s="125"/>
      <c r="AB217" s="125"/>
      <c r="AC217" s="125"/>
      <c r="AD217" s="125"/>
      <c r="AE217" s="125"/>
      <c r="AF217" s="125"/>
      <c r="AG217" s="125"/>
      <c r="AH217" s="125"/>
      <c r="AI217" s="125"/>
      <c r="AJ217" s="125"/>
      <c r="AK217" s="125"/>
      <c r="AL217" s="125"/>
      <c r="AM217" s="125"/>
      <c r="AN217" s="125"/>
      <c r="AO217" s="125"/>
      <c r="AP217" s="125"/>
      <c r="AQ217" s="125"/>
      <c r="AR217" s="125"/>
      <c r="AS217" s="125"/>
      <c r="AT217" s="125"/>
      <c r="AU217" s="125"/>
      <c r="AV217" s="125"/>
      <c r="AW217" s="125"/>
      <c r="AX217" s="125"/>
      <c r="AY217" s="125"/>
      <c r="AZ217" s="125"/>
      <c r="BA217" s="125"/>
      <c r="BB217" s="125"/>
      <c r="BC217" s="125"/>
      <c r="BD217" s="125"/>
      <c r="BE217" s="125"/>
      <c r="BF217" s="125"/>
    </row>
    <row r="218" spans="1:58" ht="15.75" customHeight="1">
      <c r="A218" s="125"/>
      <c r="B218" s="125"/>
      <c r="C218" s="125"/>
      <c r="D218" s="125"/>
      <c r="E218" s="125"/>
      <c r="F218" s="125"/>
      <c r="G218" s="125"/>
      <c r="H218" s="125"/>
      <c r="I218" s="125"/>
      <c r="J218" s="125"/>
      <c r="K218" s="125"/>
      <c r="L218" s="125"/>
      <c r="M218" s="125"/>
      <c r="N218" s="125"/>
      <c r="O218" s="125"/>
      <c r="P218" s="125"/>
      <c r="Q218" s="125"/>
      <c r="R218" s="125"/>
      <c r="S218" s="125"/>
      <c r="T218" s="125"/>
      <c r="U218" s="125"/>
      <c r="V218" s="125"/>
      <c r="W218" s="125"/>
      <c r="X218" s="125"/>
      <c r="Y218" s="125"/>
      <c r="Z218" s="125"/>
      <c r="AA218" s="125"/>
      <c r="AB218" s="125"/>
      <c r="AC218" s="125"/>
      <c r="AD218" s="125"/>
      <c r="AE218" s="125"/>
      <c r="AF218" s="125"/>
      <c r="AG218" s="125"/>
      <c r="AH218" s="125"/>
      <c r="AI218" s="125"/>
      <c r="AJ218" s="125"/>
      <c r="AK218" s="125"/>
      <c r="AL218" s="125"/>
      <c r="AM218" s="125"/>
      <c r="AN218" s="125"/>
      <c r="AO218" s="125"/>
      <c r="AP218" s="125"/>
      <c r="AQ218" s="125"/>
      <c r="AR218" s="125"/>
      <c r="AS218" s="125"/>
      <c r="AT218" s="125"/>
      <c r="AU218" s="125"/>
      <c r="AV218" s="125"/>
      <c r="AW218" s="125"/>
      <c r="AX218" s="125"/>
      <c r="AY218" s="125"/>
      <c r="AZ218" s="125"/>
      <c r="BA218" s="125"/>
      <c r="BB218" s="125"/>
      <c r="BC218" s="125"/>
      <c r="BD218" s="125"/>
      <c r="BE218" s="125"/>
      <c r="BF218" s="125"/>
    </row>
    <row r="219" spans="1:58" ht="15.75" customHeight="1">
      <c r="A219" s="125"/>
      <c r="B219" s="125"/>
      <c r="C219" s="125"/>
      <c r="D219" s="125"/>
      <c r="E219" s="125"/>
      <c r="F219" s="125"/>
      <c r="G219" s="125"/>
      <c r="H219" s="125"/>
      <c r="I219" s="125"/>
      <c r="J219" s="125"/>
      <c r="K219" s="125"/>
      <c r="L219" s="125"/>
      <c r="M219" s="125"/>
      <c r="N219" s="125"/>
      <c r="O219" s="125"/>
      <c r="P219" s="125"/>
      <c r="Q219" s="125"/>
      <c r="R219" s="125"/>
      <c r="S219" s="125"/>
      <c r="T219" s="125"/>
      <c r="U219" s="125"/>
      <c r="V219" s="125"/>
      <c r="W219" s="125"/>
      <c r="X219" s="125"/>
      <c r="Y219" s="125"/>
      <c r="Z219" s="125"/>
      <c r="AA219" s="125"/>
      <c r="AB219" s="125"/>
      <c r="AC219" s="125"/>
      <c r="AD219" s="125"/>
      <c r="AE219" s="125"/>
      <c r="AF219" s="125"/>
      <c r="AG219" s="125"/>
      <c r="AH219" s="125"/>
      <c r="AI219" s="125"/>
      <c r="AJ219" s="125"/>
      <c r="AK219" s="125"/>
      <c r="AL219" s="125"/>
      <c r="AM219" s="125"/>
      <c r="AN219" s="125"/>
      <c r="AO219" s="125"/>
      <c r="AP219" s="125"/>
      <c r="AQ219" s="125"/>
      <c r="AR219" s="125"/>
      <c r="AS219" s="125"/>
      <c r="AT219" s="125"/>
      <c r="AU219" s="125"/>
      <c r="AV219" s="125"/>
      <c r="AW219" s="125"/>
      <c r="AX219" s="125"/>
      <c r="AY219" s="125"/>
      <c r="AZ219" s="125"/>
      <c r="BA219" s="125"/>
      <c r="BB219" s="125"/>
      <c r="BC219" s="125"/>
      <c r="BD219" s="125"/>
      <c r="BE219" s="125"/>
      <c r="BF219" s="125"/>
    </row>
    <row r="220" spans="1:58" ht="15.75" customHeight="1">
      <c r="A220" s="125"/>
      <c r="B220" s="125"/>
      <c r="C220" s="125"/>
      <c r="D220" s="125"/>
      <c r="E220" s="125"/>
      <c r="F220" s="125"/>
      <c r="G220" s="125"/>
      <c r="H220" s="125"/>
      <c r="I220" s="125"/>
      <c r="J220" s="125"/>
      <c r="K220" s="125"/>
      <c r="L220" s="125"/>
      <c r="M220" s="125"/>
      <c r="N220" s="125"/>
      <c r="O220" s="125"/>
      <c r="P220" s="125"/>
      <c r="Q220" s="125"/>
      <c r="R220" s="125"/>
      <c r="S220" s="125"/>
      <c r="T220" s="125"/>
      <c r="U220" s="125"/>
      <c r="V220" s="125"/>
      <c r="W220" s="125"/>
      <c r="X220" s="125"/>
      <c r="Y220" s="125"/>
      <c r="Z220" s="125"/>
      <c r="AA220" s="125"/>
      <c r="AB220" s="125"/>
      <c r="AC220" s="125"/>
      <c r="AD220" s="125"/>
      <c r="AE220" s="125"/>
      <c r="AF220" s="125"/>
      <c r="AG220" s="125"/>
      <c r="AH220" s="125"/>
      <c r="AI220" s="125"/>
      <c r="AJ220" s="125"/>
      <c r="AK220" s="125"/>
      <c r="AL220" s="125"/>
      <c r="AM220" s="125"/>
      <c r="AN220" s="125"/>
      <c r="AO220" s="125"/>
      <c r="AP220" s="125"/>
      <c r="AQ220" s="125"/>
      <c r="AR220" s="125"/>
      <c r="AS220" s="125"/>
      <c r="AT220" s="125"/>
      <c r="AU220" s="125"/>
      <c r="AV220" s="125"/>
      <c r="AW220" s="125"/>
      <c r="AX220" s="125"/>
      <c r="AY220" s="125"/>
      <c r="AZ220" s="125"/>
      <c r="BA220" s="125"/>
      <c r="BB220" s="125"/>
      <c r="BC220" s="125"/>
      <c r="BD220" s="125"/>
      <c r="BE220" s="125"/>
      <c r="BF220" s="125"/>
    </row>
    <row r="221" spans="1:58" ht="15.75" customHeight="1">
      <c r="A221" s="125"/>
      <c r="B221" s="125"/>
      <c r="C221" s="125"/>
      <c r="D221" s="125"/>
      <c r="E221" s="125"/>
      <c r="F221" s="125"/>
      <c r="G221" s="125"/>
      <c r="H221" s="125"/>
      <c r="I221" s="125"/>
      <c r="J221" s="125"/>
      <c r="K221" s="125"/>
      <c r="L221" s="125"/>
      <c r="M221" s="125"/>
      <c r="N221" s="125"/>
      <c r="O221" s="125"/>
      <c r="P221" s="125"/>
      <c r="Q221" s="125"/>
      <c r="R221" s="125"/>
      <c r="S221" s="125"/>
      <c r="T221" s="125"/>
      <c r="U221" s="125"/>
      <c r="V221" s="125"/>
      <c r="W221" s="125"/>
      <c r="X221" s="125"/>
      <c r="Y221" s="125"/>
      <c r="Z221" s="125"/>
      <c r="AA221" s="125"/>
      <c r="AB221" s="125"/>
      <c r="AC221" s="125"/>
      <c r="AD221" s="125"/>
      <c r="AE221" s="125"/>
      <c r="AF221" s="125"/>
      <c r="AG221" s="125"/>
      <c r="AH221" s="125"/>
      <c r="AI221" s="125"/>
      <c r="AJ221" s="125"/>
      <c r="AK221" s="125"/>
      <c r="AL221" s="125"/>
      <c r="AM221" s="125"/>
      <c r="AN221" s="125"/>
      <c r="AO221" s="125"/>
      <c r="AP221" s="125"/>
      <c r="AQ221" s="125"/>
      <c r="AR221" s="125"/>
      <c r="AS221" s="125"/>
      <c r="AT221" s="125"/>
      <c r="AU221" s="125"/>
      <c r="AV221" s="125"/>
      <c r="AW221" s="125"/>
      <c r="AX221" s="125"/>
      <c r="AY221" s="125"/>
      <c r="AZ221" s="125"/>
      <c r="BA221" s="125"/>
      <c r="BB221" s="125"/>
      <c r="BC221" s="125"/>
      <c r="BD221" s="125"/>
      <c r="BE221" s="125"/>
      <c r="BF221" s="125"/>
    </row>
    <row r="222" spans="1:58" ht="15.75" customHeight="1">
      <c r="A222" s="125"/>
      <c r="B222" s="125"/>
      <c r="C222" s="125"/>
      <c r="D222" s="125"/>
      <c r="E222" s="125"/>
      <c r="F222" s="125"/>
      <c r="G222" s="125"/>
      <c r="H222" s="125"/>
      <c r="I222" s="125"/>
      <c r="J222" s="125"/>
      <c r="K222" s="125"/>
      <c r="L222" s="125"/>
      <c r="M222" s="125"/>
      <c r="N222" s="125"/>
      <c r="O222" s="125"/>
      <c r="P222" s="125"/>
      <c r="Q222" s="125"/>
      <c r="R222" s="125"/>
      <c r="S222" s="125"/>
      <c r="T222" s="125"/>
      <c r="U222" s="125"/>
      <c r="V222" s="125"/>
      <c r="W222" s="125"/>
      <c r="X222" s="125"/>
      <c r="Y222" s="125"/>
      <c r="Z222" s="125"/>
      <c r="AA222" s="125"/>
      <c r="AB222" s="125"/>
      <c r="AC222" s="125"/>
      <c r="AD222" s="125"/>
      <c r="AE222" s="125"/>
      <c r="AF222" s="125"/>
      <c r="AG222" s="125"/>
      <c r="AH222" s="125"/>
      <c r="AI222" s="125"/>
      <c r="AJ222" s="125"/>
      <c r="AK222" s="125"/>
      <c r="AL222" s="125"/>
      <c r="AM222" s="125"/>
      <c r="AN222" s="125"/>
      <c r="AO222" s="125"/>
      <c r="AP222" s="125"/>
      <c r="AQ222" s="125"/>
      <c r="AR222" s="125"/>
      <c r="AS222" s="125"/>
      <c r="AT222" s="125"/>
      <c r="AU222" s="125"/>
      <c r="AV222" s="125"/>
      <c r="AW222" s="125"/>
      <c r="AX222" s="125"/>
      <c r="AY222" s="125"/>
      <c r="AZ222" s="125"/>
      <c r="BA222" s="125"/>
      <c r="BB222" s="125"/>
      <c r="BC222" s="125"/>
      <c r="BD222" s="125"/>
      <c r="BE222" s="125"/>
      <c r="BF222" s="125"/>
    </row>
    <row r="223" spans="1:58" ht="15.75" customHeight="1">
      <c r="A223" s="125"/>
      <c r="B223" s="125"/>
      <c r="C223" s="125"/>
      <c r="D223" s="125"/>
      <c r="E223" s="125"/>
      <c r="F223" s="125"/>
      <c r="G223" s="125"/>
      <c r="H223" s="125"/>
      <c r="I223" s="125"/>
      <c r="J223" s="125"/>
      <c r="K223" s="125"/>
      <c r="L223" s="125"/>
      <c r="M223" s="125"/>
      <c r="N223" s="125"/>
      <c r="O223" s="125"/>
      <c r="P223" s="125"/>
      <c r="Q223" s="125"/>
      <c r="R223" s="125"/>
      <c r="S223" s="125"/>
      <c r="T223" s="125"/>
      <c r="U223" s="125"/>
      <c r="V223" s="125"/>
      <c r="W223" s="125"/>
      <c r="X223" s="125"/>
      <c r="Y223" s="125"/>
      <c r="Z223" s="125"/>
      <c r="AA223" s="125"/>
      <c r="AB223" s="125"/>
      <c r="AC223" s="125"/>
      <c r="AD223" s="125"/>
      <c r="AE223" s="125"/>
      <c r="AF223" s="125"/>
      <c r="AG223" s="125"/>
      <c r="AH223" s="125"/>
      <c r="AI223" s="125"/>
      <c r="AJ223" s="125"/>
      <c r="AK223" s="125"/>
      <c r="AL223" s="125"/>
      <c r="AM223" s="125"/>
      <c r="AN223" s="125"/>
      <c r="AO223" s="125"/>
      <c r="AP223" s="125"/>
      <c r="AQ223" s="125"/>
      <c r="AR223" s="125"/>
      <c r="AS223" s="125"/>
      <c r="AT223" s="125"/>
      <c r="AU223" s="125"/>
      <c r="AV223" s="125"/>
      <c r="AW223" s="125"/>
      <c r="AX223" s="125"/>
      <c r="AY223" s="125"/>
      <c r="AZ223" s="125"/>
      <c r="BA223" s="125"/>
      <c r="BB223" s="125"/>
      <c r="BC223" s="125"/>
      <c r="BD223" s="125"/>
      <c r="BE223" s="125"/>
      <c r="BF223" s="125"/>
    </row>
    <row r="224" spans="1:58" ht="15.75" customHeight="1">
      <c r="A224" s="125"/>
      <c r="B224" s="125"/>
      <c r="C224" s="125"/>
      <c r="D224" s="125"/>
      <c r="E224" s="125"/>
      <c r="F224" s="125"/>
      <c r="G224" s="125"/>
      <c r="H224" s="125"/>
      <c r="I224" s="125"/>
      <c r="J224" s="125"/>
      <c r="K224" s="125"/>
      <c r="L224" s="125"/>
      <c r="M224" s="125"/>
      <c r="N224" s="125"/>
      <c r="O224" s="125"/>
      <c r="P224" s="125"/>
      <c r="Q224" s="125"/>
      <c r="R224" s="125"/>
      <c r="S224" s="125"/>
      <c r="T224" s="125"/>
      <c r="U224" s="125"/>
      <c r="V224" s="125"/>
      <c r="W224" s="125"/>
      <c r="X224" s="125"/>
      <c r="Y224" s="125"/>
      <c r="Z224" s="125"/>
      <c r="AA224" s="125"/>
      <c r="AB224" s="125"/>
      <c r="AC224" s="125"/>
      <c r="AD224" s="125"/>
      <c r="AE224" s="125"/>
      <c r="AF224" s="125"/>
      <c r="AG224" s="125"/>
      <c r="AH224" s="125"/>
      <c r="AI224" s="125"/>
      <c r="AJ224" s="125"/>
      <c r="AK224" s="125"/>
      <c r="AL224" s="125"/>
      <c r="AM224" s="125"/>
      <c r="AN224" s="125"/>
      <c r="AO224" s="125"/>
      <c r="AP224" s="125"/>
      <c r="AQ224" s="125"/>
      <c r="AR224" s="125"/>
      <c r="AS224" s="125"/>
      <c r="AT224" s="125"/>
      <c r="AU224" s="125"/>
      <c r="AV224" s="125"/>
      <c r="AW224" s="125"/>
      <c r="AX224" s="125"/>
      <c r="AY224" s="125"/>
      <c r="AZ224" s="125"/>
      <c r="BA224" s="125"/>
      <c r="BB224" s="125"/>
      <c r="BC224" s="125"/>
      <c r="BD224" s="125"/>
      <c r="BE224" s="125"/>
      <c r="BF224" s="125"/>
    </row>
    <row r="225" spans="1:58" ht="15.75" customHeight="1">
      <c r="A225" s="125"/>
      <c r="B225" s="125"/>
      <c r="C225" s="125"/>
      <c r="D225" s="125"/>
      <c r="E225" s="125"/>
      <c r="F225" s="125"/>
      <c r="G225" s="125"/>
      <c r="H225" s="125"/>
      <c r="I225" s="125"/>
      <c r="J225" s="125"/>
      <c r="K225" s="125"/>
      <c r="L225" s="125"/>
      <c r="M225" s="125"/>
      <c r="N225" s="125"/>
      <c r="O225" s="125"/>
      <c r="P225" s="125"/>
      <c r="Q225" s="125"/>
      <c r="R225" s="125"/>
      <c r="S225" s="125"/>
      <c r="T225" s="125"/>
      <c r="U225" s="125"/>
      <c r="V225" s="125"/>
      <c r="W225" s="125"/>
      <c r="X225" s="125"/>
      <c r="Y225" s="125"/>
      <c r="Z225" s="125"/>
      <c r="AA225" s="125"/>
      <c r="AB225" s="125"/>
      <c r="AC225" s="125"/>
      <c r="AD225" s="125"/>
      <c r="AE225" s="125"/>
      <c r="AF225" s="125"/>
      <c r="AG225" s="125"/>
      <c r="AH225" s="125"/>
      <c r="AI225" s="125"/>
      <c r="AJ225" s="125"/>
      <c r="AK225" s="125"/>
      <c r="AL225" s="125"/>
      <c r="AM225" s="125"/>
      <c r="AN225" s="125"/>
      <c r="AO225" s="125"/>
      <c r="AP225" s="125"/>
      <c r="AQ225" s="125"/>
      <c r="AR225" s="125"/>
      <c r="AS225" s="125"/>
      <c r="AT225" s="125"/>
      <c r="AU225" s="125"/>
      <c r="AV225" s="125"/>
      <c r="AW225" s="125"/>
      <c r="AX225" s="125"/>
      <c r="AY225" s="125"/>
      <c r="AZ225" s="125"/>
      <c r="BA225" s="125"/>
      <c r="BB225" s="125"/>
      <c r="BC225" s="125"/>
      <c r="BD225" s="125"/>
      <c r="BE225" s="125"/>
      <c r="BF225" s="125"/>
    </row>
    <row r="226" spans="1:58" ht="15.75" customHeight="1">
      <c r="A226" s="125"/>
      <c r="B226" s="125"/>
      <c r="C226" s="125"/>
      <c r="D226" s="125"/>
      <c r="E226" s="125"/>
      <c r="F226" s="125"/>
      <c r="G226" s="125"/>
      <c r="H226" s="125"/>
      <c r="I226" s="125"/>
      <c r="J226" s="125"/>
      <c r="K226" s="125"/>
      <c r="L226" s="125"/>
      <c r="M226" s="125"/>
      <c r="N226" s="125"/>
      <c r="O226" s="125"/>
      <c r="P226" s="125"/>
      <c r="Q226" s="125"/>
      <c r="R226" s="125"/>
      <c r="S226" s="125"/>
      <c r="T226" s="125"/>
      <c r="U226" s="125"/>
      <c r="V226" s="125"/>
      <c r="W226" s="125"/>
      <c r="X226" s="125"/>
      <c r="Y226" s="125"/>
      <c r="Z226" s="125"/>
      <c r="AA226" s="125"/>
      <c r="AB226" s="125"/>
      <c r="AC226" s="125"/>
      <c r="AD226" s="125"/>
      <c r="AE226" s="125"/>
      <c r="AF226" s="125"/>
      <c r="AG226" s="125"/>
      <c r="AH226" s="125"/>
      <c r="AI226" s="125"/>
      <c r="AJ226" s="125"/>
      <c r="AK226" s="125"/>
      <c r="AL226" s="125"/>
      <c r="AM226" s="125"/>
      <c r="AN226" s="125"/>
      <c r="AO226" s="125"/>
      <c r="AP226" s="125"/>
      <c r="AQ226" s="125"/>
      <c r="AR226" s="125"/>
      <c r="AS226" s="125"/>
      <c r="AT226" s="125"/>
      <c r="AU226" s="125"/>
      <c r="AV226" s="125"/>
      <c r="AW226" s="125"/>
      <c r="AX226" s="125"/>
      <c r="AY226" s="125"/>
      <c r="AZ226" s="125"/>
      <c r="BA226" s="125"/>
      <c r="BB226" s="125"/>
      <c r="BC226" s="125"/>
      <c r="BD226" s="125"/>
      <c r="BE226" s="125"/>
      <c r="BF226" s="125"/>
    </row>
    <row r="227" spans="1:58" ht="15.75" customHeight="1">
      <c r="A227" s="125"/>
      <c r="B227" s="125"/>
      <c r="C227" s="125"/>
      <c r="D227" s="125"/>
      <c r="E227" s="125"/>
      <c r="F227" s="125"/>
      <c r="G227" s="125"/>
      <c r="H227" s="125"/>
      <c r="I227" s="125"/>
      <c r="J227" s="125"/>
      <c r="K227" s="125"/>
      <c r="L227" s="125"/>
      <c r="M227" s="125"/>
      <c r="N227" s="125"/>
      <c r="O227" s="125"/>
      <c r="P227" s="125"/>
      <c r="Q227" s="125"/>
      <c r="R227" s="125"/>
      <c r="S227" s="125"/>
      <c r="T227" s="125"/>
      <c r="U227" s="125"/>
      <c r="V227" s="125"/>
      <c r="W227" s="125"/>
      <c r="X227" s="125"/>
      <c r="Y227" s="125"/>
      <c r="Z227" s="125"/>
      <c r="AA227" s="125"/>
      <c r="AB227" s="125"/>
      <c r="AC227" s="125"/>
      <c r="AD227" s="125"/>
      <c r="AE227" s="125"/>
      <c r="AF227" s="125"/>
      <c r="AG227" s="125"/>
      <c r="AH227" s="125"/>
      <c r="AI227" s="125"/>
      <c r="AJ227" s="125"/>
      <c r="AK227" s="125"/>
      <c r="AL227" s="125"/>
      <c r="AM227" s="125"/>
      <c r="AN227" s="125"/>
      <c r="AO227" s="125"/>
      <c r="AP227" s="125"/>
      <c r="AQ227" s="125"/>
      <c r="AR227" s="125"/>
      <c r="AS227" s="125"/>
      <c r="AT227" s="125"/>
      <c r="AU227" s="125"/>
      <c r="AV227" s="125"/>
      <c r="AW227" s="125"/>
      <c r="AX227" s="125"/>
      <c r="AY227" s="125"/>
      <c r="AZ227" s="125"/>
      <c r="BA227" s="125"/>
      <c r="BB227" s="125"/>
      <c r="BC227" s="125"/>
      <c r="BD227" s="125"/>
      <c r="BE227" s="125"/>
      <c r="BF227" s="125"/>
    </row>
    <row r="228" spans="1:58" ht="15.75" customHeight="1">
      <c r="A228" s="125"/>
      <c r="B228" s="125"/>
      <c r="C228" s="125"/>
      <c r="D228" s="125"/>
      <c r="E228" s="125"/>
      <c r="F228" s="125"/>
      <c r="G228" s="125"/>
      <c r="H228" s="125"/>
      <c r="I228" s="125"/>
      <c r="J228" s="125"/>
      <c r="K228" s="125"/>
      <c r="L228" s="125"/>
      <c r="M228" s="125"/>
      <c r="N228" s="125"/>
      <c r="O228" s="125"/>
      <c r="P228" s="125"/>
      <c r="Q228" s="125"/>
      <c r="R228" s="125"/>
      <c r="S228" s="125"/>
      <c r="T228" s="125"/>
      <c r="U228" s="125"/>
      <c r="V228" s="125"/>
      <c r="W228" s="125"/>
      <c r="X228" s="125"/>
      <c r="Y228" s="125"/>
      <c r="Z228" s="125"/>
      <c r="AA228" s="125"/>
      <c r="AB228" s="125"/>
      <c r="AC228" s="125"/>
      <c r="AD228" s="125"/>
      <c r="AE228" s="125"/>
      <c r="AF228" s="125"/>
      <c r="AG228" s="125"/>
      <c r="AH228" s="125"/>
      <c r="AI228" s="125"/>
      <c r="AJ228" s="125"/>
      <c r="AK228" s="125"/>
      <c r="AL228" s="125"/>
      <c r="AM228" s="125"/>
      <c r="AN228" s="125"/>
      <c r="AO228" s="125"/>
      <c r="AP228" s="125"/>
      <c r="AQ228" s="125"/>
      <c r="AR228" s="125"/>
      <c r="AS228" s="125"/>
      <c r="AT228" s="125"/>
      <c r="AU228" s="125"/>
      <c r="AV228" s="125"/>
      <c r="AW228" s="125"/>
      <c r="AX228" s="125"/>
      <c r="AY228" s="125"/>
      <c r="AZ228" s="125"/>
      <c r="BA228" s="125"/>
      <c r="BB228" s="125"/>
      <c r="BC228" s="125"/>
      <c r="BD228" s="125"/>
      <c r="BE228" s="125"/>
      <c r="BF228" s="125"/>
    </row>
    <row r="229" spans="1:58" ht="15.75" customHeight="1">
      <c r="A229" s="125"/>
      <c r="B229" s="125"/>
      <c r="C229" s="125"/>
      <c r="D229" s="125"/>
      <c r="E229" s="125"/>
      <c r="F229" s="125"/>
      <c r="G229" s="125"/>
      <c r="H229" s="125"/>
      <c r="I229" s="125"/>
      <c r="J229" s="125"/>
      <c r="K229" s="125"/>
      <c r="L229" s="125"/>
      <c r="M229" s="125"/>
      <c r="N229" s="125"/>
      <c r="O229" s="125"/>
      <c r="P229" s="125"/>
      <c r="Q229" s="125"/>
      <c r="R229" s="125"/>
      <c r="S229" s="125"/>
      <c r="T229" s="125"/>
      <c r="U229" s="125"/>
      <c r="V229" s="125"/>
      <c r="W229" s="125"/>
      <c r="X229" s="125"/>
      <c r="Y229" s="125"/>
      <c r="Z229" s="125"/>
      <c r="AA229" s="125"/>
      <c r="AB229" s="125"/>
      <c r="AC229" s="125"/>
      <c r="AD229" s="125"/>
      <c r="AE229" s="125"/>
      <c r="AF229" s="125"/>
      <c r="AG229" s="125"/>
      <c r="AH229" s="125"/>
      <c r="AI229" s="125"/>
      <c r="AJ229" s="125"/>
      <c r="AK229" s="125"/>
      <c r="AL229" s="125"/>
      <c r="AM229" s="125"/>
      <c r="AN229" s="125"/>
      <c r="AO229" s="125"/>
      <c r="AP229" s="125"/>
      <c r="AQ229" s="125"/>
      <c r="AR229" s="125"/>
      <c r="AS229" s="125"/>
      <c r="AT229" s="125"/>
      <c r="AU229" s="125"/>
      <c r="AV229" s="125"/>
      <c r="AW229" s="125"/>
      <c r="AX229" s="125"/>
      <c r="AY229" s="125"/>
      <c r="AZ229" s="125"/>
      <c r="BA229" s="125"/>
      <c r="BB229" s="125"/>
      <c r="BC229" s="125"/>
      <c r="BD229" s="125"/>
      <c r="BE229" s="125"/>
      <c r="BF229" s="125"/>
    </row>
    <row r="230" spans="1:58" ht="15.75" customHeight="1">
      <c r="A230" s="125"/>
      <c r="B230" s="125"/>
      <c r="C230" s="125"/>
      <c r="D230" s="125"/>
      <c r="E230" s="125"/>
      <c r="F230" s="125"/>
      <c r="G230" s="125"/>
      <c r="H230" s="125"/>
      <c r="I230" s="125"/>
      <c r="J230" s="125"/>
      <c r="K230" s="125"/>
      <c r="L230" s="125"/>
      <c r="M230" s="125"/>
      <c r="N230" s="125"/>
      <c r="O230" s="125"/>
      <c r="P230" s="125"/>
      <c r="Q230" s="125"/>
      <c r="R230" s="125"/>
      <c r="S230" s="125"/>
      <c r="T230" s="125"/>
      <c r="U230" s="125"/>
      <c r="V230" s="125"/>
      <c r="W230" s="125"/>
      <c r="X230" s="125"/>
      <c r="Y230" s="125"/>
      <c r="Z230" s="125"/>
      <c r="AA230" s="125"/>
      <c r="AB230" s="125"/>
      <c r="AC230" s="125"/>
      <c r="AD230" s="125"/>
      <c r="AE230" s="125"/>
      <c r="AF230" s="125"/>
      <c r="AG230" s="125"/>
      <c r="AH230" s="125"/>
      <c r="AI230" s="125"/>
      <c r="AJ230" s="125"/>
      <c r="AK230" s="125"/>
      <c r="AL230" s="125"/>
      <c r="AM230" s="125"/>
      <c r="AN230" s="125"/>
      <c r="AO230" s="125"/>
      <c r="AP230" s="125"/>
      <c r="AQ230" s="125"/>
      <c r="AR230" s="125"/>
      <c r="AS230" s="125"/>
      <c r="AT230" s="125"/>
      <c r="AU230" s="125"/>
      <c r="AV230" s="125"/>
      <c r="AW230" s="125"/>
      <c r="AX230" s="125"/>
      <c r="AY230" s="125"/>
      <c r="AZ230" s="125"/>
      <c r="BA230" s="125"/>
      <c r="BB230" s="125"/>
      <c r="BC230" s="125"/>
      <c r="BD230" s="125"/>
      <c r="BE230" s="125"/>
      <c r="BF230" s="125"/>
    </row>
    <row r="231" spans="1:58" ht="15.75" customHeight="1">
      <c r="A231" s="125"/>
      <c r="B231" s="125"/>
      <c r="C231" s="125"/>
      <c r="D231" s="125"/>
      <c r="E231" s="125"/>
      <c r="F231" s="125"/>
      <c r="G231" s="125"/>
      <c r="H231" s="125"/>
      <c r="I231" s="125"/>
      <c r="J231" s="125"/>
      <c r="K231" s="125"/>
      <c r="L231" s="125"/>
      <c r="M231" s="125"/>
      <c r="N231" s="125"/>
      <c r="O231" s="125"/>
      <c r="P231" s="125"/>
      <c r="Q231" s="125"/>
      <c r="R231" s="125"/>
      <c r="S231" s="125"/>
      <c r="T231" s="125"/>
      <c r="U231" s="125"/>
      <c r="V231" s="125"/>
      <c r="W231" s="125"/>
      <c r="X231" s="125"/>
      <c r="Y231" s="125"/>
      <c r="Z231" s="125"/>
      <c r="AA231" s="125"/>
      <c r="AB231" s="125"/>
      <c r="AC231" s="125"/>
      <c r="AD231" s="125"/>
      <c r="AE231" s="125"/>
      <c r="AF231" s="125"/>
      <c r="AG231" s="125"/>
      <c r="AH231" s="125"/>
      <c r="AI231" s="125"/>
      <c r="AJ231" s="125"/>
      <c r="AK231" s="125"/>
      <c r="AL231" s="125"/>
      <c r="AM231" s="125"/>
      <c r="AN231" s="125"/>
      <c r="AO231" s="125"/>
      <c r="AP231" s="125"/>
      <c r="AQ231" s="125"/>
      <c r="AR231" s="125"/>
      <c r="AS231" s="125"/>
      <c r="AT231" s="125"/>
      <c r="AU231" s="125"/>
      <c r="AV231" s="125"/>
      <c r="AW231" s="125"/>
      <c r="AX231" s="125"/>
      <c r="AY231" s="125"/>
      <c r="AZ231" s="125"/>
      <c r="BA231" s="125"/>
      <c r="BB231" s="125"/>
      <c r="BC231" s="125"/>
      <c r="BD231" s="125"/>
      <c r="BE231" s="125"/>
      <c r="BF231" s="125"/>
    </row>
    <row r="232" spans="1:58" ht="15.75" customHeight="1">
      <c r="A232" s="125"/>
      <c r="B232" s="125"/>
      <c r="C232" s="125"/>
      <c r="D232" s="125"/>
      <c r="E232" s="125"/>
      <c r="F232" s="125"/>
      <c r="G232" s="125"/>
      <c r="H232" s="125"/>
      <c r="I232" s="125"/>
      <c r="J232" s="125"/>
      <c r="K232" s="125"/>
      <c r="L232" s="125"/>
      <c r="M232" s="125"/>
      <c r="N232" s="125"/>
      <c r="O232" s="125"/>
      <c r="P232" s="125"/>
      <c r="Q232" s="125"/>
      <c r="R232" s="125"/>
      <c r="S232" s="125"/>
      <c r="T232" s="125"/>
      <c r="U232" s="125"/>
      <c r="V232" s="125"/>
      <c r="W232" s="125"/>
      <c r="X232" s="125"/>
      <c r="Y232" s="125"/>
      <c r="Z232" s="125"/>
      <c r="AA232" s="125"/>
      <c r="AB232" s="125"/>
      <c r="AC232" s="125"/>
      <c r="AD232" s="125"/>
      <c r="AE232" s="125"/>
      <c r="AF232" s="125"/>
      <c r="AG232" s="125"/>
      <c r="AH232" s="125"/>
      <c r="AI232" s="125"/>
      <c r="AJ232" s="125"/>
      <c r="AK232" s="125"/>
      <c r="AL232" s="125"/>
      <c r="AM232" s="125"/>
      <c r="AN232" s="125"/>
      <c r="AO232" s="125"/>
      <c r="AP232" s="125"/>
      <c r="AQ232" s="125"/>
      <c r="AR232" s="125"/>
      <c r="AS232" s="125"/>
      <c r="AT232" s="125"/>
      <c r="AU232" s="125"/>
      <c r="AV232" s="125"/>
      <c r="AW232" s="125"/>
      <c r="AX232" s="125"/>
      <c r="AY232" s="125"/>
      <c r="AZ232" s="125"/>
      <c r="BA232" s="125"/>
      <c r="BB232" s="125"/>
      <c r="BC232" s="125"/>
      <c r="BD232" s="125"/>
      <c r="BE232" s="125"/>
      <c r="BF232" s="125"/>
    </row>
    <row r="233" spans="1:58" ht="15.75" customHeight="1">
      <c r="A233" s="125"/>
      <c r="B233" s="125"/>
      <c r="C233" s="125"/>
      <c r="D233" s="125"/>
      <c r="E233" s="125"/>
      <c r="F233" s="125"/>
      <c r="G233" s="125"/>
      <c r="H233" s="125"/>
      <c r="I233" s="125"/>
      <c r="J233" s="125"/>
      <c r="K233" s="125"/>
      <c r="L233" s="125"/>
      <c r="M233" s="125"/>
      <c r="N233" s="125"/>
      <c r="O233" s="125"/>
      <c r="P233" s="125"/>
      <c r="Q233" s="125"/>
      <c r="R233" s="125"/>
      <c r="S233" s="125"/>
      <c r="T233" s="125"/>
      <c r="U233" s="125"/>
      <c r="V233" s="125"/>
      <c r="W233" s="125"/>
      <c r="X233" s="125"/>
      <c r="Y233" s="125"/>
      <c r="Z233" s="125"/>
      <c r="AA233" s="125"/>
      <c r="AB233" s="125"/>
      <c r="AC233" s="125"/>
      <c r="AD233" s="125"/>
      <c r="AE233" s="125"/>
      <c r="AF233" s="125"/>
      <c r="AG233" s="125"/>
      <c r="AH233" s="125"/>
      <c r="AI233" s="125"/>
      <c r="AJ233" s="125"/>
      <c r="AK233" s="125"/>
      <c r="AL233" s="125"/>
      <c r="AM233" s="125"/>
      <c r="AN233" s="125"/>
      <c r="AO233" s="125"/>
      <c r="AP233" s="125"/>
      <c r="AQ233" s="125"/>
      <c r="AR233" s="125"/>
      <c r="AS233" s="125"/>
      <c r="AT233" s="125"/>
      <c r="AU233" s="125"/>
      <c r="AV233" s="125"/>
      <c r="AW233" s="125"/>
      <c r="AX233" s="125"/>
      <c r="AY233" s="125"/>
      <c r="AZ233" s="125"/>
      <c r="BA233" s="125"/>
      <c r="BB233" s="125"/>
      <c r="BC233" s="125"/>
      <c r="BD233" s="125"/>
      <c r="BE233" s="125"/>
      <c r="BF233" s="125"/>
    </row>
    <row r="234" spans="1:58" ht="15.75" customHeight="1">
      <c r="A234" s="125"/>
      <c r="B234" s="125"/>
      <c r="C234" s="125"/>
      <c r="D234" s="125"/>
      <c r="E234" s="125"/>
      <c r="F234" s="125"/>
      <c r="G234" s="125"/>
      <c r="H234" s="125"/>
      <c r="I234" s="125"/>
      <c r="J234" s="125"/>
      <c r="K234" s="125"/>
      <c r="L234" s="125"/>
      <c r="M234" s="125"/>
      <c r="N234" s="125"/>
      <c r="O234" s="125"/>
      <c r="P234" s="125"/>
      <c r="Q234" s="125"/>
      <c r="R234" s="125"/>
      <c r="S234" s="125"/>
      <c r="T234" s="125"/>
      <c r="U234" s="125"/>
      <c r="V234" s="125"/>
      <c r="W234" s="125"/>
      <c r="X234" s="125"/>
      <c r="Y234" s="125"/>
      <c r="Z234" s="125"/>
      <c r="AA234" s="125"/>
      <c r="AB234" s="125"/>
      <c r="AC234" s="125"/>
      <c r="AD234" s="125"/>
      <c r="AE234" s="125"/>
      <c r="AF234" s="125"/>
      <c r="AG234" s="125"/>
      <c r="AH234" s="125"/>
      <c r="AI234" s="125"/>
      <c r="AJ234" s="125"/>
      <c r="AK234" s="125"/>
      <c r="AL234" s="125"/>
      <c r="AM234" s="125"/>
      <c r="AN234" s="125"/>
      <c r="AO234" s="125"/>
      <c r="AP234" s="125"/>
      <c r="AQ234" s="125"/>
      <c r="AR234" s="125"/>
      <c r="AS234" s="125"/>
      <c r="AT234" s="125"/>
      <c r="AU234" s="125"/>
      <c r="AV234" s="125"/>
      <c r="AW234" s="125"/>
      <c r="AX234" s="125"/>
      <c r="AY234" s="125"/>
      <c r="AZ234" s="125"/>
      <c r="BA234" s="125"/>
      <c r="BB234" s="125"/>
      <c r="BC234" s="125"/>
      <c r="BD234" s="125"/>
      <c r="BE234" s="125"/>
      <c r="BF234" s="125"/>
    </row>
    <row r="235" spans="1:58" ht="15.75" customHeight="1">
      <c r="A235" s="125"/>
      <c r="B235" s="125"/>
      <c r="C235" s="125"/>
      <c r="D235" s="125"/>
      <c r="E235" s="125"/>
      <c r="F235" s="125"/>
      <c r="G235" s="125"/>
      <c r="H235" s="125"/>
      <c r="I235" s="125"/>
      <c r="J235" s="125"/>
      <c r="K235" s="125"/>
      <c r="L235" s="125"/>
      <c r="M235" s="125"/>
      <c r="N235" s="125"/>
      <c r="O235" s="125"/>
      <c r="P235" s="125"/>
      <c r="Q235" s="125"/>
      <c r="R235" s="125"/>
      <c r="S235" s="125"/>
      <c r="T235" s="125"/>
      <c r="U235" s="125"/>
      <c r="V235" s="125"/>
      <c r="W235" s="125"/>
      <c r="X235" s="125"/>
      <c r="Y235" s="125"/>
      <c r="Z235" s="125"/>
      <c r="AA235" s="125"/>
      <c r="AB235" s="125"/>
      <c r="AC235" s="125"/>
      <c r="AD235" s="125"/>
      <c r="AE235" s="125"/>
      <c r="AF235" s="125"/>
      <c r="AG235" s="125"/>
      <c r="AH235" s="125"/>
      <c r="AI235" s="125"/>
      <c r="AJ235" s="125"/>
      <c r="AK235" s="125"/>
      <c r="AL235" s="125"/>
      <c r="AM235" s="125"/>
      <c r="AN235" s="125"/>
      <c r="AO235" s="125"/>
      <c r="AP235" s="125"/>
      <c r="AQ235" s="125"/>
      <c r="AR235" s="125"/>
      <c r="AS235" s="125"/>
      <c r="AT235" s="125"/>
      <c r="AU235" s="125"/>
      <c r="AV235" s="125"/>
      <c r="AW235" s="125"/>
      <c r="AX235" s="125"/>
      <c r="AY235" s="125"/>
      <c r="AZ235" s="125"/>
      <c r="BA235" s="125"/>
      <c r="BB235" s="125"/>
      <c r="BC235" s="125"/>
      <c r="BD235" s="125"/>
      <c r="BE235" s="125"/>
      <c r="BF235" s="125"/>
    </row>
    <row r="236" spans="1:58" ht="15.75" customHeight="1">
      <c r="A236" s="125"/>
      <c r="B236" s="125"/>
      <c r="C236" s="125"/>
      <c r="D236" s="125"/>
      <c r="E236" s="125"/>
      <c r="F236" s="125"/>
      <c r="G236" s="125"/>
      <c r="H236" s="125"/>
      <c r="I236" s="125"/>
      <c r="J236" s="125"/>
      <c r="K236" s="125"/>
      <c r="L236" s="125"/>
      <c r="M236" s="125"/>
      <c r="N236" s="125"/>
      <c r="O236" s="125"/>
      <c r="P236" s="125"/>
      <c r="Q236" s="125"/>
      <c r="R236" s="125"/>
      <c r="S236" s="125"/>
      <c r="T236" s="125"/>
      <c r="U236" s="125"/>
      <c r="V236" s="125"/>
      <c r="W236" s="125"/>
      <c r="X236" s="125"/>
      <c r="Y236" s="125"/>
      <c r="Z236" s="125"/>
      <c r="AA236" s="125"/>
      <c r="AB236" s="125"/>
      <c r="AC236" s="125"/>
      <c r="AD236" s="125"/>
      <c r="AE236" s="125"/>
      <c r="AF236" s="125"/>
      <c r="AG236" s="125"/>
      <c r="AH236" s="125"/>
      <c r="AI236" s="125"/>
      <c r="AJ236" s="125"/>
      <c r="AK236" s="125"/>
      <c r="AL236" s="125"/>
      <c r="AM236" s="125"/>
      <c r="AN236" s="125"/>
      <c r="AO236" s="125"/>
      <c r="AP236" s="125"/>
      <c r="AQ236" s="125"/>
      <c r="AR236" s="125"/>
      <c r="AS236" s="125"/>
      <c r="AT236" s="125"/>
      <c r="AU236" s="125"/>
      <c r="AV236" s="125"/>
      <c r="AW236" s="125"/>
      <c r="AX236" s="125"/>
      <c r="AY236" s="125"/>
      <c r="AZ236" s="125"/>
      <c r="BA236" s="125"/>
      <c r="BB236" s="125"/>
      <c r="BC236" s="125"/>
      <c r="BD236" s="125"/>
      <c r="BE236" s="125"/>
      <c r="BF236" s="125"/>
    </row>
    <row r="237" spans="1:58" ht="15.75" customHeight="1">
      <c r="A237" s="125"/>
      <c r="B237" s="125"/>
      <c r="C237" s="125"/>
      <c r="D237" s="125"/>
      <c r="E237" s="125"/>
      <c r="F237" s="125"/>
      <c r="G237" s="125"/>
      <c r="H237" s="125"/>
      <c r="I237" s="125"/>
      <c r="J237" s="125"/>
      <c r="K237" s="125"/>
      <c r="L237" s="125"/>
      <c r="M237" s="125"/>
      <c r="N237" s="125"/>
      <c r="O237" s="125"/>
      <c r="P237" s="125"/>
      <c r="Q237" s="125"/>
      <c r="R237" s="125"/>
      <c r="S237" s="125"/>
      <c r="T237" s="125"/>
      <c r="U237" s="125"/>
      <c r="V237" s="125"/>
      <c r="W237" s="125"/>
      <c r="X237" s="125"/>
      <c r="Y237" s="125"/>
      <c r="Z237" s="125"/>
      <c r="AA237" s="125"/>
      <c r="AB237" s="125"/>
      <c r="AC237" s="125"/>
      <c r="AD237" s="125"/>
      <c r="AE237" s="125"/>
      <c r="AF237" s="125"/>
      <c r="AG237" s="125"/>
      <c r="AH237" s="125"/>
      <c r="AI237" s="125"/>
      <c r="AJ237" s="125"/>
      <c r="AK237" s="125"/>
      <c r="AL237" s="125"/>
      <c r="AM237" s="125"/>
      <c r="AN237" s="125"/>
      <c r="AO237" s="125"/>
      <c r="AP237" s="125"/>
      <c r="AQ237" s="125"/>
      <c r="AR237" s="125"/>
      <c r="AS237" s="125"/>
      <c r="AT237" s="125"/>
      <c r="AU237" s="125"/>
      <c r="AV237" s="125"/>
      <c r="AW237" s="125"/>
      <c r="AX237" s="125"/>
      <c r="AY237" s="125"/>
      <c r="AZ237" s="125"/>
      <c r="BA237" s="125"/>
      <c r="BB237" s="125"/>
      <c r="BC237" s="125"/>
      <c r="BD237" s="125"/>
      <c r="BE237" s="125"/>
      <c r="BF237" s="125"/>
    </row>
    <row r="238" spans="1:58" ht="15.75" customHeight="1">
      <c r="A238" s="125"/>
      <c r="B238" s="125"/>
      <c r="C238" s="125"/>
      <c r="D238" s="125"/>
      <c r="E238" s="125"/>
      <c r="F238" s="125"/>
      <c r="G238" s="125"/>
      <c r="H238" s="125"/>
      <c r="I238" s="125"/>
      <c r="J238" s="125"/>
      <c r="K238" s="125"/>
      <c r="L238" s="125"/>
      <c r="M238" s="125"/>
      <c r="N238" s="125"/>
      <c r="O238" s="125"/>
      <c r="P238" s="125"/>
      <c r="Q238" s="125"/>
      <c r="R238" s="125"/>
      <c r="S238" s="125"/>
      <c r="T238" s="125"/>
      <c r="U238" s="125"/>
      <c r="V238" s="125"/>
      <c r="W238" s="125"/>
      <c r="X238" s="125"/>
      <c r="Y238" s="125"/>
      <c r="Z238" s="125"/>
      <c r="AA238" s="125"/>
      <c r="AB238" s="125"/>
      <c r="AC238" s="125"/>
      <c r="AD238" s="125"/>
      <c r="AE238" s="125"/>
      <c r="AF238" s="125"/>
      <c r="AG238" s="125"/>
      <c r="AH238" s="125"/>
      <c r="AI238" s="125"/>
      <c r="AJ238" s="125"/>
      <c r="AK238" s="125"/>
      <c r="AL238" s="125"/>
      <c r="AM238" s="125"/>
      <c r="AN238" s="125"/>
      <c r="AO238" s="125"/>
      <c r="AP238" s="125"/>
      <c r="AQ238" s="125"/>
      <c r="AR238" s="125"/>
      <c r="AS238" s="125"/>
      <c r="AT238" s="125"/>
      <c r="AU238" s="125"/>
      <c r="AV238" s="125"/>
      <c r="AW238" s="125"/>
      <c r="AX238" s="125"/>
      <c r="AY238" s="125"/>
      <c r="AZ238" s="125"/>
      <c r="BA238" s="125"/>
      <c r="BB238" s="125"/>
      <c r="BC238" s="125"/>
      <c r="BD238" s="125"/>
      <c r="BE238" s="125"/>
      <c r="BF238" s="125"/>
    </row>
    <row r="239" spans="1:58" ht="15.75" customHeight="1">
      <c r="A239" s="125"/>
      <c r="B239" s="125"/>
      <c r="C239" s="125"/>
      <c r="D239" s="125"/>
      <c r="E239" s="125"/>
      <c r="F239" s="125"/>
      <c r="G239" s="125"/>
      <c r="H239" s="125"/>
      <c r="I239" s="125"/>
      <c r="J239" s="125"/>
      <c r="K239" s="125"/>
      <c r="L239" s="125"/>
      <c r="M239" s="125"/>
      <c r="N239" s="125"/>
      <c r="O239" s="125"/>
      <c r="P239" s="125"/>
      <c r="Q239" s="125"/>
      <c r="R239" s="125"/>
      <c r="S239" s="125"/>
      <c r="T239" s="125"/>
      <c r="U239" s="125"/>
      <c r="V239" s="125"/>
      <c r="W239" s="125"/>
      <c r="X239" s="125"/>
      <c r="Y239" s="125"/>
      <c r="Z239" s="125"/>
      <c r="AA239" s="125"/>
      <c r="AB239" s="125"/>
      <c r="AC239" s="125"/>
      <c r="AD239" s="125"/>
      <c r="AE239" s="125"/>
      <c r="AF239" s="125"/>
      <c r="AG239" s="125"/>
      <c r="AH239" s="125"/>
      <c r="AI239" s="125"/>
      <c r="AJ239" s="125"/>
      <c r="AK239" s="125"/>
      <c r="AL239" s="125"/>
      <c r="AM239" s="125"/>
      <c r="AN239" s="125"/>
      <c r="AO239" s="125"/>
      <c r="AP239" s="125"/>
      <c r="AQ239" s="125"/>
      <c r="AR239" s="125"/>
      <c r="AS239" s="125"/>
      <c r="AT239" s="125"/>
      <c r="AU239" s="125"/>
      <c r="AV239" s="125"/>
      <c r="AW239" s="125"/>
      <c r="AX239" s="125"/>
      <c r="AY239" s="125"/>
      <c r="AZ239" s="125"/>
      <c r="BA239" s="125"/>
      <c r="BB239" s="125"/>
      <c r="BC239" s="125"/>
      <c r="BD239" s="125"/>
      <c r="BE239" s="125"/>
      <c r="BF239" s="125"/>
    </row>
    <row r="240" spans="1:58" ht="15.75" customHeight="1">
      <c r="A240" s="125"/>
      <c r="B240" s="125"/>
      <c r="C240" s="125"/>
      <c r="D240" s="125"/>
      <c r="E240" s="125"/>
      <c r="F240" s="125"/>
      <c r="G240" s="125"/>
      <c r="H240" s="125"/>
      <c r="I240" s="125"/>
      <c r="J240" s="125"/>
      <c r="K240" s="125"/>
      <c r="L240" s="125"/>
      <c r="M240" s="125"/>
      <c r="N240" s="125"/>
      <c r="O240" s="125"/>
      <c r="P240" s="125"/>
      <c r="Q240" s="125"/>
      <c r="R240" s="125"/>
      <c r="S240" s="125"/>
      <c r="T240" s="125"/>
      <c r="U240" s="125"/>
      <c r="V240" s="125"/>
      <c r="W240" s="125"/>
      <c r="X240" s="125"/>
      <c r="Y240" s="125"/>
      <c r="Z240" s="125"/>
      <c r="AA240" s="125"/>
      <c r="AB240" s="125"/>
      <c r="AC240" s="125"/>
      <c r="AD240" s="125"/>
      <c r="AE240" s="125"/>
      <c r="AF240" s="125"/>
      <c r="AG240" s="125"/>
      <c r="AH240" s="125"/>
      <c r="AI240" s="125"/>
      <c r="AJ240" s="125"/>
      <c r="AK240" s="125"/>
      <c r="AL240" s="125"/>
      <c r="AM240" s="125"/>
      <c r="AN240" s="125"/>
      <c r="AO240" s="125"/>
      <c r="AP240" s="125"/>
      <c r="AQ240" s="125"/>
      <c r="AR240" s="125"/>
      <c r="AS240" s="125"/>
      <c r="AT240" s="125"/>
      <c r="AU240" s="125"/>
      <c r="AV240" s="125"/>
      <c r="AW240" s="125"/>
      <c r="AX240" s="125"/>
      <c r="AY240" s="125"/>
      <c r="AZ240" s="125"/>
      <c r="BA240" s="125"/>
      <c r="BB240" s="125"/>
      <c r="BC240" s="125"/>
      <c r="BD240" s="125"/>
      <c r="BE240" s="125"/>
      <c r="BF240" s="125"/>
    </row>
    <row r="241" spans="1:58" ht="15.75" customHeight="1">
      <c r="A241" s="125"/>
      <c r="B241" s="125"/>
      <c r="C241" s="125"/>
      <c r="D241" s="125"/>
      <c r="E241" s="125"/>
      <c r="F241" s="125"/>
      <c r="G241" s="125"/>
      <c r="H241" s="125"/>
      <c r="I241" s="125"/>
      <c r="J241" s="125"/>
      <c r="K241" s="125"/>
      <c r="L241" s="125"/>
      <c r="M241" s="125"/>
      <c r="N241" s="125"/>
      <c r="O241" s="125"/>
      <c r="P241" s="125"/>
      <c r="Q241" s="125"/>
      <c r="R241" s="125"/>
      <c r="S241" s="125"/>
      <c r="T241" s="125"/>
      <c r="U241" s="125"/>
      <c r="V241" s="125"/>
      <c r="W241" s="125"/>
      <c r="X241" s="125"/>
      <c r="Y241" s="125"/>
      <c r="Z241" s="125"/>
      <c r="AA241" s="125"/>
      <c r="AB241" s="125"/>
      <c r="AC241" s="125"/>
      <c r="AD241" s="125"/>
      <c r="AE241" s="125"/>
      <c r="AF241" s="125"/>
      <c r="AG241" s="125"/>
      <c r="AH241" s="125"/>
      <c r="AI241" s="125"/>
      <c r="AJ241" s="125"/>
      <c r="AK241" s="125"/>
      <c r="AL241" s="125"/>
      <c r="AM241" s="125"/>
      <c r="AN241" s="125"/>
      <c r="AO241" s="125"/>
      <c r="AP241" s="125"/>
      <c r="AQ241" s="125"/>
      <c r="AR241" s="125"/>
      <c r="AS241" s="125"/>
      <c r="AT241" s="125"/>
      <c r="AU241" s="125"/>
      <c r="AV241" s="125"/>
      <c r="AW241" s="125"/>
      <c r="AX241" s="125"/>
      <c r="AY241" s="125"/>
      <c r="AZ241" s="125"/>
      <c r="BA241" s="125"/>
      <c r="BB241" s="125"/>
      <c r="BC241" s="125"/>
      <c r="BD241" s="125"/>
      <c r="BE241" s="125"/>
      <c r="BF241" s="125"/>
    </row>
    <row r="242" spans="1:58" ht="15.75" customHeight="1">
      <c r="A242" s="125"/>
      <c r="B242" s="125"/>
      <c r="C242" s="125"/>
      <c r="D242" s="125"/>
      <c r="E242" s="125"/>
      <c r="F242" s="125"/>
      <c r="G242" s="125"/>
      <c r="H242" s="125"/>
      <c r="I242" s="125"/>
      <c r="J242" s="125"/>
      <c r="K242" s="125"/>
      <c r="L242" s="125"/>
      <c r="M242" s="125"/>
      <c r="N242" s="125"/>
      <c r="O242" s="125"/>
      <c r="P242" s="125"/>
      <c r="Q242" s="125"/>
      <c r="R242" s="125"/>
      <c r="S242" s="125"/>
      <c r="T242" s="125"/>
      <c r="U242" s="125"/>
      <c r="V242" s="125"/>
      <c r="W242" s="125"/>
      <c r="X242" s="125"/>
      <c r="Y242" s="125"/>
      <c r="Z242" s="125"/>
      <c r="AA242" s="125"/>
      <c r="AB242" s="125"/>
      <c r="AC242" s="125"/>
      <c r="AD242" s="125"/>
      <c r="AE242" s="125"/>
      <c r="AF242" s="125"/>
      <c r="AG242" s="125"/>
      <c r="AH242" s="125"/>
      <c r="AI242" s="125"/>
      <c r="AJ242" s="125"/>
      <c r="AK242" s="125"/>
      <c r="AL242" s="125"/>
      <c r="AM242" s="125"/>
      <c r="AN242" s="125"/>
      <c r="AO242" s="125"/>
      <c r="AP242" s="125"/>
      <c r="AQ242" s="125"/>
      <c r="AR242" s="125"/>
      <c r="AS242" s="125"/>
      <c r="AT242" s="125"/>
      <c r="AU242" s="125"/>
      <c r="AV242" s="125"/>
      <c r="AW242" s="125"/>
      <c r="AX242" s="125"/>
      <c r="AY242" s="125"/>
      <c r="AZ242" s="125"/>
      <c r="BA242" s="125"/>
      <c r="BB242" s="125"/>
      <c r="BC242" s="125"/>
      <c r="BD242" s="125"/>
      <c r="BE242" s="125"/>
      <c r="BF242" s="125"/>
    </row>
    <row r="243" spans="1:58" ht="15.75" customHeight="1">
      <c r="A243" s="125"/>
      <c r="B243" s="125"/>
      <c r="C243" s="125"/>
      <c r="D243" s="125"/>
      <c r="E243" s="125"/>
      <c r="F243" s="125"/>
      <c r="G243" s="125"/>
      <c r="H243" s="125"/>
      <c r="I243" s="125"/>
      <c r="J243" s="125"/>
      <c r="K243" s="125"/>
      <c r="L243" s="125"/>
      <c r="M243" s="125"/>
      <c r="N243" s="125"/>
      <c r="O243" s="125"/>
      <c r="P243" s="125"/>
      <c r="Q243" s="125"/>
      <c r="R243" s="125"/>
      <c r="S243" s="125"/>
      <c r="T243" s="125"/>
      <c r="U243" s="125"/>
      <c r="V243" s="125"/>
      <c r="W243" s="125"/>
      <c r="X243" s="125"/>
      <c r="Y243" s="125"/>
      <c r="Z243" s="125"/>
      <c r="AA243" s="125"/>
      <c r="AB243" s="125"/>
      <c r="AC243" s="125"/>
      <c r="AD243" s="125"/>
      <c r="AE243" s="125"/>
      <c r="AF243" s="125"/>
      <c r="AG243" s="125"/>
      <c r="AH243" s="125"/>
      <c r="AI243" s="125"/>
      <c r="AJ243" s="125"/>
      <c r="AK243" s="125"/>
      <c r="AL243" s="125"/>
      <c r="AM243" s="125"/>
      <c r="AN243" s="125"/>
      <c r="AO243" s="125"/>
      <c r="AP243" s="125"/>
      <c r="AQ243" s="125"/>
      <c r="AR243" s="125"/>
      <c r="AS243" s="125"/>
      <c r="AT243" s="125"/>
      <c r="AU243" s="125"/>
      <c r="AV243" s="125"/>
      <c r="AW243" s="125"/>
      <c r="AX243" s="125"/>
      <c r="AY243" s="125"/>
      <c r="AZ243" s="125"/>
      <c r="BA243" s="125"/>
      <c r="BB243" s="125"/>
      <c r="BC243" s="125"/>
      <c r="BD243" s="125"/>
      <c r="BE243" s="125"/>
      <c r="BF243" s="125"/>
    </row>
    <row r="244" spans="1:58" ht="15.75" customHeight="1">
      <c r="A244" s="125"/>
      <c r="B244" s="125"/>
      <c r="C244" s="125"/>
      <c r="D244" s="125"/>
      <c r="E244" s="125"/>
      <c r="F244" s="125"/>
      <c r="G244" s="125"/>
      <c r="H244" s="125"/>
      <c r="I244" s="125"/>
      <c r="J244" s="125"/>
      <c r="K244" s="125"/>
      <c r="L244" s="125"/>
      <c r="M244" s="125"/>
      <c r="N244" s="125"/>
      <c r="O244" s="125"/>
      <c r="P244" s="125"/>
      <c r="Q244" s="125"/>
      <c r="R244" s="125"/>
      <c r="S244" s="125"/>
      <c r="T244" s="125"/>
      <c r="U244" s="125"/>
      <c r="V244" s="125"/>
      <c r="W244" s="125"/>
      <c r="X244" s="125"/>
      <c r="Y244" s="125"/>
      <c r="Z244" s="125"/>
      <c r="AA244" s="125"/>
      <c r="AB244" s="125"/>
      <c r="AC244" s="125"/>
      <c r="AD244" s="125"/>
      <c r="AE244" s="125"/>
      <c r="AF244" s="125"/>
      <c r="AG244" s="125"/>
      <c r="AH244" s="125"/>
      <c r="AI244" s="125"/>
      <c r="AJ244" s="125"/>
      <c r="AK244" s="125"/>
      <c r="AL244" s="125"/>
      <c r="AM244" s="125"/>
      <c r="AN244" s="125"/>
      <c r="AO244" s="125"/>
      <c r="AP244" s="125"/>
      <c r="AQ244" s="125"/>
      <c r="AR244" s="125"/>
      <c r="AS244" s="125"/>
      <c r="AT244" s="125"/>
      <c r="AU244" s="125"/>
      <c r="AV244" s="125"/>
      <c r="AW244" s="125"/>
      <c r="AX244" s="125"/>
      <c r="AY244" s="125"/>
      <c r="AZ244" s="125"/>
      <c r="BA244" s="125"/>
      <c r="BB244" s="125"/>
      <c r="BC244" s="125"/>
      <c r="BD244" s="125"/>
      <c r="BE244" s="125"/>
      <c r="BF244" s="125"/>
    </row>
    <row r="245" spans="1:58" ht="15.75" customHeight="1">
      <c r="A245" s="125"/>
      <c r="B245" s="125"/>
      <c r="C245" s="125"/>
      <c r="D245" s="125"/>
      <c r="E245" s="125"/>
      <c r="F245" s="125"/>
      <c r="G245" s="125"/>
      <c r="H245" s="125"/>
      <c r="I245" s="125"/>
      <c r="J245" s="125"/>
      <c r="K245" s="125"/>
      <c r="L245" s="125"/>
      <c r="M245" s="125"/>
      <c r="N245" s="125"/>
      <c r="O245" s="125"/>
      <c r="P245" s="125"/>
      <c r="Q245" s="125"/>
      <c r="R245" s="125"/>
      <c r="S245" s="125"/>
      <c r="T245" s="125"/>
      <c r="U245" s="125"/>
      <c r="V245" s="125"/>
      <c r="W245" s="125"/>
      <c r="X245" s="125"/>
      <c r="Y245" s="125"/>
      <c r="Z245" s="125"/>
      <c r="AA245" s="125"/>
      <c r="AB245" s="125"/>
      <c r="AC245" s="125"/>
      <c r="AD245" s="125"/>
      <c r="AE245" s="125"/>
      <c r="AF245" s="125"/>
      <c r="AG245" s="125"/>
      <c r="AH245" s="125"/>
      <c r="AI245" s="125"/>
      <c r="AJ245" s="125"/>
      <c r="AK245" s="125"/>
      <c r="AL245" s="125"/>
      <c r="AM245" s="125"/>
      <c r="AN245" s="125"/>
      <c r="AO245" s="125"/>
      <c r="AP245" s="125"/>
      <c r="AQ245" s="125"/>
      <c r="AR245" s="125"/>
      <c r="AS245" s="125"/>
      <c r="AT245" s="125"/>
      <c r="AU245" s="125"/>
      <c r="AV245" s="125"/>
      <c r="AW245" s="125"/>
      <c r="AX245" s="125"/>
      <c r="AY245" s="125"/>
      <c r="AZ245" s="125"/>
      <c r="BA245" s="125"/>
      <c r="BB245" s="125"/>
      <c r="BC245" s="125"/>
      <c r="BD245" s="125"/>
      <c r="BE245" s="125"/>
      <c r="BF245" s="125"/>
    </row>
    <row r="246" spans="1:58" ht="15.75" customHeight="1">
      <c r="A246" s="125"/>
      <c r="B246" s="125"/>
      <c r="C246" s="125"/>
      <c r="D246" s="125"/>
      <c r="E246" s="125"/>
      <c r="F246" s="125"/>
      <c r="G246" s="125"/>
      <c r="H246" s="125"/>
      <c r="I246" s="125"/>
      <c r="J246" s="125"/>
      <c r="K246" s="125"/>
      <c r="L246" s="125"/>
      <c r="M246" s="125"/>
      <c r="N246" s="125"/>
      <c r="O246" s="125"/>
      <c r="P246" s="125"/>
      <c r="Q246" s="125"/>
      <c r="R246" s="125"/>
      <c r="S246" s="125"/>
      <c r="T246" s="125"/>
      <c r="U246" s="125"/>
      <c r="V246" s="125"/>
      <c r="W246" s="125"/>
      <c r="X246" s="125"/>
      <c r="Y246" s="125"/>
      <c r="Z246" s="125"/>
      <c r="AA246" s="125"/>
      <c r="AB246" s="125"/>
      <c r="AC246" s="125"/>
      <c r="AD246" s="125"/>
      <c r="AE246" s="125"/>
      <c r="AF246" s="125"/>
      <c r="AG246" s="125"/>
      <c r="AH246" s="125"/>
      <c r="AI246" s="125"/>
      <c r="AJ246" s="125"/>
      <c r="AK246" s="125"/>
      <c r="AL246" s="125"/>
      <c r="AM246" s="125"/>
      <c r="AN246" s="125"/>
      <c r="AO246" s="125"/>
      <c r="AP246" s="125"/>
      <c r="AQ246" s="125"/>
      <c r="AR246" s="125"/>
      <c r="AS246" s="125"/>
      <c r="AT246" s="125"/>
      <c r="AU246" s="125"/>
      <c r="AV246" s="125"/>
      <c r="AW246" s="125"/>
      <c r="AX246" s="125"/>
      <c r="AY246" s="125"/>
      <c r="AZ246" s="125"/>
      <c r="BA246" s="125"/>
      <c r="BB246" s="125"/>
      <c r="BC246" s="125"/>
      <c r="BD246" s="125"/>
      <c r="BE246" s="125"/>
      <c r="BF246" s="125"/>
    </row>
    <row r="247" spans="1:58" ht="15.75" customHeight="1">
      <c r="A247" s="125"/>
      <c r="B247" s="125"/>
      <c r="C247" s="125"/>
      <c r="D247" s="125"/>
      <c r="E247" s="125"/>
      <c r="F247" s="125"/>
      <c r="G247" s="125"/>
      <c r="H247" s="125"/>
      <c r="I247" s="125"/>
      <c r="J247" s="125"/>
      <c r="K247" s="125"/>
      <c r="L247" s="125"/>
      <c r="M247" s="125"/>
      <c r="N247" s="125"/>
      <c r="O247" s="125"/>
      <c r="P247" s="125"/>
      <c r="Q247" s="125"/>
      <c r="R247" s="125"/>
      <c r="S247" s="125"/>
      <c r="T247" s="125"/>
      <c r="U247" s="125"/>
      <c r="V247" s="125"/>
      <c r="W247" s="125"/>
      <c r="X247" s="125"/>
      <c r="Y247" s="125"/>
      <c r="Z247" s="125"/>
      <c r="AA247" s="125"/>
      <c r="AB247" s="125"/>
      <c r="AC247" s="125"/>
      <c r="AD247" s="125"/>
      <c r="AE247" s="125"/>
      <c r="AF247" s="125"/>
      <c r="AG247" s="125"/>
      <c r="AH247" s="125"/>
      <c r="AI247" s="125"/>
      <c r="AJ247" s="125"/>
      <c r="AK247" s="125"/>
      <c r="AL247" s="125"/>
      <c r="AM247" s="125"/>
      <c r="AN247" s="125"/>
      <c r="AO247" s="125"/>
      <c r="AP247" s="125"/>
      <c r="AQ247" s="125"/>
      <c r="AR247" s="125"/>
      <c r="AS247" s="125"/>
      <c r="AT247" s="125"/>
      <c r="AU247" s="125"/>
      <c r="AV247" s="125"/>
      <c r="AW247" s="125"/>
      <c r="AX247" s="125"/>
      <c r="AY247" s="125"/>
      <c r="AZ247" s="125"/>
      <c r="BA247" s="125"/>
      <c r="BB247" s="125"/>
      <c r="BC247" s="125"/>
      <c r="BD247" s="125"/>
      <c r="BE247" s="125"/>
      <c r="BF247" s="125"/>
    </row>
    <row r="248" spans="1:58" ht="15.75" customHeight="1">
      <c r="A248" s="125"/>
      <c r="B248" s="125"/>
      <c r="C248" s="125"/>
      <c r="D248" s="125"/>
      <c r="E248" s="125"/>
      <c r="F248" s="125"/>
      <c r="G248" s="125"/>
      <c r="H248" s="125"/>
      <c r="I248" s="125"/>
      <c r="J248" s="125"/>
      <c r="K248" s="125"/>
      <c r="L248" s="125"/>
      <c r="M248" s="125"/>
      <c r="N248" s="125"/>
      <c r="O248" s="125"/>
      <c r="P248" s="125"/>
      <c r="Q248" s="125"/>
      <c r="R248" s="125"/>
      <c r="S248" s="125"/>
      <c r="T248" s="125"/>
      <c r="U248" s="125"/>
      <c r="V248" s="125"/>
      <c r="W248" s="125"/>
      <c r="X248" s="125"/>
      <c r="Y248" s="125"/>
      <c r="Z248" s="125"/>
      <c r="AA248" s="125"/>
      <c r="AB248" s="125"/>
      <c r="AC248" s="125"/>
      <c r="AD248" s="125"/>
      <c r="AE248" s="125"/>
      <c r="AF248" s="125"/>
      <c r="AG248" s="125"/>
      <c r="AH248" s="125"/>
      <c r="AI248" s="125"/>
      <c r="AJ248" s="125"/>
      <c r="AK248" s="125"/>
      <c r="AL248" s="125"/>
      <c r="AM248" s="125"/>
      <c r="AN248" s="125"/>
      <c r="AO248" s="125"/>
      <c r="AP248" s="125"/>
      <c r="AQ248" s="125"/>
      <c r="AR248" s="125"/>
      <c r="AS248" s="125"/>
      <c r="AT248" s="125"/>
      <c r="AU248" s="125"/>
      <c r="AV248" s="125"/>
      <c r="AW248" s="125"/>
      <c r="AX248" s="125"/>
      <c r="AY248" s="125"/>
      <c r="AZ248" s="125"/>
      <c r="BA248" s="125"/>
      <c r="BB248" s="125"/>
      <c r="BC248" s="125"/>
      <c r="BD248" s="125"/>
      <c r="BE248" s="125"/>
      <c r="BF248" s="125"/>
    </row>
    <row r="249" spans="1:58" ht="15.75" customHeight="1">
      <c r="A249" s="125"/>
      <c r="B249" s="125"/>
      <c r="C249" s="125"/>
      <c r="D249" s="125"/>
      <c r="E249" s="125"/>
      <c r="F249" s="125"/>
      <c r="G249" s="125"/>
      <c r="H249" s="125"/>
      <c r="I249" s="125"/>
      <c r="J249" s="125"/>
      <c r="K249" s="125"/>
      <c r="L249" s="125"/>
      <c r="M249" s="125"/>
      <c r="N249" s="125"/>
      <c r="O249" s="125"/>
      <c r="P249" s="125"/>
      <c r="Q249" s="125"/>
      <c r="R249" s="125"/>
      <c r="S249" s="125"/>
      <c r="T249" s="125"/>
      <c r="U249" s="125"/>
      <c r="V249" s="125"/>
      <c r="W249" s="125"/>
      <c r="X249" s="125"/>
      <c r="Y249" s="125"/>
      <c r="Z249" s="125"/>
      <c r="AA249" s="125"/>
      <c r="AB249" s="125"/>
      <c r="AC249" s="125"/>
      <c r="AD249" s="125"/>
      <c r="AE249" s="125"/>
      <c r="AF249" s="125"/>
      <c r="AG249" s="125"/>
      <c r="AH249" s="125"/>
      <c r="AI249" s="125"/>
      <c r="AJ249" s="125"/>
      <c r="AK249" s="125"/>
      <c r="AL249" s="125"/>
      <c r="AM249" s="125"/>
      <c r="AN249" s="125"/>
      <c r="AO249" s="125"/>
      <c r="AP249" s="125"/>
      <c r="AQ249" s="125"/>
      <c r="AR249" s="125"/>
      <c r="AS249" s="125"/>
      <c r="AT249" s="125"/>
      <c r="AU249" s="125"/>
      <c r="AV249" s="125"/>
      <c r="AW249" s="125"/>
      <c r="AX249" s="125"/>
      <c r="AY249" s="125"/>
      <c r="AZ249" s="125"/>
      <c r="BA249" s="125"/>
      <c r="BB249" s="125"/>
      <c r="BC249" s="125"/>
      <c r="BD249" s="125"/>
      <c r="BE249" s="125"/>
      <c r="BF249" s="125"/>
    </row>
    <row r="250" spans="1:58" ht="15.75" customHeight="1">
      <c r="A250" s="125"/>
      <c r="B250" s="125"/>
      <c r="C250" s="125"/>
      <c r="D250" s="125"/>
      <c r="E250" s="125"/>
      <c r="F250" s="125"/>
      <c r="G250" s="125"/>
      <c r="H250" s="125"/>
      <c r="I250" s="125"/>
      <c r="J250" s="125"/>
      <c r="K250" s="125"/>
      <c r="L250" s="125"/>
      <c r="M250" s="125"/>
      <c r="N250" s="125"/>
      <c r="O250" s="125"/>
      <c r="P250" s="125"/>
      <c r="Q250" s="125"/>
      <c r="R250" s="125"/>
      <c r="S250" s="125"/>
      <c r="T250" s="125"/>
      <c r="U250" s="125"/>
      <c r="V250" s="125"/>
      <c r="W250" s="125"/>
      <c r="X250" s="125"/>
      <c r="Y250" s="125"/>
      <c r="Z250" s="125"/>
      <c r="AA250" s="125"/>
      <c r="AB250" s="125"/>
      <c r="AC250" s="125"/>
      <c r="AD250" s="125"/>
      <c r="AE250" s="125"/>
      <c r="AF250" s="125"/>
      <c r="AG250" s="125"/>
      <c r="AH250" s="125"/>
      <c r="AI250" s="125"/>
      <c r="AJ250" s="125"/>
      <c r="AK250" s="125"/>
      <c r="AL250" s="125"/>
      <c r="AM250" s="125"/>
      <c r="AN250" s="125"/>
      <c r="AO250" s="125"/>
      <c r="AP250" s="125"/>
      <c r="AQ250" s="125"/>
      <c r="AR250" s="125"/>
      <c r="AS250" s="125"/>
      <c r="AT250" s="125"/>
      <c r="AU250" s="125"/>
      <c r="AV250" s="125"/>
      <c r="AW250" s="125"/>
      <c r="AX250" s="125"/>
      <c r="AY250" s="125"/>
      <c r="AZ250" s="125"/>
      <c r="BA250" s="125"/>
      <c r="BB250" s="125"/>
      <c r="BC250" s="125"/>
      <c r="BD250" s="125"/>
      <c r="BE250" s="125"/>
      <c r="BF250" s="125"/>
    </row>
    <row r="251" spans="1:58" ht="15.75" customHeight="1">
      <c r="A251" s="125"/>
      <c r="B251" s="125"/>
      <c r="C251" s="125"/>
      <c r="D251" s="125"/>
      <c r="E251" s="125"/>
      <c r="F251" s="125"/>
      <c r="G251" s="125"/>
      <c r="H251" s="125"/>
      <c r="I251" s="125"/>
      <c r="J251" s="125"/>
      <c r="K251" s="125"/>
      <c r="L251" s="125"/>
      <c r="M251" s="125"/>
      <c r="N251" s="125"/>
      <c r="O251" s="125"/>
      <c r="P251" s="125"/>
      <c r="Q251" s="125"/>
      <c r="R251" s="125"/>
      <c r="S251" s="125"/>
      <c r="T251" s="125"/>
      <c r="U251" s="125"/>
      <c r="V251" s="125"/>
      <c r="W251" s="125"/>
      <c r="X251" s="125"/>
      <c r="Y251" s="125"/>
      <c r="Z251" s="125"/>
      <c r="AA251" s="125"/>
      <c r="AB251" s="125"/>
      <c r="AC251" s="125"/>
      <c r="AD251" s="125"/>
      <c r="AE251" s="125"/>
      <c r="AF251" s="125"/>
      <c r="AG251" s="125"/>
      <c r="AH251" s="125"/>
      <c r="AI251" s="125"/>
      <c r="AJ251" s="125"/>
      <c r="AK251" s="125"/>
      <c r="AL251" s="125"/>
      <c r="AM251" s="125"/>
      <c r="AN251" s="125"/>
      <c r="AO251" s="125"/>
      <c r="AP251" s="125"/>
      <c r="AQ251" s="125"/>
      <c r="AR251" s="125"/>
      <c r="AS251" s="125"/>
      <c r="AT251" s="125"/>
      <c r="AU251" s="125"/>
      <c r="AV251" s="125"/>
      <c r="AW251" s="125"/>
      <c r="AX251" s="125"/>
      <c r="AY251" s="125"/>
      <c r="AZ251" s="125"/>
      <c r="BA251" s="125"/>
      <c r="BB251" s="125"/>
      <c r="BC251" s="125"/>
      <c r="BD251" s="125"/>
      <c r="BE251" s="125"/>
      <c r="BF251" s="125"/>
    </row>
    <row r="252" spans="1:58" ht="15.75" customHeight="1">
      <c r="A252" s="125"/>
      <c r="B252" s="125"/>
      <c r="C252" s="125"/>
      <c r="D252" s="125"/>
      <c r="E252" s="125"/>
      <c r="F252" s="125"/>
      <c r="G252" s="125"/>
      <c r="H252" s="125"/>
      <c r="I252" s="125"/>
      <c r="J252" s="125"/>
      <c r="K252" s="125"/>
      <c r="L252" s="125"/>
      <c r="M252" s="125"/>
      <c r="N252" s="125"/>
      <c r="O252" s="125"/>
      <c r="P252" s="125"/>
      <c r="Q252" s="125"/>
      <c r="R252" s="125"/>
      <c r="S252" s="125"/>
      <c r="T252" s="125"/>
      <c r="U252" s="125"/>
      <c r="V252" s="125"/>
      <c r="W252" s="125"/>
      <c r="X252" s="125"/>
      <c r="Y252" s="125"/>
      <c r="Z252" s="125"/>
      <c r="AA252" s="125"/>
      <c r="AB252" s="125"/>
      <c r="AC252" s="125"/>
      <c r="AD252" s="125"/>
      <c r="AE252" s="125"/>
      <c r="AF252" s="125"/>
      <c r="AG252" s="125"/>
      <c r="AH252" s="125"/>
      <c r="AI252" s="125"/>
      <c r="AJ252" s="125"/>
      <c r="AK252" s="125"/>
      <c r="AL252" s="125"/>
      <c r="AM252" s="125"/>
      <c r="AN252" s="125"/>
      <c r="AO252" s="125"/>
      <c r="AP252" s="125"/>
      <c r="AQ252" s="125"/>
      <c r="AR252" s="125"/>
      <c r="AS252" s="125"/>
      <c r="AT252" s="125"/>
      <c r="AU252" s="125"/>
      <c r="AV252" s="125"/>
      <c r="AW252" s="125"/>
      <c r="AX252" s="125"/>
      <c r="AY252" s="125"/>
      <c r="AZ252" s="125"/>
      <c r="BA252" s="125"/>
      <c r="BB252" s="125"/>
      <c r="BC252" s="125"/>
      <c r="BD252" s="125"/>
      <c r="BE252" s="125"/>
      <c r="BF252" s="125"/>
    </row>
    <row r="253" spans="1:58" ht="15.75" customHeight="1">
      <c r="A253" s="125"/>
      <c r="B253" s="125"/>
      <c r="C253" s="125"/>
      <c r="D253" s="125"/>
      <c r="E253" s="125"/>
      <c r="F253" s="125"/>
      <c r="G253" s="125"/>
      <c r="H253" s="125"/>
      <c r="I253" s="125"/>
      <c r="J253" s="125"/>
      <c r="K253" s="125"/>
      <c r="L253" s="125"/>
      <c r="M253" s="125"/>
      <c r="N253" s="125"/>
      <c r="O253" s="125"/>
      <c r="P253" s="125"/>
      <c r="Q253" s="125"/>
      <c r="R253" s="125"/>
      <c r="S253" s="125"/>
      <c r="T253" s="125"/>
      <c r="U253" s="125"/>
      <c r="V253" s="125"/>
      <c r="W253" s="125"/>
      <c r="X253" s="125"/>
      <c r="Y253" s="125"/>
      <c r="Z253" s="125"/>
      <c r="AA253" s="125"/>
      <c r="AB253" s="125"/>
      <c r="AC253" s="125"/>
      <c r="AD253" s="125"/>
      <c r="AE253" s="125"/>
      <c r="AF253" s="125"/>
      <c r="AG253" s="125"/>
      <c r="AH253" s="125"/>
      <c r="AI253" s="125"/>
      <c r="AJ253" s="125"/>
      <c r="AK253" s="125"/>
      <c r="AL253" s="125"/>
      <c r="AM253" s="125"/>
      <c r="AN253" s="125"/>
      <c r="AO253" s="125"/>
      <c r="AP253" s="125"/>
      <c r="AQ253" s="125"/>
      <c r="AR253" s="125"/>
      <c r="AS253" s="125"/>
      <c r="AT253" s="125"/>
      <c r="AU253" s="125"/>
      <c r="AV253" s="125"/>
      <c r="AW253" s="125"/>
      <c r="AX253" s="125"/>
      <c r="AY253" s="125"/>
      <c r="AZ253" s="125"/>
      <c r="BA253" s="125"/>
      <c r="BB253" s="125"/>
      <c r="BC253" s="125"/>
      <c r="BD253" s="125"/>
      <c r="BE253" s="125"/>
      <c r="BF253" s="125"/>
    </row>
    <row r="254" spans="1:58" ht="15.75" customHeight="1">
      <c r="A254" s="125"/>
      <c r="B254" s="125"/>
      <c r="C254" s="125"/>
      <c r="D254" s="125"/>
      <c r="E254" s="125"/>
      <c r="F254" s="125"/>
      <c r="G254" s="125"/>
      <c r="H254" s="125"/>
      <c r="I254" s="125"/>
      <c r="J254" s="125"/>
      <c r="K254" s="125"/>
      <c r="L254" s="125"/>
      <c r="M254" s="125"/>
      <c r="N254" s="125"/>
      <c r="O254" s="125"/>
      <c r="P254" s="125"/>
      <c r="Q254" s="125"/>
      <c r="R254" s="125"/>
      <c r="S254" s="125"/>
      <c r="T254" s="125"/>
      <c r="U254" s="125"/>
      <c r="V254" s="125"/>
      <c r="W254" s="125"/>
      <c r="X254" s="125"/>
      <c r="Y254" s="125"/>
      <c r="Z254" s="125"/>
      <c r="AA254" s="125"/>
      <c r="AB254" s="125"/>
      <c r="AC254" s="125"/>
      <c r="AD254" s="125"/>
      <c r="AE254" s="125"/>
      <c r="AF254" s="125"/>
      <c r="AG254" s="125"/>
      <c r="AH254" s="125"/>
      <c r="AI254" s="125"/>
      <c r="AJ254" s="125"/>
      <c r="AK254" s="125"/>
      <c r="AL254" s="125"/>
      <c r="AM254" s="125"/>
      <c r="AN254" s="125"/>
      <c r="AO254" s="125"/>
      <c r="AP254" s="125"/>
      <c r="AQ254" s="125"/>
      <c r="AR254" s="125"/>
      <c r="AS254" s="125"/>
      <c r="AT254" s="125"/>
      <c r="AU254" s="125"/>
      <c r="AV254" s="125"/>
      <c r="AW254" s="125"/>
      <c r="AX254" s="125"/>
      <c r="AY254" s="125"/>
      <c r="AZ254" s="125"/>
      <c r="BA254" s="125"/>
      <c r="BB254" s="125"/>
      <c r="BC254" s="125"/>
      <c r="BD254" s="125"/>
      <c r="BE254" s="125"/>
      <c r="BF254" s="125"/>
    </row>
    <row r="255" spans="1:58" ht="15.75" customHeight="1">
      <c r="A255" s="125"/>
      <c r="B255" s="125"/>
      <c r="C255" s="125"/>
      <c r="D255" s="125"/>
      <c r="E255" s="125"/>
      <c r="F255" s="125"/>
      <c r="G255" s="125"/>
      <c r="H255" s="125"/>
      <c r="I255" s="125"/>
      <c r="J255" s="125"/>
      <c r="K255" s="125"/>
      <c r="L255" s="125"/>
      <c r="M255" s="125"/>
      <c r="N255" s="125"/>
      <c r="O255" s="125"/>
      <c r="P255" s="125"/>
      <c r="Q255" s="125"/>
      <c r="R255" s="125"/>
      <c r="S255" s="125"/>
      <c r="T255" s="125"/>
      <c r="U255" s="125"/>
      <c r="V255" s="125"/>
      <c r="W255" s="125"/>
      <c r="X255" s="125"/>
      <c r="Y255" s="125"/>
      <c r="Z255" s="125"/>
      <c r="AA255" s="125"/>
      <c r="AB255" s="125"/>
      <c r="AC255" s="125"/>
      <c r="AD255" s="125"/>
      <c r="AE255" s="125"/>
      <c r="AF255" s="125"/>
      <c r="AG255" s="125"/>
      <c r="AH255" s="125"/>
      <c r="AI255" s="125"/>
      <c r="AJ255" s="125"/>
      <c r="AK255" s="125"/>
      <c r="AL255" s="125"/>
      <c r="AM255" s="125"/>
      <c r="AN255" s="125"/>
      <c r="AO255" s="125"/>
      <c r="AP255" s="125"/>
      <c r="AQ255" s="125"/>
      <c r="AR255" s="125"/>
      <c r="AS255" s="125"/>
      <c r="AT255" s="125"/>
      <c r="AU255" s="125"/>
      <c r="AV255" s="125"/>
      <c r="AW255" s="125"/>
      <c r="AX255" s="125"/>
      <c r="AY255" s="125"/>
      <c r="AZ255" s="125"/>
      <c r="BA255" s="125"/>
      <c r="BB255" s="125"/>
      <c r="BC255" s="125"/>
      <c r="BD255" s="125"/>
      <c r="BE255" s="125"/>
      <c r="BF255" s="125"/>
    </row>
    <row r="256" spans="1:58" ht="15.75" customHeight="1">
      <c r="A256" s="125"/>
      <c r="B256" s="125"/>
      <c r="C256" s="125"/>
      <c r="D256" s="125"/>
      <c r="E256" s="125"/>
      <c r="F256" s="125"/>
      <c r="G256" s="125"/>
      <c r="H256" s="125"/>
      <c r="I256" s="125"/>
      <c r="J256" s="125"/>
      <c r="K256" s="125"/>
      <c r="L256" s="125"/>
      <c r="M256" s="125"/>
      <c r="N256" s="125"/>
      <c r="O256" s="125"/>
      <c r="P256" s="125"/>
      <c r="Q256" s="125"/>
      <c r="R256" s="125"/>
      <c r="S256" s="125"/>
      <c r="T256" s="125"/>
      <c r="U256" s="125"/>
      <c r="V256" s="125"/>
      <c r="W256" s="125"/>
      <c r="X256" s="125"/>
      <c r="Y256" s="125"/>
      <c r="Z256" s="125"/>
      <c r="AA256" s="125"/>
      <c r="AB256" s="125"/>
      <c r="AC256" s="125"/>
      <c r="AD256" s="125"/>
      <c r="AE256" s="125"/>
      <c r="AF256" s="125"/>
      <c r="AG256" s="125"/>
      <c r="AH256" s="125"/>
      <c r="AI256" s="125"/>
      <c r="AJ256" s="125"/>
      <c r="AK256" s="125"/>
      <c r="AL256" s="125"/>
      <c r="AM256" s="125"/>
      <c r="AN256" s="125"/>
      <c r="AO256" s="125"/>
      <c r="AP256" s="125"/>
      <c r="AQ256" s="125"/>
      <c r="AR256" s="125"/>
      <c r="AS256" s="125"/>
      <c r="AT256" s="125"/>
      <c r="AU256" s="125"/>
      <c r="AV256" s="125"/>
      <c r="AW256" s="125"/>
      <c r="AX256" s="125"/>
      <c r="AY256" s="125"/>
      <c r="AZ256" s="125"/>
      <c r="BA256" s="125"/>
      <c r="BB256" s="125"/>
      <c r="BC256" s="125"/>
      <c r="BD256" s="125"/>
      <c r="BE256" s="125"/>
      <c r="BF256" s="125"/>
    </row>
    <row r="257" spans="1:58" ht="15.75" customHeight="1">
      <c r="A257" s="125"/>
      <c r="B257" s="125"/>
      <c r="C257" s="125"/>
      <c r="D257" s="125"/>
      <c r="E257" s="125"/>
      <c r="F257" s="125"/>
      <c r="G257" s="125"/>
      <c r="H257" s="125"/>
      <c r="I257" s="125"/>
      <c r="J257" s="125"/>
      <c r="K257" s="125"/>
      <c r="L257" s="125"/>
      <c r="M257" s="125"/>
      <c r="N257" s="125"/>
      <c r="O257" s="125"/>
      <c r="P257" s="125"/>
      <c r="Q257" s="125"/>
      <c r="R257" s="125"/>
      <c r="S257" s="125"/>
      <c r="T257" s="125"/>
      <c r="U257" s="125"/>
      <c r="V257" s="125"/>
      <c r="W257" s="125"/>
      <c r="X257" s="125"/>
      <c r="Y257" s="125"/>
      <c r="Z257" s="125"/>
      <c r="AA257" s="125"/>
      <c r="AB257" s="125"/>
      <c r="AC257" s="125"/>
      <c r="AD257" s="125"/>
      <c r="AE257" s="125"/>
      <c r="AF257" s="125"/>
      <c r="AG257" s="125"/>
      <c r="AH257" s="125"/>
      <c r="AI257" s="125"/>
      <c r="AJ257" s="125"/>
      <c r="AK257" s="125"/>
      <c r="AL257" s="125"/>
      <c r="AM257" s="125"/>
      <c r="AN257" s="125"/>
      <c r="AO257" s="125"/>
      <c r="AP257" s="125"/>
      <c r="AQ257" s="125"/>
      <c r="AR257" s="125"/>
      <c r="AS257" s="125"/>
      <c r="AT257" s="125"/>
      <c r="AU257" s="125"/>
      <c r="AV257" s="125"/>
      <c r="AW257" s="125"/>
      <c r="AX257" s="125"/>
      <c r="AY257" s="125"/>
      <c r="AZ257" s="125"/>
      <c r="BA257" s="125"/>
      <c r="BB257" s="125"/>
      <c r="BC257" s="125"/>
      <c r="BD257" s="125"/>
      <c r="BE257" s="125"/>
      <c r="BF257" s="125"/>
    </row>
    <row r="258" spans="1:58" ht="15.75" customHeight="1">
      <c r="A258" s="125"/>
      <c r="B258" s="125"/>
      <c r="C258" s="125"/>
      <c r="D258" s="125"/>
      <c r="E258" s="125"/>
      <c r="F258" s="125"/>
      <c r="G258" s="125"/>
      <c r="H258" s="125"/>
      <c r="I258" s="125"/>
      <c r="J258" s="125"/>
      <c r="K258" s="125"/>
      <c r="L258" s="125"/>
      <c r="M258" s="125"/>
      <c r="N258" s="125"/>
      <c r="O258" s="125"/>
      <c r="P258" s="125"/>
      <c r="Q258" s="125"/>
      <c r="R258" s="125"/>
      <c r="S258" s="125"/>
      <c r="T258" s="125"/>
      <c r="U258" s="125"/>
      <c r="V258" s="125"/>
      <c r="W258" s="125"/>
      <c r="X258" s="125"/>
      <c r="Y258" s="125"/>
      <c r="Z258" s="125"/>
      <c r="AA258" s="125"/>
      <c r="AB258" s="125"/>
      <c r="AC258" s="125"/>
      <c r="AD258" s="125"/>
      <c r="AE258" s="125"/>
      <c r="AF258" s="125"/>
      <c r="AG258" s="125"/>
      <c r="AH258" s="125"/>
      <c r="AI258" s="125"/>
      <c r="AJ258" s="125"/>
      <c r="AK258" s="125"/>
      <c r="AL258" s="125"/>
      <c r="AM258" s="125"/>
      <c r="AN258" s="125"/>
      <c r="AO258" s="125"/>
      <c r="AP258" s="125"/>
      <c r="AQ258" s="125"/>
      <c r="AR258" s="125"/>
      <c r="AS258" s="125"/>
      <c r="AT258" s="125"/>
      <c r="AU258" s="125"/>
      <c r="AV258" s="125"/>
      <c r="AW258" s="125"/>
      <c r="AX258" s="125"/>
      <c r="AY258" s="125"/>
      <c r="AZ258" s="125"/>
      <c r="BA258" s="125"/>
      <c r="BB258" s="125"/>
      <c r="BC258" s="125"/>
      <c r="BD258" s="125"/>
      <c r="BE258" s="125"/>
      <c r="BF258" s="125"/>
    </row>
    <row r="259" spans="1:58" ht="15.75" customHeight="1">
      <c r="A259" s="125"/>
      <c r="B259" s="125"/>
      <c r="C259" s="125"/>
      <c r="D259" s="125"/>
      <c r="E259" s="125"/>
      <c r="F259" s="125"/>
      <c r="G259" s="125"/>
      <c r="H259" s="125"/>
      <c r="I259" s="125"/>
      <c r="J259" s="125"/>
      <c r="K259" s="125"/>
      <c r="L259" s="125"/>
      <c r="M259" s="125"/>
      <c r="N259" s="125"/>
      <c r="O259" s="125"/>
      <c r="P259" s="125"/>
      <c r="Q259" s="125"/>
      <c r="R259" s="125"/>
      <c r="S259" s="125"/>
      <c r="T259" s="125"/>
      <c r="U259" s="125"/>
      <c r="V259" s="125"/>
      <c r="W259" s="125"/>
      <c r="X259" s="125"/>
      <c r="Y259" s="125"/>
      <c r="Z259" s="125"/>
      <c r="AA259" s="125"/>
      <c r="AB259" s="125"/>
      <c r="AC259" s="125"/>
      <c r="AD259" s="125"/>
      <c r="AE259" s="125"/>
      <c r="AF259" s="125"/>
      <c r="AG259" s="125"/>
      <c r="AH259" s="125"/>
      <c r="AI259" s="125"/>
      <c r="AJ259" s="125"/>
      <c r="AK259" s="125"/>
      <c r="AL259" s="125"/>
      <c r="AM259" s="125"/>
      <c r="AN259" s="125"/>
      <c r="AO259" s="125"/>
      <c r="AP259" s="125"/>
      <c r="AQ259" s="125"/>
      <c r="AR259" s="125"/>
      <c r="AS259" s="125"/>
      <c r="AT259" s="125"/>
      <c r="AU259" s="125"/>
      <c r="AV259" s="125"/>
      <c r="AW259" s="125"/>
      <c r="AX259" s="125"/>
      <c r="AY259" s="125"/>
      <c r="AZ259" s="125"/>
      <c r="BA259" s="125"/>
      <c r="BB259" s="125"/>
      <c r="BC259" s="125"/>
      <c r="BD259" s="125"/>
      <c r="BE259" s="125"/>
      <c r="BF259" s="125"/>
    </row>
    <row r="260" spans="1:58" ht="15.75" customHeight="1">
      <c r="A260" s="125"/>
      <c r="B260" s="125"/>
      <c r="C260" s="125"/>
      <c r="D260" s="125"/>
      <c r="E260" s="125"/>
      <c r="F260" s="125"/>
      <c r="G260" s="125"/>
      <c r="H260" s="125"/>
      <c r="I260" s="125"/>
      <c r="J260" s="125"/>
      <c r="K260" s="125"/>
      <c r="L260" s="125"/>
      <c r="M260" s="125"/>
      <c r="N260" s="125"/>
      <c r="O260" s="125"/>
      <c r="P260" s="125"/>
      <c r="Q260" s="125"/>
      <c r="R260" s="125"/>
      <c r="S260" s="125"/>
      <c r="T260" s="125"/>
      <c r="U260" s="125"/>
      <c r="V260" s="125"/>
      <c r="W260" s="125"/>
      <c r="X260" s="125"/>
      <c r="Y260" s="125"/>
      <c r="Z260" s="125"/>
      <c r="AA260" s="125"/>
      <c r="AB260" s="125"/>
      <c r="AC260" s="125"/>
      <c r="AD260" s="125"/>
      <c r="AE260" s="125"/>
      <c r="AF260" s="125"/>
      <c r="AG260" s="125"/>
      <c r="AH260" s="125"/>
      <c r="AI260" s="125"/>
      <c r="AJ260" s="125"/>
      <c r="AK260" s="125"/>
      <c r="AL260" s="125"/>
      <c r="AM260" s="125"/>
      <c r="AN260" s="125"/>
      <c r="AO260" s="125"/>
      <c r="AP260" s="125"/>
      <c r="AQ260" s="125"/>
      <c r="AR260" s="125"/>
      <c r="AS260" s="125"/>
      <c r="AT260" s="125"/>
      <c r="AU260" s="125"/>
      <c r="AV260" s="125"/>
      <c r="AW260" s="125"/>
      <c r="AX260" s="125"/>
      <c r="AY260" s="125"/>
      <c r="AZ260" s="125"/>
      <c r="BA260" s="125"/>
      <c r="BB260" s="125"/>
      <c r="BC260" s="125"/>
      <c r="BD260" s="125"/>
      <c r="BE260" s="125"/>
      <c r="BF260" s="125"/>
    </row>
    <row r="261" spans="1:58" ht="15.75" customHeight="1">
      <c r="A261" s="125"/>
      <c r="B261" s="125"/>
      <c r="C261" s="125"/>
      <c r="D261" s="125"/>
      <c r="E261" s="125"/>
      <c r="F261" s="125"/>
      <c r="G261" s="125"/>
      <c r="H261" s="125"/>
      <c r="I261" s="125"/>
      <c r="J261" s="125"/>
      <c r="K261" s="125"/>
      <c r="L261" s="125"/>
      <c r="M261" s="125"/>
      <c r="N261" s="125"/>
      <c r="O261" s="125"/>
      <c r="P261" s="125"/>
      <c r="Q261" s="125"/>
      <c r="R261" s="125"/>
      <c r="S261" s="125"/>
      <c r="T261" s="125"/>
      <c r="U261" s="125"/>
      <c r="V261" s="125"/>
      <c r="W261" s="125"/>
      <c r="X261" s="125"/>
      <c r="Y261" s="125"/>
      <c r="Z261" s="125"/>
      <c r="AA261" s="125"/>
      <c r="AB261" s="125"/>
      <c r="AC261" s="125"/>
      <c r="AD261" s="125"/>
      <c r="AE261" s="125"/>
      <c r="AF261" s="125"/>
      <c r="AG261" s="125"/>
      <c r="AH261" s="125"/>
      <c r="AI261" s="125"/>
      <c r="AJ261" s="125"/>
      <c r="AK261" s="125"/>
      <c r="AL261" s="125"/>
      <c r="AM261" s="125"/>
      <c r="AN261" s="125"/>
      <c r="AO261" s="125"/>
      <c r="AP261" s="125"/>
      <c r="AQ261" s="125"/>
      <c r="AR261" s="125"/>
      <c r="AS261" s="125"/>
      <c r="AT261" s="125"/>
      <c r="AU261" s="125"/>
      <c r="AV261" s="125"/>
      <c r="AW261" s="125"/>
      <c r="AX261" s="125"/>
      <c r="AY261" s="125"/>
      <c r="AZ261" s="125"/>
      <c r="BA261" s="125"/>
      <c r="BB261" s="125"/>
      <c r="BC261" s="125"/>
      <c r="BD261" s="125"/>
      <c r="BE261" s="125"/>
      <c r="BF261" s="125"/>
    </row>
    <row r="262" spans="1:58" ht="15.75" customHeight="1">
      <c r="A262" s="125"/>
      <c r="B262" s="125"/>
      <c r="C262" s="125"/>
      <c r="D262" s="125"/>
      <c r="E262" s="125"/>
      <c r="F262" s="125"/>
      <c r="G262" s="125"/>
      <c r="H262" s="125"/>
      <c r="I262" s="125"/>
      <c r="J262" s="125"/>
      <c r="K262" s="125"/>
      <c r="L262" s="125"/>
      <c r="M262" s="125"/>
      <c r="N262" s="125"/>
      <c r="O262" s="125"/>
      <c r="P262" s="125"/>
      <c r="Q262" s="125"/>
      <c r="R262" s="125"/>
      <c r="S262" s="125"/>
      <c r="T262" s="125"/>
      <c r="U262" s="125"/>
      <c r="V262" s="125"/>
      <c r="W262" s="125"/>
      <c r="X262" s="125"/>
      <c r="Y262" s="125"/>
      <c r="Z262" s="125"/>
      <c r="AA262" s="125"/>
      <c r="AB262" s="125"/>
      <c r="AC262" s="125"/>
      <c r="AD262" s="125"/>
      <c r="AE262" s="125"/>
      <c r="AF262" s="125"/>
      <c r="AG262" s="125"/>
      <c r="AH262" s="125"/>
      <c r="AI262" s="125"/>
      <c r="AJ262" s="125"/>
      <c r="AK262" s="125"/>
      <c r="AL262" s="125"/>
      <c r="AM262" s="125"/>
      <c r="AN262" s="125"/>
      <c r="AO262" s="125"/>
      <c r="AP262" s="125"/>
      <c r="AQ262" s="125"/>
      <c r="AR262" s="125"/>
      <c r="AS262" s="125"/>
      <c r="AT262" s="125"/>
      <c r="AU262" s="125"/>
      <c r="AV262" s="125"/>
      <c r="AW262" s="125"/>
      <c r="AX262" s="125"/>
      <c r="AY262" s="125"/>
      <c r="AZ262" s="125"/>
      <c r="BA262" s="125"/>
      <c r="BB262" s="125"/>
      <c r="BC262" s="125"/>
      <c r="BD262" s="125"/>
      <c r="BE262" s="125"/>
      <c r="BF262" s="125"/>
    </row>
    <row r="263" spans="1:58" ht="15.75" customHeight="1">
      <c r="A263" s="125"/>
      <c r="B263" s="125"/>
      <c r="C263" s="125"/>
      <c r="D263" s="125"/>
      <c r="E263" s="125"/>
      <c r="F263" s="125"/>
      <c r="G263" s="125"/>
      <c r="H263" s="125"/>
      <c r="I263" s="125"/>
      <c r="J263" s="125"/>
      <c r="K263" s="125"/>
      <c r="L263" s="125"/>
      <c r="M263" s="125"/>
      <c r="N263" s="125"/>
      <c r="O263" s="125"/>
      <c r="P263" s="125"/>
      <c r="Q263" s="125"/>
      <c r="R263" s="125"/>
      <c r="S263" s="125"/>
      <c r="T263" s="125"/>
      <c r="U263" s="125"/>
      <c r="V263" s="125"/>
      <c r="W263" s="125"/>
      <c r="X263" s="125"/>
      <c r="Y263" s="125"/>
      <c r="Z263" s="125"/>
      <c r="AA263" s="125"/>
      <c r="AB263" s="125"/>
      <c r="AC263" s="125"/>
      <c r="AD263" s="125"/>
      <c r="AE263" s="125"/>
      <c r="AF263" s="125"/>
      <c r="AG263" s="125"/>
      <c r="AH263" s="125"/>
      <c r="AI263" s="125"/>
      <c r="AJ263" s="125"/>
      <c r="AK263" s="125"/>
      <c r="AL263" s="125"/>
      <c r="AM263" s="125"/>
      <c r="AN263" s="125"/>
      <c r="AO263" s="125"/>
      <c r="AP263" s="125"/>
      <c r="AQ263" s="125"/>
      <c r="AR263" s="125"/>
      <c r="AS263" s="125"/>
      <c r="AT263" s="125"/>
      <c r="AU263" s="125"/>
      <c r="AV263" s="125"/>
      <c r="AW263" s="125"/>
      <c r="AX263" s="125"/>
      <c r="AY263" s="125"/>
      <c r="AZ263" s="125"/>
      <c r="BA263" s="125"/>
      <c r="BB263" s="125"/>
      <c r="BC263" s="125"/>
      <c r="BD263" s="125"/>
      <c r="BE263" s="125"/>
      <c r="BF263" s="125"/>
    </row>
    <row r="264" spans="1:58" ht="15.75" customHeight="1">
      <c r="A264" s="125"/>
      <c r="B264" s="125"/>
      <c r="C264" s="125"/>
      <c r="D264" s="125"/>
      <c r="E264" s="125"/>
      <c r="F264" s="125"/>
      <c r="G264" s="125"/>
      <c r="H264" s="125"/>
      <c r="I264" s="125"/>
      <c r="J264" s="125"/>
      <c r="K264" s="125"/>
      <c r="L264" s="125"/>
      <c r="M264" s="125"/>
      <c r="N264" s="125"/>
      <c r="O264" s="125"/>
      <c r="P264" s="125"/>
      <c r="Q264" s="125"/>
      <c r="R264" s="125"/>
      <c r="S264" s="125"/>
      <c r="T264" s="125"/>
      <c r="U264" s="125"/>
      <c r="V264" s="125"/>
      <c r="W264" s="125"/>
      <c r="X264" s="125"/>
      <c r="Y264" s="125"/>
      <c r="Z264" s="125"/>
      <c r="AA264" s="125"/>
      <c r="AB264" s="125"/>
      <c r="AC264" s="125"/>
      <c r="AD264" s="125"/>
      <c r="AE264" s="125"/>
      <c r="AF264" s="125"/>
      <c r="AG264" s="125"/>
      <c r="AH264" s="125"/>
      <c r="AI264" s="125"/>
      <c r="AJ264" s="125"/>
      <c r="AK264" s="125"/>
      <c r="AL264" s="125"/>
      <c r="AM264" s="125"/>
      <c r="AN264" s="125"/>
      <c r="AO264" s="125"/>
      <c r="AP264" s="125"/>
      <c r="AQ264" s="125"/>
      <c r="AR264" s="125"/>
      <c r="AS264" s="125"/>
      <c r="AT264" s="125"/>
      <c r="AU264" s="125"/>
      <c r="AV264" s="125"/>
      <c r="AW264" s="125"/>
      <c r="AX264" s="125"/>
      <c r="AY264" s="125"/>
      <c r="AZ264" s="125"/>
      <c r="BA264" s="125"/>
      <c r="BB264" s="125"/>
      <c r="BC264" s="125"/>
      <c r="BD264" s="125"/>
      <c r="BE264" s="125"/>
      <c r="BF264" s="125"/>
    </row>
    <row r="265" spans="1:58" ht="15.75" customHeight="1">
      <c r="A265" s="125"/>
      <c r="B265" s="125"/>
      <c r="C265" s="125"/>
      <c r="D265" s="125"/>
      <c r="E265" s="125"/>
      <c r="F265" s="125"/>
      <c r="G265" s="125"/>
      <c r="H265" s="125"/>
      <c r="I265" s="125"/>
      <c r="J265" s="125"/>
      <c r="K265" s="125"/>
      <c r="L265" s="125"/>
      <c r="M265" s="125"/>
      <c r="N265" s="125"/>
      <c r="O265" s="125"/>
      <c r="P265" s="125"/>
      <c r="Q265" s="125"/>
      <c r="R265" s="125"/>
      <c r="S265" s="125"/>
      <c r="T265" s="125"/>
      <c r="U265" s="125"/>
      <c r="V265" s="125"/>
      <c r="W265" s="125"/>
      <c r="X265" s="125"/>
      <c r="Y265" s="125"/>
      <c r="Z265" s="125"/>
      <c r="AA265" s="125"/>
      <c r="AB265" s="125"/>
      <c r="AC265" s="125"/>
      <c r="AD265" s="125"/>
      <c r="AE265" s="125"/>
      <c r="AF265" s="125"/>
      <c r="AG265" s="125"/>
      <c r="AH265" s="125"/>
      <c r="AI265" s="125"/>
      <c r="AJ265" s="125"/>
      <c r="AK265" s="125"/>
      <c r="AL265" s="125"/>
      <c r="AM265" s="125"/>
      <c r="AN265" s="125"/>
      <c r="AO265" s="125"/>
      <c r="AP265" s="125"/>
      <c r="AQ265" s="125"/>
      <c r="AR265" s="125"/>
      <c r="AS265" s="125"/>
      <c r="AT265" s="125"/>
      <c r="AU265" s="125"/>
      <c r="AV265" s="125"/>
      <c r="AW265" s="125"/>
      <c r="AX265" s="125"/>
      <c r="AY265" s="125"/>
      <c r="AZ265" s="125"/>
      <c r="BA265" s="125"/>
      <c r="BB265" s="125"/>
      <c r="BC265" s="125"/>
      <c r="BD265" s="125"/>
      <c r="BE265" s="125"/>
      <c r="BF265" s="125"/>
    </row>
    <row r="266" spans="1:58" ht="15.75" customHeight="1">
      <c r="A266" s="125"/>
      <c r="B266" s="125"/>
      <c r="C266" s="125"/>
      <c r="D266" s="125"/>
      <c r="E266" s="125"/>
      <c r="F266" s="125"/>
      <c r="G266" s="125"/>
      <c r="H266" s="125"/>
      <c r="I266" s="125"/>
      <c r="J266" s="125"/>
      <c r="K266" s="125"/>
      <c r="L266" s="125"/>
      <c r="M266" s="125"/>
      <c r="N266" s="125"/>
      <c r="O266" s="125"/>
      <c r="P266" s="125"/>
      <c r="Q266" s="125"/>
      <c r="R266" s="125"/>
      <c r="S266" s="125"/>
      <c r="T266" s="125"/>
      <c r="U266" s="125"/>
      <c r="V266" s="125"/>
      <c r="W266" s="125"/>
      <c r="X266" s="125"/>
      <c r="Y266" s="125"/>
      <c r="Z266" s="125"/>
      <c r="AA266" s="125"/>
      <c r="AB266" s="125"/>
      <c r="AC266" s="125"/>
      <c r="AD266" s="125"/>
      <c r="AE266" s="125"/>
      <c r="AF266" s="125"/>
      <c r="AG266" s="125"/>
      <c r="AH266" s="125"/>
      <c r="AI266" s="125"/>
      <c r="AJ266" s="125"/>
      <c r="AK266" s="125"/>
      <c r="AL266" s="125"/>
      <c r="AM266" s="125"/>
      <c r="AN266" s="125"/>
      <c r="AO266" s="125"/>
      <c r="AP266" s="125"/>
      <c r="AQ266" s="125"/>
      <c r="AR266" s="125"/>
      <c r="AS266" s="125"/>
      <c r="AT266" s="125"/>
      <c r="AU266" s="125"/>
      <c r="AV266" s="125"/>
      <c r="AW266" s="125"/>
      <c r="AX266" s="125"/>
      <c r="AY266" s="125"/>
      <c r="AZ266" s="125"/>
      <c r="BA266" s="125"/>
      <c r="BB266" s="125"/>
      <c r="BC266" s="125"/>
      <c r="BD266" s="125"/>
      <c r="BE266" s="125"/>
      <c r="BF266" s="125"/>
    </row>
    <row r="267" spans="1:58" ht="15.75" customHeight="1">
      <c r="A267" s="125"/>
      <c r="B267" s="125"/>
      <c r="C267" s="125"/>
      <c r="D267" s="125"/>
      <c r="E267" s="125"/>
      <c r="F267" s="125"/>
      <c r="G267" s="125"/>
      <c r="H267" s="125"/>
      <c r="I267" s="125"/>
      <c r="J267" s="125"/>
      <c r="K267" s="125"/>
      <c r="L267" s="125"/>
      <c r="M267" s="125"/>
      <c r="N267" s="125"/>
      <c r="O267" s="125"/>
      <c r="P267" s="125"/>
      <c r="Q267" s="125"/>
      <c r="R267" s="125"/>
      <c r="S267" s="125"/>
      <c r="T267" s="125"/>
      <c r="U267" s="125"/>
      <c r="V267" s="125"/>
      <c r="W267" s="125"/>
      <c r="X267" s="125"/>
      <c r="Y267" s="125"/>
      <c r="Z267" s="125"/>
      <c r="AA267" s="125"/>
      <c r="AB267" s="125"/>
      <c r="AC267" s="125"/>
      <c r="AD267" s="125"/>
      <c r="AE267" s="125"/>
      <c r="AF267" s="125"/>
      <c r="AG267" s="125"/>
      <c r="AH267" s="125"/>
      <c r="AI267" s="125"/>
      <c r="AJ267" s="125"/>
      <c r="AK267" s="125"/>
      <c r="AL267" s="125"/>
      <c r="AM267" s="125"/>
      <c r="AN267" s="125"/>
      <c r="AO267" s="125"/>
      <c r="AP267" s="125"/>
      <c r="AQ267" s="125"/>
      <c r="AR267" s="125"/>
      <c r="AS267" s="125"/>
      <c r="AT267" s="125"/>
      <c r="AU267" s="125"/>
      <c r="AV267" s="125"/>
      <c r="AW267" s="125"/>
      <c r="AX267" s="125"/>
      <c r="AY267" s="125"/>
      <c r="AZ267" s="125"/>
      <c r="BA267" s="125"/>
      <c r="BB267" s="125"/>
      <c r="BC267" s="125"/>
      <c r="BD267" s="125"/>
      <c r="BE267" s="125"/>
      <c r="BF267" s="125"/>
    </row>
    <row r="268" spans="1:58" ht="15.75" customHeight="1">
      <c r="A268" s="125"/>
      <c r="B268" s="125"/>
      <c r="C268" s="125"/>
      <c r="D268" s="125"/>
      <c r="E268" s="125"/>
      <c r="F268" s="125"/>
      <c r="G268" s="125"/>
      <c r="H268" s="125"/>
      <c r="I268" s="125"/>
      <c r="J268" s="125"/>
      <c r="K268" s="125"/>
      <c r="L268" s="125"/>
      <c r="M268" s="125"/>
      <c r="N268" s="125"/>
      <c r="O268" s="125"/>
      <c r="P268" s="125"/>
      <c r="Q268" s="125"/>
      <c r="R268" s="125"/>
      <c r="S268" s="125"/>
      <c r="T268" s="125"/>
      <c r="U268" s="125"/>
      <c r="V268" s="125"/>
      <c r="W268" s="125"/>
      <c r="X268" s="125"/>
      <c r="Y268" s="125"/>
      <c r="Z268" s="125"/>
      <c r="AA268" s="125"/>
      <c r="AB268" s="125"/>
      <c r="AC268" s="125"/>
      <c r="AD268" s="125"/>
      <c r="AE268" s="125"/>
      <c r="AF268" s="125"/>
      <c r="AG268" s="125"/>
      <c r="AH268" s="125"/>
      <c r="AI268" s="125"/>
      <c r="AJ268" s="125"/>
      <c r="AK268" s="125"/>
      <c r="AL268" s="125"/>
      <c r="AM268" s="125"/>
      <c r="AN268" s="125"/>
      <c r="AO268" s="125"/>
      <c r="AP268" s="125"/>
      <c r="AQ268" s="125"/>
      <c r="AR268" s="125"/>
      <c r="AS268" s="125"/>
      <c r="AT268" s="125"/>
      <c r="AU268" s="125"/>
      <c r="AV268" s="125"/>
      <c r="AW268" s="125"/>
      <c r="AX268" s="125"/>
      <c r="AY268" s="125"/>
      <c r="AZ268" s="125"/>
      <c r="BA268" s="125"/>
      <c r="BB268" s="125"/>
      <c r="BC268" s="125"/>
      <c r="BD268" s="125"/>
      <c r="BE268" s="125"/>
      <c r="BF268" s="125"/>
    </row>
    <row r="269" spans="1:58" ht="15.75" customHeight="1">
      <c r="A269" s="125"/>
      <c r="B269" s="125"/>
      <c r="C269" s="125"/>
      <c r="D269" s="125"/>
      <c r="E269" s="125"/>
      <c r="F269" s="125"/>
      <c r="G269" s="125"/>
      <c r="H269" s="125"/>
      <c r="I269" s="125"/>
      <c r="J269" s="125"/>
      <c r="K269" s="125"/>
      <c r="L269" s="125"/>
      <c r="M269" s="125"/>
      <c r="N269" s="125"/>
      <c r="O269" s="125"/>
      <c r="P269" s="125"/>
      <c r="Q269" s="125"/>
      <c r="R269" s="125"/>
      <c r="S269" s="125"/>
      <c r="T269" s="125"/>
      <c r="U269" s="125"/>
      <c r="V269" s="125"/>
      <c r="W269" s="125"/>
      <c r="X269" s="125"/>
      <c r="Y269" s="125"/>
      <c r="Z269" s="125"/>
      <c r="AA269" s="125"/>
      <c r="AB269" s="125"/>
      <c r="AC269" s="125"/>
      <c r="AD269" s="125"/>
      <c r="AE269" s="125"/>
      <c r="AF269" s="125"/>
      <c r="AG269" s="125"/>
      <c r="AH269" s="125"/>
      <c r="AI269" s="125"/>
      <c r="AJ269" s="125"/>
      <c r="AK269" s="125"/>
      <c r="AL269" s="125"/>
      <c r="AM269" s="125"/>
      <c r="AN269" s="125"/>
      <c r="AO269" s="125"/>
      <c r="AP269" s="125"/>
      <c r="AQ269" s="125"/>
      <c r="AR269" s="125"/>
      <c r="AS269" s="125"/>
      <c r="AT269" s="125"/>
      <c r="AU269" s="125"/>
      <c r="AV269" s="125"/>
      <c r="AW269" s="125"/>
      <c r="AX269" s="125"/>
      <c r="AY269" s="125"/>
      <c r="AZ269" s="125"/>
      <c r="BA269" s="125"/>
      <c r="BB269" s="125"/>
      <c r="BC269" s="125"/>
      <c r="BD269" s="125"/>
      <c r="BE269" s="125"/>
      <c r="BF269" s="125"/>
    </row>
    <row r="270" spans="1:58" ht="15.75" customHeight="1">
      <c r="A270" s="125"/>
      <c r="B270" s="125"/>
      <c r="C270" s="125"/>
      <c r="D270" s="125"/>
      <c r="E270" s="125"/>
      <c r="F270" s="125"/>
      <c r="G270" s="125"/>
      <c r="H270" s="125"/>
      <c r="I270" s="125"/>
      <c r="J270" s="125"/>
      <c r="K270" s="125"/>
      <c r="L270" s="125"/>
      <c r="M270" s="125"/>
      <c r="N270" s="125"/>
      <c r="O270" s="125"/>
      <c r="P270" s="125"/>
      <c r="Q270" s="125"/>
      <c r="R270" s="125"/>
      <c r="S270" s="125"/>
      <c r="T270" s="125"/>
      <c r="U270" s="125"/>
      <c r="V270" s="125"/>
      <c r="W270" s="125"/>
      <c r="X270" s="125"/>
      <c r="Y270" s="125"/>
      <c r="Z270" s="125"/>
      <c r="AA270" s="125"/>
      <c r="AB270" s="125"/>
      <c r="AC270" s="125"/>
      <c r="AD270" s="125"/>
      <c r="AE270" s="125"/>
      <c r="AF270" s="125"/>
      <c r="AG270" s="125"/>
      <c r="AH270" s="125"/>
      <c r="AI270" s="125"/>
      <c r="AJ270" s="125"/>
      <c r="AK270" s="125"/>
      <c r="AL270" s="125"/>
      <c r="AM270" s="125"/>
      <c r="AN270" s="125"/>
      <c r="AO270" s="125"/>
      <c r="AP270" s="125"/>
      <c r="AQ270" s="125"/>
      <c r="AR270" s="125"/>
      <c r="AS270" s="125"/>
      <c r="AT270" s="125"/>
      <c r="AU270" s="125"/>
      <c r="AV270" s="125"/>
      <c r="AW270" s="125"/>
      <c r="AX270" s="125"/>
      <c r="AY270" s="125"/>
      <c r="AZ270" s="125"/>
      <c r="BA270" s="125"/>
      <c r="BB270" s="125"/>
      <c r="BC270" s="125"/>
      <c r="BD270" s="125"/>
      <c r="BE270" s="125"/>
      <c r="BF270" s="125"/>
    </row>
    <row r="271" spans="1:58" ht="15.75" customHeight="1">
      <c r="A271" s="125"/>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25"/>
      <c r="AA271" s="125"/>
      <c r="AB271" s="125"/>
      <c r="AC271" s="125"/>
      <c r="AD271" s="125"/>
      <c r="AE271" s="125"/>
      <c r="AF271" s="125"/>
      <c r="AG271" s="125"/>
      <c r="AH271" s="125"/>
      <c r="AI271" s="125"/>
      <c r="AJ271" s="125"/>
      <c r="AK271" s="125"/>
      <c r="AL271" s="125"/>
      <c r="AM271" s="125"/>
      <c r="AN271" s="125"/>
      <c r="AO271" s="125"/>
      <c r="AP271" s="125"/>
      <c r="AQ271" s="125"/>
      <c r="AR271" s="125"/>
      <c r="AS271" s="125"/>
      <c r="AT271" s="125"/>
      <c r="AU271" s="125"/>
      <c r="AV271" s="125"/>
      <c r="AW271" s="125"/>
      <c r="AX271" s="125"/>
      <c r="AY271" s="125"/>
      <c r="AZ271" s="125"/>
      <c r="BA271" s="125"/>
      <c r="BB271" s="125"/>
      <c r="BC271" s="125"/>
      <c r="BD271" s="125"/>
      <c r="BE271" s="125"/>
      <c r="BF271" s="125"/>
    </row>
    <row r="272" spans="1:58" ht="15.75" customHeight="1">
      <c r="A272" s="125"/>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25"/>
      <c r="AA272" s="125"/>
      <c r="AB272" s="125"/>
      <c r="AC272" s="125"/>
      <c r="AD272" s="125"/>
      <c r="AE272" s="125"/>
      <c r="AF272" s="125"/>
      <c r="AG272" s="125"/>
      <c r="AH272" s="125"/>
      <c r="AI272" s="125"/>
      <c r="AJ272" s="125"/>
      <c r="AK272" s="125"/>
      <c r="AL272" s="125"/>
      <c r="AM272" s="125"/>
      <c r="AN272" s="125"/>
      <c r="AO272" s="125"/>
      <c r="AP272" s="125"/>
      <c r="AQ272" s="125"/>
      <c r="AR272" s="125"/>
      <c r="AS272" s="125"/>
      <c r="AT272" s="125"/>
      <c r="AU272" s="125"/>
      <c r="AV272" s="125"/>
      <c r="AW272" s="125"/>
      <c r="AX272" s="125"/>
      <c r="AY272" s="125"/>
      <c r="AZ272" s="125"/>
      <c r="BA272" s="125"/>
      <c r="BB272" s="125"/>
      <c r="BC272" s="125"/>
      <c r="BD272" s="125"/>
      <c r="BE272" s="125"/>
      <c r="BF272" s="125"/>
    </row>
    <row r="273" spans="1:58" ht="15.75" customHeight="1">
      <c r="A273" s="125"/>
      <c r="B273" s="125"/>
      <c r="C273" s="125"/>
      <c r="D273" s="125"/>
      <c r="E273" s="125"/>
      <c r="F273" s="125"/>
      <c r="G273" s="125"/>
      <c r="H273" s="125"/>
      <c r="I273" s="125"/>
      <c r="J273" s="125"/>
      <c r="K273" s="125"/>
      <c r="L273" s="125"/>
      <c r="M273" s="125"/>
      <c r="N273" s="125"/>
      <c r="O273" s="125"/>
      <c r="P273" s="125"/>
      <c r="Q273" s="125"/>
      <c r="R273" s="125"/>
      <c r="S273" s="125"/>
      <c r="T273" s="125"/>
      <c r="U273" s="125"/>
      <c r="V273" s="125"/>
      <c r="W273" s="125"/>
      <c r="X273" s="125"/>
      <c r="Y273" s="125"/>
      <c r="Z273" s="125"/>
      <c r="AA273" s="125"/>
      <c r="AB273" s="125"/>
      <c r="AC273" s="125"/>
      <c r="AD273" s="125"/>
      <c r="AE273" s="125"/>
      <c r="AF273" s="125"/>
      <c r="AG273" s="125"/>
      <c r="AH273" s="125"/>
      <c r="AI273" s="125"/>
      <c r="AJ273" s="125"/>
      <c r="AK273" s="125"/>
      <c r="AL273" s="125"/>
      <c r="AM273" s="125"/>
      <c r="AN273" s="125"/>
      <c r="AO273" s="125"/>
      <c r="AP273" s="125"/>
      <c r="AQ273" s="125"/>
      <c r="AR273" s="125"/>
      <c r="AS273" s="125"/>
      <c r="AT273" s="125"/>
      <c r="AU273" s="125"/>
      <c r="AV273" s="125"/>
      <c r="AW273" s="125"/>
      <c r="AX273" s="125"/>
      <c r="AY273" s="125"/>
      <c r="AZ273" s="125"/>
      <c r="BA273" s="125"/>
      <c r="BB273" s="125"/>
      <c r="BC273" s="125"/>
      <c r="BD273" s="125"/>
      <c r="BE273" s="125"/>
      <c r="BF273" s="125"/>
    </row>
    <row r="274" spans="1:58" ht="15.75" customHeight="1">
      <c r="A274" s="125"/>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25"/>
      <c r="AA274" s="125"/>
      <c r="AB274" s="125"/>
      <c r="AC274" s="125"/>
      <c r="AD274" s="125"/>
      <c r="AE274" s="125"/>
      <c r="AF274" s="125"/>
      <c r="AG274" s="125"/>
      <c r="AH274" s="125"/>
      <c r="AI274" s="125"/>
      <c r="AJ274" s="125"/>
      <c r="AK274" s="125"/>
      <c r="AL274" s="125"/>
      <c r="AM274" s="125"/>
      <c r="AN274" s="125"/>
      <c r="AO274" s="125"/>
      <c r="AP274" s="125"/>
      <c r="AQ274" s="125"/>
      <c r="AR274" s="125"/>
      <c r="AS274" s="125"/>
      <c r="AT274" s="125"/>
      <c r="AU274" s="125"/>
      <c r="AV274" s="125"/>
      <c r="AW274" s="125"/>
      <c r="AX274" s="125"/>
      <c r="AY274" s="125"/>
      <c r="AZ274" s="125"/>
      <c r="BA274" s="125"/>
      <c r="BB274" s="125"/>
      <c r="BC274" s="125"/>
      <c r="BD274" s="125"/>
      <c r="BE274" s="125"/>
      <c r="BF274" s="125"/>
    </row>
    <row r="275" spans="1:58" ht="15.75" customHeight="1">
      <c r="A275" s="125"/>
      <c r="B275" s="125"/>
      <c r="C275" s="125"/>
      <c r="D275" s="125"/>
      <c r="E275" s="125"/>
      <c r="F275" s="125"/>
      <c r="G275" s="125"/>
      <c r="H275" s="125"/>
      <c r="I275" s="125"/>
      <c r="J275" s="125"/>
      <c r="K275" s="125"/>
      <c r="L275" s="125"/>
      <c r="M275" s="125"/>
      <c r="N275" s="125"/>
      <c r="O275" s="125"/>
      <c r="P275" s="125"/>
      <c r="Q275" s="125"/>
      <c r="R275" s="125"/>
      <c r="S275" s="125"/>
      <c r="T275" s="125"/>
      <c r="U275" s="125"/>
      <c r="V275" s="125"/>
      <c r="W275" s="125"/>
      <c r="X275" s="125"/>
      <c r="Y275" s="125"/>
      <c r="Z275" s="125"/>
      <c r="AA275" s="125"/>
      <c r="AB275" s="125"/>
      <c r="AC275" s="125"/>
      <c r="AD275" s="125"/>
      <c r="AE275" s="125"/>
      <c r="AF275" s="125"/>
      <c r="AG275" s="125"/>
      <c r="AH275" s="125"/>
      <c r="AI275" s="125"/>
      <c r="AJ275" s="125"/>
      <c r="AK275" s="125"/>
      <c r="AL275" s="125"/>
      <c r="AM275" s="125"/>
      <c r="AN275" s="125"/>
      <c r="AO275" s="125"/>
      <c r="AP275" s="125"/>
      <c r="AQ275" s="125"/>
      <c r="AR275" s="125"/>
      <c r="AS275" s="125"/>
      <c r="AT275" s="125"/>
      <c r="AU275" s="125"/>
      <c r="AV275" s="125"/>
      <c r="AW275" s="125"/>
      <c r="AX275" s="125"/>
      <c r="AY275" s="125"/>
      <c r="AZ275" s="125"/>
      <c r="BA275" s="125"/>
      <c r="BB275" s="125"/>
      <c r="BC275" s="125"/>
      <c r="BD275" s="125"/>
      <c r="BE275" s="125"/>
      <c r="BF275" s="125"/>
    </row>
    <row r="276" spans="1:58" ht="15.75" customHeight="1">
      <c r="A276" s="125"/>
      <c r="B276" s="125"/>
      <c r="C276" s="125"/>
      <c r="D276" s="125"/>
      <c r="E276" s="125"/>
      <c r="F276" s="125"/>
      <c r="G276" s="125"/>
      <c r="H276" s="125"/>
      <c r="I276" s="125"/>
      <c r="J276" s="125"/>
      <c r="K276" s="125"/>
      <c r="L276" s="125"/>
      <c r="M276" s="125"/>
      <c r="N276" s="125"/>
      <c r="O276" s="125"/>
      <c r="P276" s="125"/>
      <c r="Q276" s="125"/>
      <c r="R276" s="125"/>
      <c r="S276" s="125"/>
      <c r="T276" s="125"/>
      <c r="U276" s="125"/>
      <c r="V276" s="125"/>
      <c r="W276" s="125"/>
      <c r="X276" s="125"/>
      <c r="Y276" s="125"/>
      <c r="Z276" s="125"/>
      <c r="AA276" s="125"/>
      <c r="AB276" s="125"/>
      <c r="AC276" s="125"/>
      <c r="AD276" s="125"/>
      <c r="AE276" s="125"/>
      <c r="AF276" s="125"/>
      <c r="AG276" s="125"/>
      <c r="AH276" s="125"/>
      <c r="AI276" s="125"/>
      <c r="AJ276" s="125"/>
      <c r="AK276" s="125"/>
      <c r="AL276" s="125"/>
      <c r="AM276" s="125"/>
      <c r="AN276" s="125"/>
      <c r="AO276" s="125"/>
      <c r="AP276" s="125"/>
      <c r="AQ276" s="125"/>
      <c r="AR276" s="125"/>
      <c r="AS276" s="125"/>
      <c r="AT276" s="125"/>
      <c r="AU276" s="125"/>
      <c r="AV276" s="125"/>
      <c r="AW276" s="125"/>
      <c r="AX276" s="125"/>
      <c r="AY276" s="125"/>
      <c r="AZ276" s="125"/>
      <c r="BA276" s="125"/>
      <c r="BB276" s="125"/>
      <c r="BC276" s="125"/>
      <c r="BD276" s="125"/>
      <c r="BE276" s="125"/>
      <c r="BF276" s="125"/>
    </row>
    <row r="277" spans="1:58" ht="15.75" customHeight="1">
      <c r="A277" s="125"/>
      <c r="B277" s="125"/>
      <c r="C277" s="125"/>
      <c r="D277" s="125"/>
      <c r="E277" s="125"/>
      <c r="F277" s="125"/>
      <c r="G277" s="125"/>
      <c r="H277" s="125"/>
      <c r="I277" s="125"/>
      <c r="J277" s="125"/>
      <c r="K277" s="125"/>
      <c r="L277" s="125"/>
      <c r="M277" s="125"/>
      <c r="N277" s="125"/>
      <c r="O277" s="125"/>
      <c r="P277" s="125"/>
      <c r="Q277" s="125"/>
      <c r="R277" s="125"/>
      <c r="S277" s="125"/>
      <c r="T277" s="125"/>
      <c r="U277" s="125"/>
      <c r="V277" s="125"/>
      <c r="W277" s="125"/>
      <c r="X277" s="125"/>
      <c r="Y277" s="125"/>
      <c r="Z277" s="125"/>
      <c r="AA277" s="125"/>
      <c r="AB277" s="125"/>
      <c r="AC277" s="125"/>
      <c r="AD277" s="125"/>
      <c r="AE277" s="125"/>
      <c r="AF277" s="125"/>
      <c r="AG277" s="125"/>
      <c r="AH277" s="125"/>
      <c r="AI277" s="125"/>
      <c r="AJ277" s="125"/>
      <c r="AK277" s="125"/>
      <c r="AL277" s="125"/>
      <c r="AM277" s="125"/>
      <c r="AN277" s="125"/>
      <c r="AO277" s="125"/>
      <c r="AP277" s="125"/>
      <c r="AQ277" s="125"/>
      <c r="AR277" s="125"/>
      <c r="AS277" s="125"/>
      <c r="AT277" s="125"/>
      <c r="AU277" s="125"/>
      <c r="AV277" s="125"/>
      <c r="AW277" s="125"/>
      <c r="AX277" s="125"/>
      <c r="AY277" s="125"/>
      <c r="AZ277" s="125"/>
      <c r="BA277" s="125"/>
      <c r="BB277" s="125"/>
      <c r="BC277" s="125"/>
      <c r="BD277" s="125"/>
      <c r="BE277" s="125"/>
      <c r="BF277" s="125"/>
    </row>
    <row r="278" spans="1:58" ht="15.75" customHeight="1">
      <c r="A278" s="125"/>
      <c r="B278" s="125"/>
      <c r="C278" s="125"/>
      <c r="D278" s="125"/>
      <c r="E278" s="125"/>
      <c r="F278" s="125"/>
      <c r="G278" s="125"/>
      <c r="H278" s="125"/>
      <c r="I278" s="125"/>
      <c r="J278" s="125"/>
      <c r="K278" s="125"/>
      <c r="L278" s="125"/>
      <c r="M278" s="125"/>
      <c r="N278" s="125"/>
      <c r="O278" s="125"/>
      <c r="P278" s="125"/>
      <c r="Q278" s="125"/>
      <c r="R278" s="125"/>
      <c r="S278" s="125"/>
      <c r="T278" s="125"/>
      <c r="U278" s="125"/>
      <c r="V278" s="125"/>
      <c r="W278" s="125"/>
      <c r="X278" s="125"/>
      <c r="Y278" s="125"/>
      <c r="Z278" s="125"/>
      <c r="AA278" s="125"/>
      <c r="AB278" s="125"/>
      <c r="AC278" s="125"/>
      <c r="AD278" s="125"/>
      <c r="AE278" s="125"/>
      <c r="AF278" s="125"/>
      <c r="AG278" s="125"/>
      <c r="AH278" s="125"/>
      <c r="AI278" s="125"/>
      <c r="AJ278" s="125"/>
      <c r="AK278" s="125"/>
      <c r="AL278" s="125"/>
      <c r="AM278" s="125"/>
      <c r="AN278" s="125"/>
      <c r="AO278" s="125"/>
      <c r="AP278" s="125"/>
      <c r="AQ278" s="125"/>
      <c r="AR278" s="125"/>
      <c r="AS278" s="125"/>
      <c r="AT278" s="125"/>
      <c r="AU278" s="125"/>
      <c r="AV278" s="125"/>
      <c r="AW278" s="125"/>
      <c r="AX278" s="125"/>
      <c r="AY278" s="125"/>
      <c r="AZ278" s="125"/>
      <c r="BA278" s="125"/>
      <c r="BB278" s="125"/>
      <c r="BC278" s="125"/>
      <c r="BD278" s="125"/>
      <c r="BE278" s="125"/>
      <c r="BF278" s="125"/>
    </row>
    <row r="279" spans="1:58" ht="15.75" customHeight="1">
      <c r="A279" s="125"/>
      <c r="B279" s="125"/>
      <c r="C279" s="125"/>
      <c r="D279" s="125"/>
      <c r="E279" s="125"/>
      <c r="F279" s="125"/>
      <c r="G279" s="125"/>
      <c r="H279" s="125"/>
      <c r="I279" s="125"/>
      <c r="J279" s="125"/>
      <c r="K279" s="125"/>
      <c r="L279" s="125"/>
      <c r="M279" s="125"/>
      <c r="N279" s="125"/>
      <c r="O279" s="125"/>
      <c r="P279" s="125"/>
      <c r="Q279" s="125"/>
      <c r="R279" s="125"/>
      <c r="S279" s="125"/>
      <c r="T279" s="125"/>
      <c r="U279" s="125"/>
      <c r="V279" s="125"/>
      <c r="W279" s="125"/>
      <c r="X279" s="125"/>
      <c r="Y279" s="125"/>
      <c r="Z279" s="125"/>
      <c r="AA279" s="125"/>
      <c r="AB279" s="125"/>
      <c r="AC279" s="125"/>
      <c r="AD279" s="125"/>
      <c r="AE279" s="125"/>
      <c r="AF279" s="125"/>
      <c r="AG279" s="125"/>
      <c r="AH279" s="125"/>
      <c r="AI279" s="125"/>
      <c r="AJ279" s="125"/>
      <c r="AK279" s="125"/>
      <c r="AL279" s="125"/>
      <c r="AM279" s="125"/>
      <c r="AN279" s="125"/>
      <c r="AO279" s="125"/>
      <c r="AP279" s="125"/>
      <c r="AQ279" s="125"/>
      <c r="AR279" s="125"/>
      <c r="AS279" s="125"/>
      <c r="AT279" s="125"/>
      <c r="AU279" s="125"/>
      <c r="AV279" s="125"/>
      <c r="AW279" s="125"/>
      <c r="AX279" s="125"/>
      <c r="AY279" s="125"/>
      <c r="AZ279" s="125"/>
      <c r="BA279" s="125"/>
      <c r="BB279" s="125"/>
      <c r="BC279" s="125"/>
      <c r="BD279" s="125"/>
      <c r="BE279" s="125"/>
      <c r="BF279" s="125"/>
    </row>
    <row r="280" spans="1:58" ht="15.75" customHeight="1">
      <c r="A280" s="125"/>
      <c r="B280" s="125"/>
      <c r="C280" s="125"/>
      <c r="D280" s="125"/>
      <c r="E280" s="125"/>
      <c r="F280" s="125"/>
      <c r="G280" s="125"/>
      <c r="H280" s="125"/>
      <c r="I280" s="125"/>
      <c r="J280" s="125"/>
      <c r="K280" s="125"/>
      <c r="L280" s="125"/>
      <c r="M280" s="125"/>
      <c r="N280" s="125"/>
      <c r="O280" s="125"/>
      <c r="P280" s="125"/>
      <c r="Q280" s="125"/>
      <c r="R280" s="125"/>
      <c r="S280" s="125"/>
      <c r="T280" s="125"/>
      <c r="U280" s="125"/>
      <c r="V280" s="125"/>
      <c r="W280" s="125"/>
      <c r="X280" s="125"/>
      <c r="Y280" s="125"/>
      <c r="Z280" s="125"/>
      <c r="AA280" s="125"/>
      <c r="AB280" s="125"/>
      <c r="AC280" s="125"/>
      <c r="AD280" s="125"/>
      <c r="AE280" s="125"/>
      <c r="AF280" s="125"/>
      <c r="AG280" s="125"/>
      <c r="AH280" s="125"/>
      <c r="AI280" s="125"/>
      <c r="AJ280" s="125"/>
      <c r="AK280" s="125"/>
      <c r="AL280" s="125"/>
      <c r="AM280" s="125"/>
      <c r="AN280" s="125"/>
      <c r="AO280" s="125"/>
      <c r="AP280" s="125"/>
      <c r="AQ280" s="125"/>
      <c r="AR280" s="125"/>
      <c r="AS280" s="125"/>
      <c r="AT280" s="125"/>
      <c r="AU280" s="125"/>
      <c r="AV280" s="125"/>
      <c r="AW280" s="125"/>
      <c r="AX280" s="125"/>
      <c r="AY280" s="125"/>
      <c r="AZ280" s="125"/>
      <c r="BA280" s="125"/>
      <c r="BB280" s="125"/>
      <c r="BC280" s="125"/>
      <c r="BD280" s="125"/>
      <c r="BE280" s="125"/>
      <c r="BF280" s="125"/>
    </row>
    <row r="281" spans="1:58" ht="15.75" customHeight="1">
      <c r="A281" s="125"/>
      <c r="B281" s="125"/>
      <c r="C281" s="125"/>
      <c r="D281" s="125"/>
      <c r="E281" s="125"/>
      <c r="F281" s="125"/>
      <c r="G281" s="125"/>
      <c r="H281" s="125"/>
      <c r="I281" s="125"/>
      <c r="J281" s="125"/>
      <c r="K281" s="125"/>
      <c r="L281" s="125"/>
      <c r="M281" s="125"/>
      <c r="N281" s="125"/>
      <c r="O281" s="125"/>
      <c r="P281" s="125"/>
      <c r="Q281" s="125"/>
      <c r="R281" s="125"/>
      <c r="S281" s="125"/>
      <c r="T281" s="125"/>
      <c r="U281" s="125"/>
      <c r="V281" s="125"/>
      <c r="W281" s="125"/>
      <c r="X281" s="125"/>
      <c r="Y281" s="125"/>
      <c r="Z281" s="125"/>
      <c r="AA281" s="125"/>
      <c r="AB281" s="125"/>
      <c r="AC281" s="125"/>
      <c r="AD281" s="125"/>
      <c r="AE281" s="125"/>
      <c r="AF281" s="125"/>
      <c r="AG281" s="125"/>
      <c r="AH281" s="125"/>
      <c r="AI281" s="125"/>
      <c r="AJ281" s="125"/>
      <c r="AK281" s="125"/>
      <c r="AL281" s="125"/>
      <c r="AM281" s="125"/>
      <c r="AN281" s="125"/>
      <c r="AO281" s="125"/>
      <c r="AP281" s="125"/>
      <c r="AQ281" s="125"/>
      <c r="AR281" s="125"/>
      <c r="AS281" s="125"/>
      <c r="AT281" s="125"/>
      <c r="AU281" s="125"/>
      <c r="AV281" s="125"/>
      <c r="AW281" s="125"/>
      <c r="AX281" s="125"/>
      <c r="AY281" s="125"/>
      <c r="AZ281" s="125"/>
      <c r="BA281" s="125"/>
      <c r="BB281" s="125"/>
      <c r="BC281" s="125"/>
      <c r="BD281" s="125"/>
      <c r="BE281" s="125"/>
      <c r="BF281" s="125"/>
    </row>
    <row r="282" spans="1:58" ht="15.75" customHeight="1">
      <c r="A282" s="125"/>
      <c r="B282" s="125"/>
      <c r="C282" s="125"/>
      <c r="D282" s="125"/>
      <c r="E282" s="125"/>
      <c r="F282" s="125"/>
      <c r="G282" s="125"/>
      <c r="H282" s="125"/>
      <c r="I282" s="125"/>
      <c r="J282" s="125"/>
      <c r="K282" s="125"/>
      <c r="L282" s="125"/>
      <c r="M282" s="125"/>
      <c r="N282" s="125"/>
      <c r="O282" s="125"/>
      <c r="P282" s="125"/>
      <c r="Q282" s="125"/>
      <c r="R282" s="125"/>
      <c r="S282" s="125"/>
      <c r="T282" s="125"/>
      <c r="U282" s="125"/>
      <c r="V282" s="125"/>
      <c r="W282" s="125"/>
      <c r="X282" s="125"/>
      <c r="Y282" s="125"/>
      <c r="Z282" s="125"/>
      <c r="AA282" s="125"/>
      <c r="AB282" s="125"/>
      <c r="AC282" s="125"/>
      <c r="AD282" s="125"/>
      <c r="AE282" s="125"/>
      <c r="AF282" s="125"/>
      <c r="AG282" s="125"/>
      <c r="AH282" s="125"/>
      <c r="AI282" s="125"/>
      <c r="AJ282" s="125"/>
      <c r="AK282" s="125"/>
      <c r="AL282" s="125"/>
      <c r="AM282" s="125"/>
      <c r="AN282" s="125"/>
      <c r="AO282" s="125"/>
      <c r="AP282" s="125"/>
      <c r="AQ282" s="125"/>
      <c r="AR282" s="125"/>
      <c r="AS282" s="125"/>
      <c r="AT282" s="125"/>
      <c r="AU282" s="125"/>
      <c r="AV282" s="125"/>
      <c r="AW282" s="125"/>
      <c r="AX282" s="125"/>
      <c r="AY282" s="125"/>
      <c r="AZ282" s="125"/>
      <c r="BA282" s="125"/>
      <c r="BB282" s="125"/>
      <c r="BC282" s="125"/>
      <c r="BD282" s="125"/>
      <c r="BE282" s="125"/>
      <c r="BF282" s="125"/>
    </row>
    <row r="283" spans="1:58" ht="15.75" customHeight="1">
      <c r="A283" s="125"/>
      <c r="B283" s="125"/>
      <c r="C283" s="125"/>
      <c r="D283" s="125"/>
      <c r="E283" s="125"/>
      <c r="F283" s="125"/>
      <c r="G283" s="125"/>
      <c r="H283" s="125"/>
      <c r="I283" s="125"/>
      <c r="J283" s="125"/>
      <c r="K283" s="125"/>
      <c r="L283" s="125"/>
      <c r="M283" s="125"/>
      <c r="N283" s="125"/>
      <c r="O283" s="125"/>
      <c r="P283" s="125"/>
      <c r="Q283" s="125"/>
      <c r="R283" s="125"/>
      <c r="S283" s="125"/>
      <c r="T283" s="125"/>
      <c r="U283" s="125"/>
      <c r="V283" s="125"/>
      <c r="W283" s="125"/>
      <c r="X283" s="125"/>
      <c r="Y283" s="125"/>
      <c r="Z283" s="125"/>
      <c r="AA283" s="125"/>
      <c r="AB283" s="125"/>
      <c r="AC283" s="125"/>
      <c r="AD283" s="125"/>
      <c r="AE283" s="125"/>
      <c r="AF283" s="125"/>
      <c r="AG283" s="125"/>
      <c r="AH283" s="125"/>
      <c r="AI283" s="125"/>
      <c r="AJ283" s="125"/>
      <c r="AK283" s="125"/>
      <c r="AL283" s="125"/>
      <c r="AM283" s="125"/>
      <c r="AN283" s="125"/>
      <c r="AO283" s="125"/>
      <c r="AP283" s="125"/>
      <c r="AQ283" s="125"/>
      <c r="AR283" s="125"/>
      <c r="AS283" s="125"/>
      <c r="AT283" s="125"/>
      <c r="AU283" s="125"/>
      <c r="AV283" s="125"/>
      <c r="AW283" s="125"/>
      <c r="AX283" s="125"/>
      <c r="AY283" s="125"/>
      <c r="AZ283" s="125"/>
      <c r="BA283" s="125"/>
      <c r="BB283" s="125"/>
      <c r="BC283" s="125"/>
      <c r="BD283" s="125"/>
      <c r="BE283" s="125"/>
      <c r="BF283" s="125"/>
    </row>
    <row r="284" spans="1:58" ht="15.75" customHeight="1">
      <c r="A284" s="125"/>
      <c r="B284" s="125"/>
      <c r="C284" s="125"/>
      <c r="D284" s="125"/>
      <c r="E284" s="125"/>
      <c r="F284" s="125"/>
      <c r="G284" s="125"/>
      <c r="H284" s="125"/>
      <c r="I284" s="125"/>
      <c r="J284" s="125"/>
      <c r="K284" s="125"/>
      <c r="L284" s="125"/>
      <c r="M284" s="125"/>
      <c r="N284" s="125"/>
      <c r="O284" s="125"/>
      <c r="P284" s="125"/>
      <c r="Q284" s="125"/>
      <c r="R284" s="125"/>
      <c r="S284" s="125"/>
      <c r="T284" s="125"/>
      <c r="U284" s="125"/>
      <c r="V284" s="125"/>
      <c r="W284" s="125"/>
      <c r="X284" s="125"/>
      <c r="Y284" s="125"/>
      <c r="Z284" s="125"/>
      <c r="AA284" s="125"/>
      <c r="AB284" s="125"/>
      <c r="AC284" s="125"/>
      <c r="AD284" s="125"/>
      <c r="AE284" s="125"/>
      <c r="AF284" s="125"/>
      <c r="AG284" s="125"/>
      <c r="AH284" s="125"/>
      <c r="AI284" s="125"/>
      <c r="AJ284" s="125"/>
      <c r="AK284" s="125"/>
      <c r="AL284" s="125"/>
      <c r="AM284" s="125"/>
      <c r="AN284" s="125"/>
      <c r="AO284" s="125"/>
      <c r="AP284" s="125"/>
      <c r="AQ284" s="125"/>
      <c r="AR284" s="125"/>
      <c r="AS284" s="125"/>
      <c r="AT284" s="125"/>
      <c r="AU284" s="125"/>
      <c r="AV284" s="125"/>
      <c r="AW284" s="125"/>
      <c r="AX284" s="125"/>
      <c r="AY284" s="125"/>
      <c r="AZ284" s="125"/>
      <c r="BA284" s="125"/>
      <c r="BB284" s="125"/>
      <c r="BC284" s="125"/>
      <c r="BD284" s="125"/>
      <c r="BE284" s="125"/>
      <c r="BF284" s="125"/>
    </row>
    <row r="285" spans="1:58" ht="15.75" customHeight="1">
      <c r="A285" s="125"/>
      <c r="B285" s="125"/>
      <c r="C285" s="125"/>
      <c r="D285" s="125"/>
      <c r="E285" s="125"/>
      <c r="F285" s="125"/>
      <c r="G285" s="125"/>
      <c r="H285" s="125"/>
      <c r="I285" s="125"/>
      <c r="J285" s="125"/>
      <c r="K285" s="125"/>
      <c r="L285" s="125"/>
      <c r="M285" s="125"/>
      <c r="N285" s="125"/>
      <c r="O285" s="125"/>
      <c r="P285" s="125"/>
      <c r="Q285" s="125"/>
      <c r="R285" s="125"/>
      <c r="S285" s="125"/>
      <c r="T285" s="125"/>
      <c r="U285" s="125"/>
      <c r="V285" s="125"/>
      <c r="W285" s="125"/>
      <c r="X285" s="125"/>
      <c r="Y285" s="125"/>
      <c r="Z285" s="125"/>
      <c r="AA285" s="125"/>
      <c r="AB285" s="125"/>
      <c r="AC285" s="125"/>
      <c r="AD285" s="125"/>
      <c r="AE285" s="125"/>
      <c r="AF285" s="125"/>
      <c r="AG285" s="125"/>
      <c r="AH285" s="125"/>
      <c r="AI285" s="125"/>
      <c r="AJ285" s="125"/>
      <c r="AK285" s="125"/>
      <c r="AL285" s="125"/>
      <c r="AM285" s="125"/>
      <c r="AN285" s="125"/>
      <c r="AO285" s="125"/>
      <c r="AP285" s="125"/>
      <c r="AQ285" s="125"/>
      <c r="AR285" s="125"/>
      <c r="AS285" s="125"/>
      <c r="AT285" s="125"/>
      <c r="AU285" s="125"/>
      <c r="AV285" s="125"/>
      <c r="AW285" s="125"/>
      <c r="AX285" s="125"/>
      <c r="AY285" s="125"/>
      <c r="AZ285" s="125"/>
      <c r="BA285" s="125"/>
      <c r="BB285" s="125"/>
      <c r="BC285" s="125"/>
      <c r="BD285" s="125"/>
      <c r="BE285" s="125"/>
      <c r="BF285" s="125"/>
    </row>
    <row r="286" spans="1:58" ht="15.75" customHeight="1">
      <c r="A286" s="125"/>
      <c r="B286" s="125"/>
      <c r="C286" s="125"/>
      <c r="D286" s="125"/>
      <c r="E286" s="125"/>
      <c r="F286" s="125"/>
      <c r="G286" s="125"/>
      <c r="H286" s="125"/>
      <c r="I286" s="125"/>
      <c r="J286" s="125"/>
      <c r="K286" s="125"/>
      <c r="L286" s="125"/>
      <c r="M286" s="125"/>
      <c r="N286" s="125"/>
      <c r="O286" s="125"/>
      <c r="P286" s="125"/>
      <c r="Q286" s="125"/>
      <c r="R286" s="125"/>
      <c r="S286" s="125"/>
      <c r="T286" s="125"/>
      <c r="U286" s="125"/>
      <c r="V286" s="125"/>
      <c r="W286" s="125"/>
      <c r="X286" s="125"/>
      <c r="Y286" s="125"/>
      <c r="Z286" s="125"/>
      <c r="AA286" s="125"/>
      <c r="AB286" s="125"/>
      <c r="AC286" s="125"/>
      <c r="AD286" s="125"/>
      <c r="AE286" s="125"/>
      <c r="AF286" s="125"/>
      <c r="AG286" s="125"/>
      <c r="AH286" s="125"/>
      <c r="AI286" s="125"/>
      <c r="AJ286" s="125"/>
      <c r="AK286" s="125"/>
      <c r="AL286" s="125"/>
      <c r="AM286" s="125"/>
      <c r="AN286" s="125"/>
      <c r="AO286" s="125"/>
      <c r="AP286" s="125"/>
      <c r="AQ286" s="125"/>
      <c r="AR286" s="125"/>
      <c r="AS286" s="125"/>
      <c r="AT286" s="125"/>
      <c r="AU286" s="125"/>
      <c r="AV286" s="125"/>
      <c r="AW286" s="125"/>
      <c r="AX286" s="125"/>
      <c r="AY286" s="125"/>
      <c r="AZ286" s="125"/>
      <c r="BA286" s="125"/>
      <c r="BB286" s="125"/>
      <c r="BC286" s="125"/>
      <c r="BD286" s="125"/>
      <c r="BE286" s="125"/>
      <c r="BF286" s="125"/>
    </row>
    <row r="287" spans="1:58" ht="15.75" customHeight="1">
      <c r="A287" s="125"/>
      <c r="B287" s="125"/>
      <c r="C287" s="125"/>
      <c r="D287" s="125"/>
      <c r="E287" s="125"/>
      <c r="F287" s="125"/>
      <c r="G287" s="125"/>
      <c r="H287" s="125"/>
      <c r="I287" s="125"/>
      <c r="J287" s="125"/>
      <c r="K287" s="125"/>
      <c r="L287" s="125"/>
      <c r="M287" s="125"/>
      <c r="N287" s="125"/>
      <c r="O287" s="125"/>
      <c r="P287" s="125"/>
      <c r="Q287" s="125"/>
      <c r="R287" s="125"/>
      <c r="S287" s="125"/>
      <c r="T287" s="125"/>
      <c r="U287" s="125"/>
      <c r="V287" s="125"/>
      <c r="W287" s="125"/>
      <c r="X287" s="125"/>
      <c r="Y287" s="125"/>
      <c r="Z287" s="125"/>
      <c r="AA287" s="125"/>
      <c r="AB287" s="125"/>
      <c r="AC287" s="125"/>
      <c r="AD287" s="125"/>
      <c r="AE287" s="125"/>
      <c r="AF287" s="125"/>
      <c r="AG287" s="125"/>
      <c r="AH287" s="125"/>
      <c r="AI287" s="125"/>
      <c r="AJ287" s="125"/>
      <c r="AK287" s="125"/>
      <c r="AL287" s="125"/>
      <c r="AM287" s="125"/>
      <c r="AN287" s="125"/>
      <c r="AO287" s="125"/>
      <c r="AP287" s="125"/>
      <c r="AQ287" s="125"/>
      <c r="AR287" s="125"/>
      <c r="AS287" s="125"/>
      <c r="AT287" s="125"/>
      <c r="AU287" s="125"/>
      <c r="AV287" s="125"/>
      <c r="AW287" s="125"/>
      <c r="AX287" s="125"/>
      <c r="AY287" s="125"/>
      <c r="AZ287" s="125"/>
      <c r="BA287" s="125"/>
      <c r="BB287" s="125"/>
      <c r="BC287" s="125"/>
      <c r="BD287" s="125"/>
      <c r="BE287" s="125"/>
      <c r="BF287" s="125"/>
    </row>
    <row r="288" spans="1:58" ht="15.75" customHeight="1">
      <c r="A288" s="125"/>
      <c r="B288" s="125"/>
      <c r="C288" s="125"/>
      <c r="D288" s="125"/>
      <c r="E288" s="125"/>
      <c r="F288" s="125"/>
      <c r="G288" s="125"/>
      <c r="H288" s="125"/>
      <c r="I288" s="125"/>
      <c r="J288" s="125"/>
      <c r="K288" s="125"/>
      <c r="L288" s="125"/>
      <c r="M288" s="125"/>
      <c r="N288" s="125"/>
      <c r="O288" s="125"/>
      <c r="P288" s="125"/>
      <c r="Q288" s="125"/>
      <c r="R288" s="125"/>
      <c r="S288" s="125"/>
      <c r="T288" s="125"/>
      <c r="U288" s="125"/>
      <c r="V288" s="125"/>
      <c r="W288" s="125"/>
      <c r="X288" s="125"/>
      <c r="Y288" s="125"/>
      <c r="Z288" s="125"/>
      <c r="AA288" s="125"/>
      <c r="AB288" s="125"/>
      <c r="AC288" s="125"/>
      <c r="AD288" s="125"/>
      <c r="AE288" s="125"/>
      <c r="AF288" s="125"/>
      <c r="AG288" s="125"/>
      <c r="AH288" s="125"/>
      <c r="AI288" s="125"/>
      <c r="AJ288" s="125"/>
      <c r="AK288" s="125"/>
      <c r="AL288" s="125"/>
      <c r="AM288" s="125"/>
      <c r="AN288" s="125"/>
      <c r="AO288" s="125"/>
      <c r="AP288" s="125"/>
      <c r="AQ288" s="125"/>
      <c r="AR288" s="125"/>
      <c r="AS288" s="125"/>
      <c r="AT288" s="125"/>
      <c r="AU288" s="125"/>
      <c r="AV288" s="125"/>
      <c r="AW288" s="125"/>
      <c r="AX288" s="125"/>
      <c r="AY288" s="125"/>
      <c r="AZ288" s="125"/>
      <c r="BA288" s="125"/>
      <c r="BB288" s="125"/>
      <c r="BC288" s="125"/>
      <c r="BD288" s="125"/>
      <c r="BE288" s="125"/>
      <c r="BF288" s="125"/>
    </row>
    <row r="289" spans="1:58" ht="15.75" customHeight="1">
      <c r="A289" s="125"/>
      <c r="B289" s="125"/>
      <c r="C289" s="125"/>
      <c r="D289" s="125"/>
      <c r="E289" s="125"/>
      <c r="F289" s="125"/>
      <c r="G289" s="125"/>
      <c r="H289" s="125"/>
      <c r="I289" s="125"/>
      <c r="J289" s="125"/>
      <c r="K289" s="125"/>
      <c r="L289" s="125"/>
      <c r="M289" s="125"/>
      <c r="N289" s="125"/>
      <c r="O289" s="125"/>
      <c r="P289" s="125"/>
      <c r="Q289" s="125"/>
      <c r="R289" s="125"/>
      <c r="S289" s="125"/>
      <c r="T289" s="125"/>
      <c r="U289" s="125"/>
      <c r="V289" s="125"/>
      <c r="W289" s="125"/>
      <c r="X289" s="125"/>
      <c r="Y289" s="125"/>
      <c r="Z289" s="125"/>
      <c r="AA289" s="125"/>
      <c r="AB289" s="125"/>
      <c r="AC289" s="125"/>
      <c r="AD289" s="125"/>
      <c r="AE289" s="125"/>
      <c r="AF289" s="125"/>
      <c r="AG289" s="125"/>
      <c r="AH289" s="125"/>
      <c r="AI289" s="125"/>
      <c r="AJ289" s="125"/>
      <c r="AK289" s="125"/>
      <c r="AL289" s="125"/>
      <c r="AM289" s="125"/>
      <c r="AN289" s="125"/>
      <c r="AO289" s="125"/>
      <c r="AP289" s="125"/>
      <c r="AQ289" s="125"/>
      <c r="AR289" s="125"/>
      <c r="AS289" s="125"/>
      <c r="AT289" s="125"/>
      <c r="AU289" s="125"/>
      <c r="AV289" s="125"/>
      <c r="AW289" s="125"/>
      <c r="AX289" s="125"/>
      <c r="AY289" s="125"/>
      <c r="AZ289" s="125"/>
      <c r="BA289" s="125"/>
      <c r="BB289" s="125"/>
      <c r="BC289" s="125"/>
      <c r="BD289" s="125"/>
      <c r="BE289" s="125"/>
      <c r="BF289" s="125"/>
    </row>
    <row r="290" spans="1:58" ht="15.75" customHeight="1">
      <c r="A290" s="125"/>
      <c r="B290" s="125"/>
      <c r="C290" s="125"/>
      <c r="D290" s="125"/>
      <c r="E290" s="125"/>
      <c r="F290" s="125"/>
      <c r="G290" s="125"/>
      <c r="H290" s="125"/>
      <c r="I290" s="125"/>
      <c r="J290" s="125"/>
      <c r="K290" s="125"/>
      <c r="L290" s="125"/>
      <c r="M290" s="125"/>
      <c r="N290" s="125"/>
      <c r="O290" s="125"/>
      <c r="P290" s="125"/>
      <c r="Q290" s="125"/>
      <c r="R290" s="125"/>
      <c r="S290" s="125"/>
      <c r="T290" s="125"/>
      <c r="U290" s="125"/>
      <c r="V290" s="125"/>
      <c r="W290" s="125"/>
      <c r="X290" s="125"/>
      <c r="Y290" s="125"/>
      <c r="Z290" s="125"/>
      <c r="AA290" s="125"/>
      <c r="AB290" s="125"/>
      <c r="AC290" s="125"/>
      <c r="AD290" s="125"/>
      <c r="AE290" s="125"/>
      <c r="AF290" s="125"/>
      <c r="AG290" s="125"/>
      <c r="AH290" s="125"/>
      <c r="AI290" s="125"/>
      <c r="AJ290" s="125"/>
      <c r="AK290" s="125"/>
      <c r="AL290" s="125"/>
      <c r="AM290" s="125"/>
      <c r="AN290" s="125"/>
      <c r="AO290" s="125"/>
      <c r="AP290" s="125"/>
      <c r="AQ290" s="125"/>
      <c r="AR290" s="125"/>
      <c r="AS290" s="125"/>
      <c r="AT290" s="125"/>
      <c r="AU290" s="125"/>
      <c r="AV290" s="125"/>
      <c r="AW290" s="125"/>
      <c r="AX290" s="125"/>
      <c r="AY290" s="125"/>
      <c r="AZ290" s="125"/>
      <c r="BA290" s="125"/>
      <c r="BB290" s="125"/>
      <c r="BC290" s="125"/>
      <c r="BD290" s="125"/>
      <c r="BE290" s="125"/>
      <c r="BF290" s="125"/>
    </row>
    <row r="291" spans="1:58" ht="15.75" customHeight="1">
      <c r="A291" s="125"/>
      <c r="B291" s="125"/>
      <c r="C291" s="125"/>
      <c r="D291" s="125"/>
      <c r="E291" s="125"/>
      <c r="F291" s="125"/>
      <c r="G291" s="125"/>
      <c r="H291" s="125"/>
      <c r="I291" s="125"/>
      <c r="J291" s="125"/>
      <c r="K291" s="125"/>
      <c r="L291" s="125"/>
      <c r="M291" s="125"/>
      <c r="N291" s="125"/>
      <c r="O291" s="125"/>
      <c r="P291" s="125"/>
      <c r="Q291" s="125"/>
      <c r="R291" s="125"/>
      <c r="S291" s="125"/>
      <c r="T291" s="125"/>
      <c r="U291" s="125"/>
      <c r="V291" s="125"/>
      <c r="W291" s="125"/>
      <c r="X291" s="125"/>
      <c r="Y291" s="125"/>
      <c r="Z291" s="125"/>
      <c r="AA291" s="125"/>
      <c r="AB291" s="125"/>
      <c r="AC291" s="125"/>
      <c r="AD291" s="125"/>
      <c r="AE291" s="125"/>
      <c r="AF291" s="125"/>
      <c r="AG291" s="125"/>
      <c r="AH291" s="125"/>
      <c r="AI291" s="125"/>
      <c r="AJ291" s="125"/>
      <c r="AK291" s="125"/>
      <c r="AL291" s="125"/>
      <c r="AM291" s="125"/>
      <c r="AN291" s="125"/>
      <c r="AO291" s="125"/>
      <c r="AP291" s="125"/>
      <c r="AQ291" s="125"/>
      <c r="AR291" s="125"/>
      <c r="AS291" s="125"/>
      <c r="AT291" s="125"/>
      <c r="AU291" s="125"/>
      <c r="AV291" s="125"/>
      <c r="AW291" s="125"/>
      <c r="AX291" s="125"/>
      <c r="AY291" s="125"/>
      <c r="AZ291" s="125"/>
      <c r="BA291" s="125"/>
      <c r="BB291" s="125"/>
      <c r="BC291" s="125"/>
      <c r="BD291" s="125"/>
      <c r="BE291" s="125"/>
      <c r="BF291" s="125"/>
    </row>
    <row r="292" spans="1:58" ht="15.75" customHeight="1">
      <c r="A292" s="125"/>
      <c r="B292" s="125"/>
      <c r="C292" s="125"/>
      <c r="D292" s="125"/>
      <c r="E292" s="125"/>
      <c r="F292" s="125"/>
      <c r="G292" s="125"/>
      <c r="H292" s="125"/>
      <c r="I292" s="125"/>
      <c r="J292" s="125"/>
      <c r="K292" s="125"/>
      <c r="L292" s="125"/>
      <c r="M292" s="125"/>
      <c r="N292" s="125"/>
      <c r="O292" s="125"/>
      <c r="P292" s="125"/>
      <c r="Q292" s="125"/>
      <c r="R292" s="125"/>
      <c r="S292" s="125"/>
      <c r="T292" s="125"/>
      <c r="U292" s="125"/>
      <c r="V292" s="125"/>
      <c r="W292" s="125"/>
      <c r="X292" s="125"/>
      <c r="Y292" s="125"/>
      <c r="Z292" s="125"/>
      <c r="AA292" s="125"/>
      <c r="AB292" s="125"/>
      <c r="AC292" s="125"/>
      <c r="AD292" s="125"/>
      <c r="AE292" s="125"/>
      <c r="AF292" s="125"/>
      <c r="AG292" s="125"/>
      <c r="AH292" s="125"/>
      <c r="AI292" s="125"/>
      <c r="AJ292" s="125"/>
      <c r="AK292" s="125"/>
      <c r="AL292" s="125"/>
      <c r="AM292" s="125"/>
      <c r="AN292" s="125"/>
      <c r="AO292" s="125"/>
      <c r="AP292" s="125"/>
      <c r="AQ292" s="125"/>
      <c r="AR292" s="125"/>
      <c r="AS292" s="125"/>
      <c r="AT292" s="125"/>
      <c r="AU292" s="125"/>
      <c r="AV292" s="125"/>
      <c r="AW292" s="125"/>
      <c r="AX292" s="125"/>
      <c r="AY292" s="125"/>
      <c r="AZ292" s="125"/>
      <c r="BA292" s="125"/>
      <c r="BB292" s="125"/>
      <c r="BC292" s="125"/>
      <c r="BD292" s="125"/>
      <c r="BE292" s="125"/>
      <c r="BF292" s="125"/>
    </row>
    <row r="293" spans="1:58" ht="15.75" customHeight="1">
      <c r="A293" s="125"/>
      <c r="B293" s="125"/>
      <c r="C293" s="125"/>
      <c r="D293" s="125"/>
      <c r="E293" s="125"/>
      <c r="F293" s="125"/>
      <c r="G293" s="125"/>
      <c r="H293" s="125"/>
      <c r="I293" s="125"/>
      <c r="J293" s="125"/>
      <c r="K293" s="125"/>
      <c r="L293" s="125"/>
      <c r="M293" s="125"/>
      <c r="N293" s="125"/>
      <c r="O293" s="125"/>
      <c r="P293" s="125"/>
      <c r="Q293" s="125"/>
      <c r="R293" s="125"/>
      <c r="S293" s="125"/>
      <c r="T293" s="125"/>
      <c r="U293" s="125"/>
      <c r="V293" s="125"/>
      <c r="W293" s="125"/>
      <c r="X293" s="125"/>
      <c r="Y293" s="125"/>
      <c r="Z293" s="125"/>
      <c r="AA293" s="125"/>
      <c r="AB293" s="125"/>
      <c r="AC293" s="125"/>
      <c r="AD293" s="125"/>
      <c r="AE293" s="125"/>
      <c r="AF293" s="125"/>
      <c r="AG293" s="125"/>
      <c r="AH293" s="125"/>
      <c r="AI293" s="125"/>
      <c r="AJ293" s="125"/>
      <c r="AK293" s="125"/>
      <c r="AL293" s="125"/>
      <c r="AM293" s="125"/>
      <c r="AN293" s="125"/>
      <c r="AO293" s="125"/>
      <c r="AP293" s="125"/>
      <c r="AQ293" s="125"/>
      <c r="AR293" s="125"/>
      <c r="AS293" s="125"/>
      <c r="AT293" s="125"/>
      <c r="AU293" s="125"/>
      <c r="AV293" s="125"/>
      <c r="AW293" s="125"/>
      <c r="AX293" s="125"/>
      <c r="AY293" s="125"/>
      <c r="AZ293" s="125"/>
      <c r="BA293" s="125"/>
      <c r="BB293" s="125"/>
      <c r="BC293" s="125"/>
      <c r="BD293" s="125"/>
      <c r="BE293" s="125"/>
      <c r="BF293" s="125"/>
    </row>
    <row r="294" spans="1:58" ht="15.75" customHeight="1">
      <c r="A294" s="125"/>
      <c r="B294" s="125"/>
      <c r="C294" s="125"/>
      <c r="D294" s="125"/>
      <c r="E294" s="125"/>
      <c r="F294" s="125"/>
      <c r="G294" s="125"/>
      <c r="H294" s="125"/>
      <c r="I294" s="125"/>
      <c r="J294" s="125"/>
      <c r="K294" s="125"/>
      <c r="L294" s="125"/>
      <c r="M294" s="125"/>
      <c r="N294" s="125"/>
      <c r="O294" s="125"/>
      <c r="P294" s="125"/>
      <c r="Q294" s="125"/>
      <c r="R294" s="125"/>
      <c r="S294" s="125"/>
      <c r="T294" s="125"/>
      <c r="U294" s="125"/>
      <c r="V294" s="125"/>
      <c r="W294" s="125"/>
      <c r="X294" s="125"/>
      <c r="Y294" s="125"/>
      <c r="Z294" s="125"/>
      <c r="AA294" s="125"/>
      <c r="AB294" s="125"/>
      <c r="AC294" s="125"/>
      <c r="AD294" s="125"/>
      <c r="AE294" s="125"/>
      <c r="AF294" s="125"/>
      <c r="AG294" s="125"/>
      <c r="AH294" s="125"/>
      <c r="AI294" s="125"/>
      <c r="AJ294" s="125"/>
      <c r="AK294" s="125"/>
      <c r="AL294" s="125"/>
      <c r="AM294" s="125"/>
      <c r="AN294" s="125"/>
      <c r="AO294" s="125"/>
      <c r="AP294" s="125"/>
      <c r="AQ294" s="125"/>
      <c r="AR294" s="125"/>
      <c r="AS294" s="125"/>
      <c r="AT294" s="125"/>
      <c r="AU294" s="125"/>
      <c r="AV294" s="125"/>
      <c r="AW294" s="125"/>
      <c r="AX294" s="125"/>
      <c r="AY294" s="125"/>
      <c r="AZ294" s="125"/>
      <c r="BA294" s="125"/>
      <c r="BB294" s="125"/>
      <c r="BC294" s="125"/>
      <c r="BD294" s="125"/>
      <c r="BE294" s="125"/>
      <c r="BF294" s="125"/>
    </row>
    <row r="295" spans="1:58" ht="15.75" customHeight="1">
      <c r="A295" s="125"/>
      <c r="B295" s="125"/>
      <c r="C295" s="125"/>
      <c r="D295" s="125"/>
      <c r="E295" s="125"/>
      <c r="F295" s="125"/>
      <c r="G295" s="125"/>
      <c r="H295" s="125"/>
      <c r="I295" s="125"/>
      <c r="J295" s="125"/>
      <c r="K295" s="125"/>
      <c r="L295" s="125"/>
      <c r="M295" s="125"/>
      <c r="N295" s="125"/>
      <c r="O295" s="125"/>
      <c r="P295" s="125"/>
      <c r="Q295" s="125"/>
      <c r="R295" s="125"/>
      <c r="S295" s="125"/>
      <c r="T295" s="125"/>
      <c r="U295" s="125"/>
      <c r="V295" s="125"/>
      <c r="W295" s="125"/>
      <c r="X295" s="125"/>
      <c r="Y295" s="125"/>
      <c r="Z295" s="125"/>
      <c r="AA295" s="125"/>
      <c r="AB295" s="125"/>
      <c r="AC295" s="125"/>
      <c r="AD295" s="125"/>
      <c r="AE295" s="125"/>
      <c r="AF295" s="125"/>
      <c r="AG295" s="125"/>
      <c r="AH295" s="125"/>
      <c r="AI295" s="125"/>
      <c r="AJ295" s="125"/>
      <c r="AK295" s="125"/>
      <c r="AL295" s="125"/>
      <c r="AM295" s="125"/>
      <c r="AN295" s="125"/>
      <c r="AO295" s="125"/>
      <c r="AP295" s="125"/>
      <c r="AQ295" s="125"/>
      <c r="AR295" s="125"/>
      <c r="AS295" s="125"/>
      <c r="AT295" s="125"/>
      <c r="AU295" s="125"/>
      <c r="AV295" s="125"/>
      <c r="AW295" s="125"/>
      <c r="AX295" s="125"/>
      <c r="AY295" s="125"/>
      <c r="AZ295" s="125"/>
      <c r="BA295" s="125"/>
      <c r="BB295" s="125"/>
      <c r="BC295" s="125"/>
      <c r="BD295" s="125"/>
      <c r="BE295" s="125"/>
      <c r="BF295" s="125"/>
    </row>
    <row r="296" spans="1:58" ht="15.75" customHeight="1">
      <c r="A296" s="125"/>
      <c r="B296" s="125"/>
      <c r="C296" s="125"/>
      <c r="D296" s="125"/>
      <c r="E296" s="125"/>
      <c r="F296" s="125"/>
      <c r="G296" s="125"/>
      <c r="H296" s="125"/>
      <c r="I296" s="125"/>
      <c r="J296" s="125"/>
      <c r="K296" s="125"/>
      <c r="L296" s="125"/>
      <c r="M296" s="125"/>
      <c r="N296" s="125"/>
      <c r="O296" s="125"/>
      <c r="P296" s="125"/>
      <c r="Q296" s="125"/>
      <c r="R296" s="125"/>
      <c r="S296" s="125"/>
      <c r="T296" s="125"/>
      <c r="U296" s="125"/>
      <c r="V296" s="125"/>
      <c r="W296" s="125"/>
      <c r="X296" s="125"/>
      <c r="Y296" s="125"/>
      <c r="Z296" s="125"/>
      <c r="AA296" s="125"/>
      <c r="AB296" s="125"/>
      <c r="AC296" s="125"/>
      <c r="AD296" s="125"/>
      <c r="AE296" s="125"/>
      <c r="AF296" s="125"/>
      <c r="AG296" s="125"/>
      <c r="AH296" s="125"/>
      <c r="AI296" s="125"/>
      <c r="AJ296" s="125"/>
      <c r="AK296" s="125"/>
      <c r="AL296" s="125"/>
      <c r="AM296" s="125"/>
      <c r="AN296" s="125"/>
      <c r="AO296" s="125"/>
      <c r="AP296" s="125"/>
      <c r="AQ296" s="125"/>
      <c r="AR296" s="125"/>
      <c r="AS296" s="125"/>
      <c r="AT296" s="125"/>
      <c r="AU296" s="125"/>
      <c r="AV296" s="125"/>
      <c r="AW296" s="125"/>
      <c r="AX296" s="125"/>
      <c r="AY296" s="125"/>
      <c r="AZ296" s="125"/>
      <c r="BA296" s="125"/>
      <c r="BB296" s="125"/>
      <c r="BC296" s="125"/>
      <c r="BD296" s="125"/>
      <c r="BE296" s="125"/>
      <c r="BF296" s="125"/>
    </row>
    <row r="297" spans="1:58" ht="15.75" customHeight="1">
      <c r="A297" s="125"/>
      <c r="B297" s="125"/>
      <c r="C297" s="125"/>
      <c r="D297" s="125"/>
      <c r="E297" s="125"/>
      <c r="F297" s="125"/>
      <c r="G297" s="125"/>
      <c r="H297" s="125"/>
      <c r="I297" s="125"/>
      <c r="J297" s="125"/>
      <c r="K297" s="125"/>
      <c r="L297" s="125"/>
      <c r="M297" s="125"/>
      <c r="N297" s="125"/>
      <c r="O297" s="125"/>
      <c r="P297" s="125"/>
      <c r="Q297" s="125"/>
      <c r="R297" s="125"/>
      <c r="S297" s="125"/>
      <c r="T297" s="125"/>
      <c r="U297" s="125"/>
      <c r="V297" s="125"/>
      <c r="W297" s="125"/>
      <c r="X297" s="125"/>
      <c r="Y297" s="125"/>
      <c r="Z297" s="125"/>
      <c r="AA297" s="125"/>
      <c r="AB297" s="125"/>
      <c r="AC297" s="125"/>
      <c r="AD297" s="125"/>
      <c r="AE297" s="125"/>
      <c r="AF297" s="125"/>
      <c r="AG297" s="125"/>
      <c r="AH297" s="125"/>
      <c r="AI297" s="125"/>
      <c r="AJ297" s="125"/>
      <c r="AK297" s="125"/>
      <c r="AL297" s="125"/>
      <c r="AM297" s="125"/>
      <c r="AN297" s="125"/>
      <c r="AO297" s="125"/>
      <c r="AP297" s="125"/>
      <c r="AQ297" s="125"/>
      <c r="AR297" s="125"/>
      <c r="AS297" s="125"/>
      <c r="AT297" s="125"/>
      <c r="AU297" s="125"/>
      <c r="AV297" s="125"/>
      <c r="AW297" s="125"/>
      <c r="AX297" s="125"/>
      <c r="AY297" s="125"/>
      <c r="AZ297" s="125"/>
      <c r="BA297" s="125"/>
      <c r="BB297" s="125"/>
      <c r="BC297" s="125"/>
      <c r="BD297" s="125"/>
      <c r="BE297" s="125"/>
      <c r="BF297" s="125"/>
    </row>
    <row r="298" spans="1:58" ht="15.75" customHeight="1">
      <c r="A298" s="125"/>
      <c r="B298" s="125"/>
      <c r="C298" s="125"/>
      <c r="D298" s="125"/>
      <c r="E298" s="125"/>
      <c r="F298" s="125"/>
      <c r="G298" s="125"/>
      <c r="H298" s="125"/>
      <c r="I298" s="125"/>
      <c r="J298" s="125"/>
      <c r="K298" s="125"/>
      <c r="L298" s="125"/>
      <c r="M298" s="125"/>
      <c r="N298" s="125"/>
      <c r="O298" s="125"/>
      <c r="P298" s="125"/>
      <c r="Q298" s="125"/>
      <c r="R298" s="125"/>
      <c r="S298" s="125"/>
      <c r="T298" s="125"/>
      <c r="U298" s="125"/>
      <c r="V298" s="125"/>
      <c r="W298" s="125"/>
      <c r="X298" s="125"/>
      <c r="Y298" s="125"/>
      <c r="Z298" s="125"/>
      <c r="AA298" s="125"/>
      <c r="AB298" s="125"/>
      <c r="AC298" s="125"/>
      <c r="AD298" s="125"/>
      <c r="AE298" s="125"/>
      <c r="AF298" s="125"/>
      <c r="AG298" s="125"/>
      <c r="AH298" s="125"/>
      <c r="AI298" s="125"/>
      <c r="AJ298" s="125"/>
      <c r="AK298" s="125"/>
      <c r="AL298" s="125"/>
      <c r="AM298" s="125"/>
      <c r="AN298" s="125"/>
      <c r="AO298" s="125"/>
      <c r="AP298" s="125"/>
      <c r="AQ298" s="125"/>
      <c r="AR298" s="125"/>
      <c r="AS298" s="125"/>
      <c r="AT298" s="125"/>
      <c r="AU298" s="125"/>
      <c r="AV298" s="125"/>
      <c r="AW298" s="125"/>
      <c r="AX298" s="125"/>
      <c r="AY298" s="125"/>
      <c r="AZ298" s="125"/>
      <c r="BA298" s="125"/>
      <c r="BB298" s="125"/>
      <c r="BC298" s="125"/>
      <c r="BD298" s="125"/>
      <c r="BE298" s="125"/>
      <c r="BF298" s="125"/>
    </row>
    <row r="299" spans="1:58" ht="15.75" customHeight="1">
      <c r="A299" s="125"/>
      <c r="B299" s="125"/>
      <c r="C299" s="125"/>
      <c r="D299" s="125"/>
      <c r="E299" s="125"/>
      <c r="F299" s="125"/>
      <c r="G299" s="125"/>
      <c r="H299" s="125"/>
      <c r="I299" s="125"/>
      <c r="J299" s="125"/>
      <c r="K299" s="125"/>
      <c r="L299" s="125"/>
      <c r="M299" s="125"/>
      <c r="N299" s="125"/>
      <c r="O299" s="125"/>
      <c r="P299" s="125"/>
      <c r="Q299" s="125"/>
      <c r="R299" s="125"/>
      <c r="S299" s="125"/>
      <c r="T299" s="125"/>
      <c r="U299" s="125"/>
      <c r="V299" s="125"/>
      <c r="W299" s="125"/>
      <c r="X299" s="125"/>
      <c r="Y299" s="125"/>
      <c r="Z299" s="125"/>
      <c r="AA299" s="125"/>
      <c r="AB299" s="125"/>
      <c r="AC299" s="125"/>
      <c r="AD299" s="125"/>
      <c r="AE299" s="125"/>
      <c r="AF299" s="125"/>
      <c r="AG299" s="125"/>
      <c r="AH299" s="125"/>
      <c r="AI299" s="125"/>
      <c r="AJ299" s="125"/>
      <c r="AK299" s="125"/>
      <c r="AL299" s="125"/>
      <c r="AM299" s="125"/>
      <c r="AN299" s="125"/>
      <c r="AO299" s="125"/>
      <c r="AP299" s="125"/>
      <c r="AQ299" s="125"/>
      <c r="AR299" s="125"/>
      <c r="AS299" s="125"/>
      <c r="AT299" s="125"/>
      <c r="AU299" s="125"/>
      <c r="AV299" s="125"/>
      <c r="AW299" s="125"/>
      <c r="AX299" s="125"/>
      <c r="AY299" s="125"/>
      <c r="AZ299" s="125"/>
      <c r="BA299" s="125"/>
      <c r="BB299" s="125"/>
      <c r="BC299" s="125"/>
      <c r="BD299" s="125"/>
      <c r="BE299" s="125"/>
      <c r="BF299" s="125"/>
    </row>
    <row r="300" spans="1:58" ht="15.75" customHeight="1">
      <c r="A300" s="125"/>
      <c r="B300" s="125"/>
      <c r="C300" s="125"/>
      <c r="D300" s="125"/>
      <c r="E300" s="125"/>
      <c r="F300" s="125"/>
      <c r="G300" s="125"/>
      <c r="H300" s="125"/>
      <c r="I300" s="125"/>
      <c r="J300" s="125"/>
      <c r="K300" s="125"/>
      <c r="L300" s="125"/>
      <c r="M300" s="125"/>
      <c r="N300" s="125"/>
      <c r="O300" s="125"/>
      <c r="P300" s="125"/>
      <c r="Q300" s="125"/>
      <c r="R300" s="125"/>
      <c r="S300" s="125"/>
      <c r="T300" s="125"/>
      <c r="U300" s="125"/>
      <c r="V300" s="125"/>
      <c r="W300" s="125"/>
      <c r="X300" s="125"/>
      <c r="Y300" s="125"/>
      <c r="Z300" s="125"/>
      <c r="AA300" s="125"/>
      <c r="AB300" s="125"/>
      <c r="AC300" s="125"/>
      <c r="AD300" s="125"/>
      <c r="AE300" s="125"/>
      <c r="AF300" s="125"/>
      <c r="AG300" s="125"/>
      <c r="AH300" s="125"/>
      <c r="AI300" s="125"/>
      <c r="AJ300" s="125"/>
      <c r="AK300" s="125"/>
      <c r="AL300" s="125"/>
      <c r="AM300" s="125"/>
      <c r="AN300" s="125"/>
      <c r="AO300" s="125"/>
      <c r="AP300" s="125"/>
      <c r="AQ300" s="125"/>
      <c r="AR300" s="125"/>
      <c r="AS300" s="125"/>
      <c r="AT300" s="125"/>
      <c r="AU300" s="125"/>
      <c r="AV300" s="125"/>
      <c r="AW300" s="125"/>
      <c r="AX300" s="125"/>
      <c r="AY300" s="125"/>
      <c r="AZ300" s="125"/>
      <c r="BA300" s="125"/>
      <c r="BB300" s="125"/>
      <c r="BC300" s="125"/>
      <c r="BD300" s="125"/>
      <c r="BE300" s="125"/>
      <c r="BF300" s="125"/>
    </row>
    <row r="301" spans="1:58" ht="15.75" customHeight="1">
      <c r="A301" s="125"/>
      <c r="B301" s="125"/>
      <c r="C301" s="125"/>
      <c r="D301" s="125"/>
      <c r="E301" s="125"/>
      <c r="F301" s="125"/>
      <c r="G301" s="125"/>
      <c r="H301" s="125"/>
      <c r="I301" s="125"/>
      <c r="J301" s="125"/>
      <c r="K301" s="125"/>
      <c r="L301" s="125"/>
      <c r="M301" s="125"/>
      <c r="N301" s="125"/>
      <c r="O301" s="125"/>
      <c r="P301" s="125"/>
      <c r="Q301" s="125"/>
      <c r="R301" s="125"/>
      <c r="S301" s="125"/>
      <c r="T301" s="125"/>
      <c r="U301" s="125"/>
      <c r="V301" s="125"/>
      <c r="W301" s="125"/>
      <c r="X301" s="125"/>
      <c r="Y301" s="125"/>
      <c r="Z301" s="125"/>
      <c r="AA301" s="125"/>
      <c r="AB301" s="125"/>
      <c r="AC301" s="125"/>
      <c r="AD301" s="125"/>
      <c r="AE301" s="125"/>
      <c r="AF301" s="125"/>
      <c r="AG301" s="125"/>
      <c r="AH301" s="125"/>
      <c r="AI301" s="125"/>
      <c r="AJ301" s="125"/>
      <c r="AK301" s="125"/>
      <c r="AL301" s="125"/>
      <c r="AM301" s="125"/>
      <c r="AN301" s="125"/>
      <c r="AO301" s="125"/>
      <c r="AP301" s="125"/>
      <c r="AQ301" s="125"/>
      <c r="AR301" s="125"/>
      <c r="AS301" s="125"/>
      <c r="AT301" s="125"/>
      <c r="AU301" s="125"/>
      <c r="AV301" s="125"/>
      <c r="AW301" s="125"/>
      <c r="AX301" s="125"/>
      <c r="AY301" s="125"/>
      <c r="AZ301" s="125"/>
      <c r="BA301" s="125"/>
      <c r="BB301" s="125"/>
      <c r="BC301" s="125"/>
      <c r="BD301" s="125"/>
      <c r="BE301" s="125"/>
      <c r="BF301" s="125"/>
    </row>
    <row r="302" spans="1:58" ht="15.75" customHeight="1">
      <c r="A302" s="125"/>
      <c r="B302" s="125"/>
      <c r="C302" s="125"/>
      <c r="D302" s="125"/>
      <c r="E302" s="125"/>
      <c r="F302" s="125"/>
      <c r="G302" s="125"/>
      <c r="H302" s="125"/>
      <c r="I302" s="125"/>
      <c r="J302" s="125"/>
      <c r="K302" s="125"/>
      <c r="L302" s="125"/>
      <c r="M302" s="125"/>
      <c r="N302" s="125"/>
      <c r="O302" s="125"/>
      <c r="P302" s="125"/>
      <c r="Q302" s="125"/>
      <c r="R302" s="125"/>
      <c r="S302" s="125"/>
      <c r="T302" s="125"/>
      <c r="U302" s="125"/>
      <c r="V302" s="125"/>
      <c r="W302" s="125"/>
      <c r="X302" s="125"/>
      <c r="Y302" s="125"/>
      <c r="Z302" s="125"/>
      <c r="AA302" s="125"/>
      <c r="AB302" s="125"/>
      <c r="AC302" s="125"/>
      <c r="AD302" s="125"/>
      <c r="AE302" s="125"/>
      <c r="AF302" s="125"/>
      <c r="AG302" s="125"/>
      <c r="AH302" s="125"/>
      <c r="AI302" s="125"/>
      <c r="AJ302" s="125"/>
      <c r="AK302" s="125"/>
      <c r="AL302" s="125"/>
      <c r="AM302" s="125"/>
      <c r="AN302" s="125"/>
      <c r="AO302" s="125"/>
      <c r="AP302" s="125"/>
      <c r="AQ302" s="125"/>
      <c r="AR302" s="125"/>
      <c r="AS302" s="125"/>
      <c r="AT302" s="125"/>
      <c r="AU302" s="125"/>
      <c r="AV302" s="125"/>
      <c r="AW302" s="125"/>
      <c r="AX302" s="125"/>
      <c r="AY302" s="125"/>
      <c r="AZ302" s="125"/>
      <c r="BA302" s="125"/>
      <c r="BB302" s="125"/>
      <c r="BC302" s="125"/>
      <c r="BD302" s="125"/>
      <c r="BE302" s="125"/>
      <c r="BF302" s="125"/>
    </row>
    <row r="303" spans="1:58" ht="15.75" customHeight="1">
      <c r="A303" s="125"/>
      <c r="B303" s="125"/>
      <c r="C303" s="125"/>
      <c r="D303" s="125"/>
      <c r="E303" s="125"/>
      <c r="F303" s="125"/>
      <c r="G303" s="125"/>
      <c r="H303" s="125"/>
      <c r="I303" s="125"/>
      <c r="J303" s="125"/>
      <c r="K303" s="125"/>
      <c r="L303" s="125"/>
      <c r="M303" s="125"/>
      <c r="N303" s="125"/>
      <c r="O303" s="125"/>
      <c r="P303" s="125"/>
      <c r="Q303" s="125"/>
      <c r="R303" s="125"/>
      <c r="S303" s="125"/>
      <c r="T303" s="125"/>
      <c r="U303" s="125"/>
      <c r="V303" s="125"/>
      <c r="W303" s="125"/>
      <c r="X303" s="125"/>
      <c r="Y303" s="125"/>
      <c r="Z303" s="125"/>
      <c r="AA303" s="125"/>
      <c r="AB303" s="125"/>
      <c r="AC303" s="125"/>
      <c r="AD303" s="125"/>
      <c r="AE303" s="125"/>
      <c r="AF303" s="125"/>
      <c r="AG303" s="125"/>
      <c r="AH303" s="125"/>
      <c r="AI303" s="125"/>
      <c r="AJ303" s="125"/>
      <c r="AK303" s="125"/>
      <c r="AL303" s="125"/>
      <c r="AM303" s="125"/>
      <c r="AN303" s="125"/>
      <c r="AO303" s="125"/>
      <c r="AP303" s="125"/>
      <c r="AQ303" s="125"/>
      <c r="AR303" s="125"/>
      <c r="AS303" s="125"/>
      <c r="AT303" s="125"/>
      <c r="AU303" s="125"/>
      <c r="AV303" s="125"/>
      <c r="AW303" s="125"/>
      <c r="AX303" s="125"/>
      <c r="AY303" s="125"/>
      <c r="AZ303" s="125"/>
      <c r="BA303" s="125"/>
      <c r="BB303" s="125"/>
      <c r="BC303" s="125"/>
      <c r="BD303" s="125"/>
      <c r="BE303" s="125"/>
      <c r="BF303" s="125"/>
    </row>
    <row r="304" spans="1:58" ht="15.75" customHeight="1">
      <c r="A304" s="125"/>
      <c r="B304" s="125"/>
      <c r="C304" s="125"/>
      <c r="D304" s="125"/>
      <c r="E304" s="125"/>
      <c r="F304" s="125"/>
      <c r="G304" s="125"/>
      <c r="H304" s="125"/>
      <c r="I304" s="125"/>
      <c r="J304" s="125"/>
      <c r="K304" s="125"/>
      <c r="L304" s="125"/>
      <c r="M304" s="125"/>
      <c r="N304" s="125"/>
      <c r="O304" s="125"/>
      <c r="P304" s="125"/>
      <c r="Q304" s="125"/>
      <c r="R304" s="125"/>
      <c r="S304" s="125"/>
      <c r="T304" s="125"/>
      <c r="U304" s="125"/>
      <c r="V304" s="125"/>
      <c r="W304" s="125"/>
      <c r="X304" s="125"/>
      <c r="Y304" s="125"/>
      <c r="Z304" s="125"/>
      <c r="AA304" s="125"/>
      <c r="AB304" s="125"/>
      <c r="AC304" s="125"/>
      <c r="AD304" s="125"/>
      <c r="AE304" s="125"/>
      <c r="AF304" s="125"/>
      <c r="AG304" s="125"/>
      <c r="AH304" s="125"/>
      <c r="AI304" s="125"/>
      <c r="AJ304" s="125"/>
      <c r="AK304" s="125"/>
      <c r="AL304" s="125"/>
      <c r="AM304" s="125"/>
      <c r="AN304" s="125"/>
      <c r="AO304" s="125"/>
      <c r="AP304" s="125"/>
      <c r="AQ304" s="125"/>
      <c r="AR304" s="125"/>
      <c r="AS304" s="125"/>
      <c r="AT304" s="125"/>
      <c r="AU304" s="125"/>
      <c r="AV304" s="125"/>
      <c r="AW304" s="125"/>
      <c r="AX304" s="125"/>
      <c r="AY304" s="125"/>
      <c r="AZ304" s="125"/>
      <c r="BA304" s="125"/>
      <c r="BB304" s="125"/>
      <c r="BC304" s="125"/>
      <c r="BD304" s="125"/>
      <c r="BE304" s="125"/>
      <c r="BF304" s="125"/>
    </row>
    <row r="305" spans="1:58" ht="15.75" customHeight="1">
      <c r="A305" s="125"/>
      <c r="B305" s="125"/>
      <c r="C305" s="125"/>
      <c r="D305" s="125"/>
      <c r="E305" s="125"/>
      <c r="F305" s="125"/>
      <c r="G305" s="125"/>
      <c r="H305" s="125"/>
      <c r="I305" s="125"/>
      <c r="J305" s="125"/>
      <c r="K305" s="125"/>
      <c r="L305" s="125"/>
      <c r="M305" s="125"/>
      <c r="N305" s="125"/>
      <c r="O305" s="125"/>
      <c r="P305" s="125"/>
      <c r="Q305" s="125"/>
      <c r="R305" s="125"/>
      <c r="S305" s="125"/>
      <c r="T305" s="125"/>
      <c r="U305" s="125"/>
      <c r="V305" s="125"/>
      <c r="W305" s="125"/>
      <c r="X305" s="125"/>
      <c r="Y305" s="125"/>
      <c r="Z305" s="125"/>
      <c r="AA305" s="125"/>
      <c r="AB305" s="125"/>
      <c r="AC305" s="125"/>
      <c r="AD305" s="125"/>
      <c r="AE305" s="125"/>
      <c r="AF305" s="125"/>
      <c r="AG305" s="125"/>
      <c r="AH305" s="125"/>
      <c r="AI305" s="125"/>
      <c r="AJ305" s="125"/>
      <c r="AK305" s="125"/>
      <c r="AL305" s="125"/>
      <c r="AM305" s="125"/>
      <c r="AN305" s="125"/>
      <c r="AO305" s="125"/>
      <c r="AP305" s="125"/>
      <c r="AQ305" s="125"/>
      <c r="AR305" s="125"/>
      <c r="AS305" s="125"/>
      <c r="AT305" s="125"/>
      <c r="AU305" s="125"/>
      <c r="AV305" s="125"/>
      <c r="AW305" s="125"/>
      <c r="AX305" s="125"/>
      <c r="AY305" s="125"/>
      <c r="AZ305" s="125"/>
      <c r="BA305" s="125"/>
      <c r="BB305" s="125"/>
      <c r="BC305" s="125"/>
      <c r="BD305" s="125"/>
      <c r="BE305" s="125"/>
      <c r="BF305" s="125"/>
    </row>
    <row r="306" spans="1:58" ht="15.75" customHeight="1">
      <c r="A306" s="125"/>
      <c r="B306" s="125"/>
      <c r="C306" s="125"/>
      <c r="D306" s="125"/>
      <c r="E306" s="125"/>
      <c r="F306" s="125"/>
      <c r="G306" s="125"/>
      <c r="H306" s="125"/>
      <c r="I306" s="125"/>
      <c r="J306" s="125"/>
      <c r="K306" s="125"/>
      <c r="L306" s="125"/>
      <c r="M306" s="125"/>
      <c r="N306" s="125"/>
      <c r="O306" s="125"/>
      <c r="P306" s="125"/>
      <c r="Q306" s="125"/>
      <c r="R306" s="125"/>
      <c r="S306" s="125"/>
      <c r="T306" s="125"/>
      <c r="U306" s="125"/>
      <c r="V306" s="125"/>
      <c r="W306" s="125"/>
      <c r="X306" s="125"/>
      <c r="Y306" s="125"/>
      <c r="Z306" s="125"/>
      <c r="AA306" s="125"/>
      <c r="AB306" s="125"/>
      <c r="AC306" s="125"/>
      <c r="AD306" s="125"/>
      <c r="AE306" s="125"/>
      <c r="AF306" s="125"/>
      <c r="AG306" s="125"/>
      <c r="AH306" s="125"/>
      <c r="AI306" s="125"/>
      <c r="AJ306" s="125"/>
      <c r="AK306" s="125"/>
      <c r="AL306" s="125"/>
      <c r="AM306" s="125"/>
      <c r="AN306" s="125"/>
      <c r="AO306" s="125"/>
      <c r="AP306" s="125"/>
      <c r="AQ306" s="125"/>
      <c r="AR306" s="125"/>
      <c r="AS306" s="125"/>
      <c r="AT306" s="125"/>
      <c r="AU306" s="125"/>
      <c r="AV306" s="125"/>
      <c r="AW306" s="125"/>
      <c r="AX306" s="125"/>
      <c r="AY306" s="125"/>
      <c r="AZ306" s="125"/>
      <c r="BA306" s="125"/>
      <c r="BB306" s="125"/>
      <c r="BC306" s="125"/>
      <c r="BD306" s="125"/>
      <c r="BE306" s="125"/>
      <c r="BF306" s="125"/>
    </row>
    <row r="307" spans="1:58" ht="15.75" customHeight="1">
      <c r="A307" s="125"/>
      <c r="B307" s="125"/>
      <c r="C307" s="125"/>
      <c r="D307" s="125"/>
      <c r="E307" s="125"/>
      <c r="F307" s="125"/>
      <c r="G307" s="125"/>
      <c r="H307" s="125"/>
      <c r="I307" s="125"/>
      <c r="J307" s="125"/>
      <c r="K307" s="125"/>
      <c r="L307" s="125"/>
      <c r="M307" s="125"/>
      <c r="N307" s="125"/>
      <c r="O307" s="125"/>
      <c r="P307" s="125"/>
      <c r="Q307" s="125"/>
      <c r="R307" s="125"/>
      <c r="S307" s="125"/>
      <c r="T307" s="125"/>
      <c r="U307" s="125"/>
      <c r="V307" s="125"/>
      <c r="W307" s="125"/>
      <c r="X307" s="125"/>
      <c r="Y307" s="125"/>
      <c r="Z307" s="125"/>
      <c r="AA307" s="125"/>
      <c r="AB307" s="125"/>
      <c r="AC307" s="125"/>
      <c r="AD307" s="125"/>
      <c r="AE307" s="125"/>
      <c r="AF307" s="125"/>
      <c r="AG307" s="125"/>
      <c r="AH307" s="125"/>
      <c r="AI307" s="125"/>
      <c r="AJ307" s="125"/>
      <c r="AK307" s="125"/>
      <c r="AL307" s="125"/>
      <c r="AM307" s="125"/>
      <c r="AN307" s="125"/>
      <c r="AO307" s="125"/>
      <c r="AP307" s="125"/>
      <c r="AQ307" s="125"/>
      <c r="AR307" s="125"/>
      <c r="AS307" s="125"/>
      <c r="AT307" s="125"/>
      <c r="AU307" s="125"/>
      <c r="AV307" s="125"/>
      <c r="AW307" s="125"/>
      <c r="AX307" s="125"/>
      <c r="AY307" s="125"/>
      <c r="AZ307" s="125"/>
      <c r="BA307" s="125"/>
      <c r="BB307" s="125"/>
      <c r="BC307" s="125"/>
      <c r="BD307" s="125"/>
      <c r="BE307" s="125"/>
      <c r="BF307" s="125"/>
    </row>
    <row r="308" spans="1:58" ht="15.75" customHeight="1">
      <c r="A308" s="125"/>
      <c r="B308" s="125"/>
      <c r="C308" s="125"/>
      <c r="D308" s="125"/>
      <c r="E308" s="125"/>
      <c r="F308" s="125"/>
      <c r="G308" s="125"/>
      <c r="H308" s="125"/>
      <c r="I308" s="125"/>
      <c r="J308" s="125"/>
      <c r="K308" s="125"/>
      <c r="L308" s="125"/>
      <c r="M308" s="125"/>
      <c r="N308" s="125"/>
      <c r="O308" s="125"/>
      <c r="P308" s="125"/>
      <c r="Q308" s="125"/>
      <c r="R308" s="125"/>
      <c r="S308" s="125"/>
      <c r="T308" s="125"/>
      <c r="U308" s="125"/>
      <c r="V308" s="125"/>
      <c r="W308" s="125"/>
      <c r="X308" s="125"/>
      <c r="Y308" s="125"/>
      <c r="Z308" s="125"/>
      <c r="AA308" s="125"/>
      <c r="AB308" s="125"/>
      <c r="AC308" s="125"/>
      <c r="AD308" s="125"/>
      <c r="AE308" s="125"/>
      <c r="AF308" s="125"/>
      <c r="AG308" s="125"/>
      <c r="AH308" s="125"/>
      <c r="AI308" s="125"/>
      <c r="AJ308" s="125"/>
      <c r="AK308" s="125"/>
      <c r="AL308" s="125"/>
      <c r="AM308" s="125"/>
      <c r="AN308" s="125"/>
      <c r="AO308" s="125"/>
      <c r="AP308" s="125"/>
      <c r="AQ308" s="125"/>
      <c r="AR308" s="125"/>
      <c r="AS308" s="125"/>
      <c r="AT308" s="125"/>
      <c r="AU308" s="125"/>
      <c r="AV308" s="125"/>
      <c r="AW308" s="125"/>
      <c r="AX308" s="125"/>
      <c r="AY308" s="125"/>
      <c r="AZ308" s="125"/>
      <c r="BA308" s="125"/>
      <c r="BB308" s="125"/>
      <c r="BC308" s="125"/>
      <c r="BD308" s="125"/>
      <c r="BE308" s="125"/>
      <c r="BF308" s="125"/>
    </row>
    <row r="309" spans="1:58" ht="15.75" customHeight="1">
      <c r="A309" s="125"/>
      <c r="B309" s="125"/>
      <c r="C309" s="125"/>
      <c r="D309" s="125"/>
      <c r="E309" s="125"/>
      <c r="F309" s="125"/>
      <c r="G309" s="125"/>
      <c r="H309" s="125"/>
      <c r="I309" s="125"/>
      <c r="J309" s="125"/>
      <c r="K309" s="125"/>
      <c r="L309" s="125"/>
      <c r="M309" s="125"/>
      <c r="N309" s="125"/>
      <c r="O309" s="125"/>
      <c r="P309" s="125"/>
      <c r="Q309" s="125"/>
      <c r="R309" s="125"/>
      <c r="S309" s="125"/>
      <c r="T309" s="125"/>
      <c r="U309" s="125"/>
      <c r="V309" s="125"/>
      <c r="W309" s="125"/>
      <c r="X309" s="125"/>
      <c r="Y309" s="125"/>
      <c r="Z309" s="125"/>
      <c r="AA309" s="125"/>
      <c r="AB309" s="125"/>
      <c r="AC309" s="125"/>
      <c r="AD309" s="125"/>
      <c r="AE309" s="125"/>
      <c r="AF309" s="125"/>
      <c r="AG309" s="125"/>
      <c r="AH309" s="125"/>
      <c r="AI309" s="125"/>
      <c r="AJ309" s="125"/>
      <c r="AK309" s="125"/>
      <c r="AL309" s="125"/>
      <c r="AM309" s="125"/>
      <c r="AN309" s="125"/>
      <c r="AO309" s="125"/>
      <c r="AP309" s="125"/>
      <c r="AQ309" s="125"/>
      <c r="AR309" s="125"/>
      <c r="AS309" s="125"/>
      <c r="AT309" s="125"/>
      <c r="AU309" s="125"/>
      <c r="AV309" s="125"/>
      <c r="AW309" s="125"/>
      <c r="AX309" s="125"/>
      <c r="AY309" s="125"/>
      <c r="AZ309" s="125"/>
      <c r="BA309" s="125"/>
      <c r="BB309" s="125"/>
      <c r="BC309" s="125"/>
      <c r="BD309" s="125"/>
      <c r="BE309" s="125"/>
      <c r="BF309" s="125"/>
    </row>
    <row r="310" spans="1:58" ht="15.75" customHeight="1">
      <c r="A310" s="125"/>
      <c r="B310" s="125"/>
      <c r="C310" s="125"/>
      <c r="D310" s="125"/>
      <c r="E310" s="125"/>
      <c r="F310" s="125"/>
      <c r="G310" s="125"/>
      <c r="H310" s="125"/>
      <c r="I310" s="125"/>
      <c r="J310" s="125"/>
      <c r="K310" s="125"/>
      <c r="L310" s="125"/>
      <c r="M310" s="125"/>
      <c r="N310" s="125"/>
      <c r="O310" s="125"/>
      <c r="P310" s="125"/>
      <c r="Q310" s="125"/>
      <c r="R310" s="125"/>
      <c r="S310" s="125"/>
      <c r="T310" s="125"/>
      <c r="U310" s="125"/>
      <c r="V310" s="125"/>
      <c r="W310" s="125"/>
      <c r="X310" s="125"/>
      <c r="Y310" s="125"/>
      <c r="Z310" s="125"/>
      <c r="AA310" s="125"/>
      <c r="AB310" s="125"/>
      <c r="AC310" s="125"/>
      <c r="AD310" s="125"/>
      <c r="AE310" s="125"/>
      <c r="AF310" s="125"/>
      <c r="AG310" s="125"/>
      <c r="AH310" s="125"/>
      <c r="AI310" s="125"/>
      <c r="AJ310" s="125"/>
      <c r="AK310" s="125"/>
      <c r="AL310" s="125"/>
      <c r="AM310" s="125"/>
      <c r="AN310" s="125"/>
      <c r="AO310" s="125"/>
      <c r="AP310" s="125"/>
      <c r="AQ310" s="125"/>
      <c r="AR310" s="125"/>
      <c r="AS310" s="125"/>
      <c r="AT310" s="125"/>
      <c r="AU310" s="125"/>
      <c r="AV310" s="125"/>
      <c r="AW310" s="125"/>
      <c r="AX310" s="125"/>
      <c r="AY310" s="125"/>
      <c r="AZ310" s="125"/>
      <c r="BA310" s="125"/>
      <c r="BB310" s="125"/>
      <c r="BC310" s="125"/>
      <c r="BD310" s="125"/>
      <c r="BE310" s="125"/>
      <c r="BF310" s="125"/>
    </row>
    <row r="311" spans="1:58" ht="15.75" customHeight="1">
      <c r="A311" s="125"/>
      <c r="B311" s="125"/>
      <c r="C311" s="125"/>
      <c r="D311" s="125"/>
      <c r="E311" s="125"/>
      <c r="F311" s="125"/>
      <c r="G311" s="125"/>
      <c r="H311" s="125"/>
      <c r="I311" s="125"/>
      <c r="J311" s="125"/>
      <c r="K311" s="125"/>
      <c r="L311" s="125"/>
      <c r="M311" s="125"/>
      <c r="N311" s="125"/>
      <c r="O311" s="125"/>
      <c r="P311" s="125"/>
      <c r="Q311" s="125"/>
      <c r="R311" s="125"/>
      <c r="S311" s="125"/>
      <c r="T311" s="125"/>
      <c r="U311" s="125"/>
      <c r="V311" s="125"/>
      <c r="W311" s="125"/>
      <c r="X311" s="125"/>
      <c r="Y311" s="125"/>
      <c r="Z311" s="125"/>
      <c r="AA311" s="125"/>
      <c r="AB311" s="125"/>
      <c r="AC311" s="125"/>
      <c r="AD311" s="125"/>
      <c r="AE311" s="125"/>
      <c r="AF311" s="125"/>
      <c r="AG311" s="125"/>
      <c r="AH311" s="125"/>
      <c r="AI311" s="125"/>
      <c r="AJ311" s="125"/>
      <c r="AK311" s="125"/>
      <c r="AL311" s="125"/>
      <c r="AM311" s="125"/>
      <c r="AN311" s="125"/>
      <c r="AO311" s="125"/>
      <c r="AP311" s="125"/>
      <c r="AQ311" s="125"/>
      <c r="AR311" s="125"/>
      <c r="AS311" s="125"/>
      <c r="AT311" s="125"/>
      <c r="AU311" s="125"/>
      <c r="AV311" s="125"/>
      <c r="AW311" s="125"/>
      <c r="AX311" s="125"/>
      <c r="AY311" s="125"/>
      <c r="AZ311" s="125"/>
      <c r="BA311" s="125"/>
      <c r="BB311" s="125"/>
      <c r="BC311" s="125"/>
      <c r="BD311" s="125"/>
      <c r="BE311" s="125"/>
      <c r="BF311" s="125"/>
    </row>
    <row r="312" spans="1:58" ht="15.75" customHeight="1">
      <c r="A312" s="125"/>
      <c r="B312" s="125"/>
      <c r="C312" s="125"/>
      <c r="D312" s="125"/>
      <c r="E312" s="125"/>
      <c r="F312" s="125"/>
      <c r="G312" s="125"/>
      <c r="H312" s="125"/>
      <c r="I312" s="125"/>
      <c r="J312" s="125"/>
      <c r="K312" s="125"/>
      <c r="L312" s="125"/>
      <c r="M312" s="125"/>
      <c r="N312" s="125"/>
      <c r="O312" s="125"/>
      <c r="P312" s="125"/>
      <c r="Q312" s="125"/>
      <c r="R312" s="125"/>
      <c r="S312" s="125"/>
      <c r="T312" s="125"/>
      <c r="U312" s="125"/>
      <c r="V312" s="125"/>
      <c r="W312" s="125"/>
      <c r="X312" s="125"/>
      <c r="Y312" s="125"/>
      <c r="Z312" s="125"/>
      <c r="AA312" s="125"/>
      <c r="AB312" s="125"/>
      <c r="AC312" s="125"/>
      <c r="AD312" s="125"/>
      <c r="AE312" s="125"/>
      <c r="AF312" s="125"/>
      <c r="AG312" s="125"/>
      <c r="AH312" s="125"/>
      <c r="AI312" s="125"/>
      <c r="AJ312" s="125"/>
      <c r="AK312" s="125"/>
      <c r="AL312" s="125"/>
      <c r="AM312" s="125"/>
      <c r="AN312" s="125"/>
      <c r="AO312" s="125"/>
      <c r="AP312" s="125"/>
      <c r="AQ312" s="125"/>
      <c r="AR312" s="125"/>
      <c r="AS312" s="125"/>
      <c r="AT312" s="125"/>
      <c r="AU312" s="125"/>
      <c r="AV312" s="125"/>
      <c r="AW312" s="125"/>
      <c r="AX312" s="125"/>
      <c r="AY312" s="125"/>
      <c r="AZ312" s="125"/>
      <c r="BA312" s="125"/>
      <c r="BB312" s="125"/>
      <c r="BC312" s="125"/>
      <c r="BD312" s="125"/>
      <c r="BE312" s="125"/>
      <c r="BF312" s="125"/>
    </row>
    <row r="313" spans="1:58" ht="15.75" customHeight="1">
      <c r="A313" s="125"/>
      <c r="B313" s="125"/>
      <c r="C313" s="125"/>
      <c r="D313" s="125"/>
      <c r="E313" s="125"/>
      <c r="F313" s="125"/>
      <c r="G313" s="125"/>
      <c r="H313" s="125"/>
      <c r="I313" s="125"/>
      <c r="J313" s="125"/>
      <c r="K313" s="125"/>
      <c r="L313" s="125"/>
      <c r="M313" s="125"/>
      <c r="N313" s="125"/>
      <c r="O313" s="125"/>
      <c r="P313" s="125"/>
      <c r="Q313" s="125"/>
      <c r="R313" s="125"/>
      <c r="S313" s="125"/>
      <c r="T313" s="125"/>
      <c r="U313" s="125"/>
      <c r="V313" s="125"/>
      <c r="W313" s="125"/>
      <c r="X313" s="125"/>
      <c r="Y313" s="125"/>
      <c r="Z313" s="125"/>
      <c r="AA313" s="125"/>
      <c r="AB313" s="125"/>
      <c r="AC313" s="125"/>
      <c r="AD313" s="125"/>
      <c r="AE313" s="125"/>
      <c r="AF313" s="125"/>
      <c r="AG313" s="125"/>
      <c r="AH313" s="125"/>
      <c r="AI313" s="125"/>
      <c r="AJ313" s="125"/>
      <c r="AK313" s="125"/>
      <c r="AL313" s="125"/>
      <c r="AM313" s="125"/>
      <c r="AN313" s="125"/>
      <c r="AO313" s="125"/>
      <c r="AP313" s="125"/>
      <c r="AQ313" s="125"/>
      <c r="AR313" s="125"/>
      <c r="AS313" s="125"/>
      <c r="AT313" s="125"/>
      <c r="AU313" s="125"/>
      <c r="AV313" s="125"/>
      <c r="AW313" s="125"/>
      <c r="AX313" s="125"/>
      <c r="AY313" s="125"/>
      <c r="AZ313" s="125"/>
      <c r="BA313" s="125"/>
      <c r="BB313" s="125"/>
      <c r="BC313" s="125"/>
      <c r="BD313" s="125"/>
      <c r="BE313" s="125"/>
      <c r="BF313" s="125"/>
    </row>
    <row r="314" spans="1:58" ht="15.75" customHeight="1">
      <c r="A314" s="125"/>
      <c r="B314" s="125"/>
      <c r="C314" s="125"/>
      <c r="D314" s="125"/>
      <c r="E314" s="125"/>
      <c r="F314" s="125"/>
      <c r="G314" s="125"/>
      <c r="H314" s="125"/>
      <c r="I314" s="125"/>
      <c r="J314" s="125"/>
      <c r="K314" s="125"/>
      <c r="L314" s="125"/>
      <c r="M314" s="125"/>
      <c r="N314" s="125"/>
      <c r="O314" s="125"/>
      <c r="P314" s="125"/>
      <c r="Q314" s="125"/>
      <c r="R314" s="125"/>
      <c r="S314" s="125"/>
      <c r="T314" s="125"/>
      <c r="U314" s="125"/>
      <c r="V314" s="125"/>
      <c r="W314" s="125"/>
      <c r="X314" s="125"/>
      <c r="Y314" s="125"/>
      <c r="Z314" s="125"/>
      <c r="AA314" s="125"/>
      <c r="AB314" s="125"/>
      <c r="AC314" s="125"/>
      <c r="AD314" s="125"/>
      <c r="AE314" s="125"/>
      <c r="AF314" s="125"/>
      <c r="AG314" s="125"/>
      <c r="AH314" s="125"/>
      <c r="AI314" s="125"/>
      <c r="AJ314" s="125"/>
      <c r="AK314" s="125"/>
      <c r="AL314" s="125"/>
      <c r="AM314" s="125"/>
      <c r="AN314" s="125"/>
      <c r="AO314" s="125"/>
      <c r="AP314" s="125"/>
      <c r="AQ314" s="125"/>
      <c r="AR314" s="125"/>
      <c r="AS314" s="125"/>
      <c r="AT314" s="125"/>
      <c r="AU314" s="125"/>
      <c r="AV314" s="125"/>
      <c r="AW314" s="125"/>
      <c r="AX314" s="125"/>
      <c r="AY314" s="125"/>
      <c r="AZ314" s="125"/>
      <c r="BA314" s="125"/>
      <c r="BB314" s="125"/>
      <c r="BC314" s="125"/>
      <c r="BD314" s="125"/>
      <c r="BE314" s="125"/>
      <c r="BF314" s="125"/>
    </row>
    <row r="315" spans="1:58" ht="15.75" customHeight="1">
      <c r="A315" s="125"/>
      <c r="B315" s="125"/>
      <c r="C315" s="125"/>
      <c r="D315" s="125"/>
      <c r="E315" s="125"/>
      <c r="F315" s="125"/>
      <c r="G315" s="125"/>
      <c r="H315" s="125"/>
      <c r="I315" s="125"/>
      <c r="J315" s="125"/>
      <c r="K315" s="125"/>
      <c r="L315" s="125"/>
      <c r="M315" s="125"/>
      <c r="N315" s="125"/>
      <c r="O315" s="125"/>
      <c r="P315" s="125"/>
      <c r="Q315" s="125"/>
      <c r="R315" s="125"/>
      <c r="S315" s="125"/>
      <c r="T315" s="125"/>
      <c r="U315" s="125"/>
      <c r="V315" s="125"/>
      <c r="W315" s="125"/>
      <c r="X315" s="125"/>
      <c r="Y315" s="125"/>
      <c r="Z315" s="125"/>
      <c r="AA315" s="125"/>
      <c r="AB315" s="125"/>
      <c r="AC315" s="125"/>
      <c r="AD315" s="125"/>
      <c r="AE315" s="125"/>
      <c r="AF315" s="125"/>
      <c r="AG315" s="125"/>
      <c r="AH315" s="125"/>
      <c r="AI315" s="125"/>
      <c r="AJ315" s="125"/>
      <c r="AK315" s="125"/>
      <c r="AL315" s="125"/>
      <c r="AM315" s="125"/>
      <c r="AN315" s="125"/>
      <c r="AO315" s="125"/>
      <c r="AP315" s="125"/>
      <c r="AQ315" s="125"/>
      <c r="AR315" s="125"/>
      <c r="AS315" s="125"/>
      <c r="AT315" s="125"/>
      <c r="AU315" s="125"/>
      <c r="AV315" s="125"/>
      <c r="AW315" s="125"/>
      <c r="AX315" s="125"/>
      <c r="AY315" s="125"/>
      <c r="AZ315" s="125"/>
      <c r="BA315" s="125"/>
      <c r="BB315" s="125"/>
      <c r="BC315" s="125"/>
      <c r="BD315" s="125"/>
      <c r="BE315" s="125"/>
      <c r="BF315" s="125"/>
    </row>
    <row r="316" spans="1:58" ht="15.75" customHeight="1">
      <c r="A316" s="125"/>
      <c r="B316" s="125"/>
      <c r="C316" s="125"/>
      <c r="D316" s="125"/>
      <c r="E316" s="125"/>
      <c r="F316" s="125"/>
      <c r="G316" s="125"/>
      <c r="H316" s="125"/>
      <c r="I316" s="125"/>
      <c r="J316" s="125"/>
      <c r="K316" s="125"/>
      <c r="L316" s="125"/>
      <c r="M316" s="125"/>
      <c r="N316" s="125"/>
      <c r="O316" s="125"/>
      <c r="P316" s="125"/>
      <c r="Q316" s="125"/>
      <c r="R316" s="125"/>
      <c r="S316" s="125"/>
      <c r="T316" s="125"/>
      <c r="U316" s="125"/>
      <c r="V316" s="125"/>
      <c r="W316" s="125"/>
      <c r="X316" s="125"/>
      <c r="Y316" s="125"/>
      <c r="Z316" s="125"/>
      <c r="AA316" s="125"/>
      <c r="AB316" s="125"/>
      <c r="AC316" s="125"/>
      <c r="AD316" s="125"/>
      <c r="AE316" s="125"/>
      <c r="AF316" s="125"/>
      <c r="AG316" s="125"/>
      <c r="AH316" s="125"/>
      <c r="AI316" s="125"/>
      <c r="AJ316" s="125"/>
      <c r="AK316" s="125"/>
      <c r="AL316" s="125"/>
      <c r="AM316" s="125"/>
      <c r="AN316" s="125"/>
      <c r="AO316" s="125"/>
      <c r="AP316" s="125"/>
      <c r="AQ316" s="125"/>
      <c r="AR316" s="125"/>
      <c r="AS316" s="125"/>
      <c r="AT316" s="125"/>
      <c r="AU316" s="125"/>
      <c r="AV316" s="125"/>
      <c r="AW316" s="125"/>
      <c r="AX316" s="125"/>
      <c r="AY316" s="125"/>
      <c r="AZ316" s="125"/>
      <c r="BA316" s="125"/>
      <c r="BB316" s="125"/>
      <c r="BC316" s="125"/>
      <c r="BD316" s="125"/>
      <c r="BE316" s="125"/>
      <c r="BF316" s="125"/>
    </row>
    <row r="317" spans="1:58" ht="15.75" customHeight="1">
      <c r="A317" s="125"/>
      <c r="B317" s="125"/>
      <c r="C317" s="125"/>
      <c r="D317" s="125"/>
      <c r="E317" s="125"/>
      <c r="F317" s="125"/>
      <c r="G317" s="125"/>
      <c r="H317" s="125"/>
      <c r="I317" s="125"/>
      <c r="J317" s="125"/>
      <c r="K317" s="125"/>
      <c r="L317" s="125"/>
      <c r="M317" s="125"/>
      <c r="N317" s="125"/>
      <c r="O317" s="125"/>
      <c r="P317" s="125"/>
      <c r="Q317" s="125"/>
      <c r="R317" s="125"/>
      <c r="S317" s="125"/>
      <c r="T317" s="125"/>
      <c r="U317" s="125"/>
      <c r="V317" s="125"/>
      <c r="W317" s="125"/>
      <c r="X317" s="125"/>
      <c r="Y317" s="125"/>
      <c r="Z317" s="125"/>
      <c r="AA317" s="125"/>
      <c r="AB317" s="125"/>
      <c r="AC317" s="125"/>
      <c r="AD317" s="125"/>
      <c r="AE317" s="125"/>
      <c r="AF317" s="125"/>
      <c r="AG317" s="125"/>
      <c r="AH317" s="125"/>
      <c r="AI317" s="125"/>
      <c r="AJ317" s="125"/>
      <c r="AK317" s="125"/>
      <c r="AL317" s="125"/>
      <c r="AM317" s="125"/>
      <c r="AN317" s="125"/>
      <c r="AO317" s="125"/>
      <c r="AP317" s="125"/>
      <c r="AQ317" s="125"/>
      <c r="AR317" s="125"/>
      <c r="AS317" s="125"/>
      <c r="AT317" s="125"/>
      <c r="AU317" s="125"/>
      <c r="AV317" s="125"/>
      <c r="AW317" s="125"/>
      <c r="AX317" s="125"/>
      <c r="AY317" s="125"/>
      <c r="AZ317" s="125"/>
      <c r="BA317" s="125"/>
      <c r="BB317" s="125"/>
      <c r="BC317" s="125"/>
      <c r="BD317" s="125"/>
      <c r="BE317" s="125"/>
      <c r="BF317" s="125"/>
    </row>
    <row r="318" spans="1:58" ht="15.75" customHeight="1">
      <c r="A318" s="125"/>
      <c r="B318" s="125"/>
      <c r="C318" s="125"/>
      <c r="D318" s="125"/>
      <c r="E318" s="125"/>
      <c r="F318" s="125"/>
      <c r="G318" s="125"/>
      <c r="H318" s="125"/>
      <c r="I318" s="125"/>
      <c r="J318" s="125"/>
      <c r="K318" s="125"/>
      <c r="L318" s="125"/>
      <c r="M318" s="125"/>
      <c r="N318" s="125"/>
      <c r="O318" s="125"/>
      <c r="P318" s="125"/>
      <c r="Q318" s="125"/>
      <c r="R318" s="125"/>
      <c r="S318" s="125"/>
      <c r="T318" s="125"/>
      <c r="U318" s="125"/>
      <c r="V318" s="125"/>
      <c r="W318" s="125"/>
      <c r="X318" s="125"/>
      <c r="Y318" s="125"/>
      <c r="Z318" s="125"/>
      <c r="AA318" s="125"/>
      <c r="AB318" s="125"/>
      <c r="AC318" s="125"/>
      <c r="AD318" s="125"/>
      <c r="AE318" s="125"/>
      <c r="AF318" s="125"/>
      <c r="AG318" s="125"/>
      <c r="AH318" s="125"/>
      <c r="AI318" s="125"/>
      <c r="AJ318" s="125"/>
      <c r="AK318" s="125"/>
      <c r="AL318" s="125"/>
      <c r="AM318" s="125"/>
      <c r="AN318" s="125"/>
      <c r="AO318" s="125"/>
      <c r="AP318" s="125"/>
      <c r="AQ318" s="125"/>
      <c r="AR318" s="125"/>
      <c r="AS318" s="125"/>
      <c r="AT318" s="125"/>
      <c r="AU318" s="125"/>
      <c r="AV318" s="125"/>
      <c r="AW318" s="125"/>
      <c r="AX318" s="125"/>
      <c r="AY318" s="125"/>
      <c r="AZ318" s="125"/>
      <c r="BA318" s="125"/>
      <c r="BB318" s="125"/>
      <c r="BC318" s="125"/>
      <c r="BD318" s="125"/>
      <c r="BE318" s="125"/>
      <c r="BF318" s="125"/>
    </row>
    <row r="319" spans="1:58" ht="15.75" customHeight="1">
      <c r="A319" s="125"/>
      <c r="B319" s="125"/>
      <c r="C319" s="125"/>
      <c r="D319" s="125"/>
      <c r="E319" s="125"/>
      <c r="F319" s="125"/>
      <c r="G319" s="125"/>
      <c r="H319" s="125"/>
      <c r="I319" s="125"/>
      <c r="J319" s="125"/>
      <c r="K319" s="125"/>
      <c r="L319" s="125"/>
      <c r="M319" s="125"/>
      <c r="N319" s="125"/>
      <c r="O319" s="125"/>
      <c r="P319" s="125"/>
      <c r="Q319" s="125"/>
      <c r="R319" s="125"/>
      <c r="S319" s="125"/>
      <c r="T319" s="125"/>
      <c r="U319" s="125"/>
      <c r="V319" s="125"/>
      <c r="W319" s="125"/>
      <c r="X319" s="125"/>
      <c r="Y319" s="125"/>
      <c r="Z319" s="125"/>
      <c r="AA319" s="125"/>
      <c r="AB319" s="125"/>
      <c r="AC319" s="125"/>
      <c r="AD319" s="125"/>
      <c r="AE319" s="125"/>
      <c r="AF319" s="125"/>
      <c r="AG319" s="125"/>
      <c r="AH319" s="125"/>
      <c r="AI319" s="125"/>
      <c r="AJ319" s="125"/>
      <c r="AK319" s="125"/>
      <c r="AL319" s="125"/>
      <c r="AM319" s="125"/>
      <c r="AN319" s="125"/>
      <c r="AO319" s="125"/>
      <c r="AP319" s="125"/>
      <c r="AQ319" s="125"/>
      <c r="AR319" s="125"/>
      <c r="AS319" s="125"/>
      <c r="AT319" s="125"/>
      <c r="AU319" s="125"/>
      <c r="AV319" s="125"/>
      <c r="AW319" s="125"/>
      <c r="AX319" s="125"/>
      <c r="AY319" s="125"/>
      <c r="AZ319" s="125"/>
      <c r="BA319" s="125"/>
      <c r="BB319" s="125"/>
      <c r="BC319" s="125"/>
      <c r="BD319" s="125"/>
      <c r="BE319" s="125"/>
      <c r="BF319" s="125"/>
    </row>
    <row r="320" spans="1:58" ht="15.75" customHeight="1">
      <c r="A320" s="125"/>
      <c r="B320" s="125"/>
      <c r="C320" s="125"/>
      <c r="D320" s="125"/>
      <c r="E320" s="125"/>
      <c r="F320" s="125"/>
      <c r="G320" s="125"/>
      <c r="H320" s="125"/>
      <c r="I320" s="125"/>
      <c r="J320" s="125"/>
      <c r="K320" s="125"/>
      <c r="L320" s="125"/>
      <c r="M320" s="125"/>
      <c r="N320" s="125"/>
      <c r="O320" s="125"/>
      <c r="P320" s="125"/>
      <c r="Q320" s="125"/>
      <c r="R320" s="125"/>
      <c r="S320" s="125"/>
      <c r="T320" s="125"/>
      <c r="U320" s="125"/>
      <c r="V320" s="125"/>
      <c r="W320" s="125"/>
      <c r="X320" s="125"/>
      <c r="Y320" s="125"/>
      <c r="Z320" s="125"/>
      <c r="AA320" s="125"/>
      <c r="AB320" s="125"/>
      <c r="AC320" s="125"/>
      <c r="AD320" s="125"/>
      <c r="AE320" s="125"/>
      <c r="AF320" s="125"/>
      <c r="AG320" s="125"/>
      <c r="AH320" s="125"/>
      <c r="AI320" s="125"/>
      <c r="AJ320" s="125"/>
      <c r="AK320" s="125"/>
      <c r="AL320" s="125"/>
      <c r="AM320" s="125"/>
      <c r="AN320" s="125"/>
      <c r="AO320" s="125"/>
      <c r="AP320" s="125"/>
      <c r="AQ320" s="125"/>
      <c r="AR320" s="125"/>
      <c r="AS320" s="125"/>
      <c r="AT320" s="125"/>
      <c r="AU320" s="125"/>
      <c r="AV320" s="125"/>
      <c r="AW320" s="125"/>
      <c r="AX320" s="125"/>
      <c r="AY320" s="125"/>
      <c r="AZ320" s="125"/>
      <c r="BA320" s="125"/>
      <c r="BB320" s="125"/>
      <c r="BC320" s="125"/>
      <c r="BD320" s="125"/>
      <c r="BE320" s="125"/>
      <c r="BF320" s="125"/>
    </row>
    <row r="321" spans="1:58" ht="15.75" customHeight="1">
      <c r="A321" s="125"/>
      <c r="B321" s="125"/>
      <c r="C321" s="125"/>
      <c r="D321" s="125"/>
      <c r="E321" s="125"/>
      <c r="F321" s="125"/>
      <c r="G321" s="125"/>
      <c r="H321" s="125"/>
      <c r="I321" s="125"/>
      <c r="J321" s="125"/>
      <c r="K321" s="125"/>
      <c r="L321" s="125"/>
      <c r="M321" s="125"/>
      <c r="N321" s="125"/>
      <c r="O321" s="125"/>
      <c r="P321" s="125"/>
      <c r="Q321" s="125"/>
      <c r="R321" s="125"/>
      <c r="S321" s="125"/>
      <c r="T321" s="125"/>
      <c r="U321" s="125"/>
      <c r="V321" s="125"/>
      <c r="W321" s="125"/>
      <c r="X321" s="125"/>
      <c r="Y321" s="125"/>
      <c r="Z321" s="125"/>
      <c r="AA321" s="125"/>
      <c r="AB321" s="125"/>
      <c r="AC321" s="125"/>
      <c r="AD321" s="125"/>
      <c r="AE321" s="125"/>
      <c r="AF321" s="125"/>
      <c r="AG321" s="125"/>
      <c r="AH321" s="125"/>
      <c r="AI321" s="125"/>
      <c r="AJ321" s="125"/>
      <c r="AK321" s="125"/>
      <c r="AL321" s="125"/>
      <c r="AM321" s="125"/>
      <c r="AN321" s="125"/>
      <c r="AO321" s="125"/>
      <c r="AP321" s="125"/>
      <c r="AQ321" s="125"/>
      <c r="AR321" s="125"/>
      <c r="AS321" s="125"/>
      <c r="AT321" s="125"/>
      <c r="AU321" s="125"/>
      <c r="AV321" s="125"/>
      <c r="AW321" s="125"/>
      <c r="AX321" s="125"/>
      <c r="AY321" s="125"/>
      <c r="AZ321" s="125"/>
      <c r="BA321" s="125"/>
      <c r="BB321" s="125"/>
      <c r="BC321" s="125"/>
      <c r="BD321" s="125"/>
      <c r="BE321" s="125"/>
      <c r="BF321" s="125"/>
    </row>
    <row r="322" spans="1:58" ht="15.75" customHeight="1">
      <c r="A322" s="125"/>
      <c r="B322" s="125"/>
      <c r="C322" s="125"/>
      <c r="D322" s="125"/>
      <c r="E322" s="125"/>
      <c r="F322" s="125"/>
      <c r="G322" s="125"/>
      <c r="H322" s="125"/>
      <c r="I322" s="125"/>
      <c r="J322" s="125"/>
      <c r="K322" s="125"/>
      <c r="L322" s="125"/>
      <c r="M322" s="125"/>
      <c r="N322" s="125"/>
      <c r="O322" s="125"/>
      <c r="P322" s="125"/>
      <c r="Q322" s="125"/>
      <c r="R322" s="125"/>
      <c r="S322" s="125"/>
      <c r="T322" s="125"/>
      <c r="U322" s="125"/>
      <c r="V322" s="125"/>
      <c r="W322" s="125"/>
      <c r="X322" s="125"/>
      <c r="Y322" s="125"/>
      <c r="Z322" s="125"/>
      <c r="AA322" s="125"/>
      <c r="AB322" s="125"/>
      <c r="AC322" s="125"/>
      <c r="AD322" s="125"/>
      <c r="AE322" s="125"/>
      <c r="AF322" s="125"/>
      <c r="AG322" s="125"/>
      <c r="AH322" s="125"/>
      <c r="AI322" s="125"/>
      <c r="AJ322" s="125"/>
      <c r="AK322" s="125"/>
      <c r="AL322" s="125"/>
      <c r="AM322" s="125"/>
      <c r="AN322" s="125"/>
      <c r="AO322" s="125"/>
      <c r="AP322" s="125"/>
      <c r="AQ322" s="125"/>
      <c r="AR322" s="125"/>
      <c r="AS322" s="125"/>
      <c r="AT322" s="125"/>
      <c r="AU322" s="125"/>
      <c r="AV322" s="125"/>
      <c r="AW322" s="125"/>
      <c r="AX322" s="125"/>
      <c r="AY322" s="125"/>
      <c r="AZ322" s="125"/>
      <c r="BA322" s="125"/>
      <c r="BB322" s="125"/>
      <c r="BC322" s="125"/>
      <c r="BD322" s="125"/>
      <c r="BE322" s="125"/>
      <c r="BF322" s="125"/>
    </row>
    <row r="323" spans="1:58" ht="15.75" customHeight="1">
      <c r="A323" s="125"/>
      <c r="B323" s="125"/>
      <c r="C323" s="125"/>
      <c r="D323" s="125"/>
      <c r="E323" s="125"/>
      <c r="F323" s="125"/>
      <c r="G323" s="125"/>
      <c r="H323" s="125"/>
      <c r="I323" s="125"/>
      <c r="J323" s="125"/>
      <c r="K323" s="125"/>
      <c r="L323" s="125"/>
      <c r="M323" s="125"/>
      <c r="N323" s="125"/>
      <c r="O323" s="125"/>
      <c r="P323" s="125"/>
      <c r="Q323" s="125"/>
      <c r="R323" s="125"/>
      <c r="S323" s="125"/>
      <c r="T323" s="125"/>
      <c r="U323" s="125"/>
      <c r="V323" s="125"/>
      <c r="W323" s="125"/>
      <c r="X323" s="125"/>
      <c r="Y323" s="125"/>
      <c r="Z323" s="125"/>
      <c r="AA323" s="125"/>
      <c r="AB323" s="125"/>
      <c r="AC323" s="125"/>
      <c r="AD323" s="125"/>
      <c r="AE323" s="125"/>
      <c r="AF323" s="125"/>
      <c r="AG323" s="125"/>
      <c r="AH323" s="125"/>
      <c r="AI323" s="125"/>
      <c r="AJ323" s="125"/>
      <c r="AK323" s="125"/>
      <c r="AL323" s="125"/>
      <c r="AM323" s="125"/>
      <c r="AN323" s="125"/>
      <c r="AO323" s="125"/>
      <c r="AP323" s="125"/>
      <c r="AQ323" s="125"/>
      <c r="AR323" s="125"/>
      <c r="AS323" s="125"/>
      <c r="AT323" s="125"/>
      <c r="AU323" s="125"/>
      <c r="AV323" s="125"/>
      <c r="AW323" s="125"/>
      <c r="AX323" s="125"/>
      <c r="AY323" s="125"/>
      <c r="AZ323" s="125"/>
      <c r="BA323" s="125"/>
      <c r="BB323" s="125"/>
      <c r="BC323" s="125"/>
      <c r="BD323" s="125"/>
      <c r="BE323" s="125"/>
      <c r="BF323" s="125"/>
    </row>
    <row r="324" spans="1:58" ht="15.75" customHeight="1">
      <c r="A324" s="125"/>
      <c r="B324" s="125"/>
      <c r="C324" s="125"/>
      <c r="D324" s="125"/>
      <c r="E324" s="125"/>
      <c r="F324" s="125"/>
      <c r="G324" s="125"/>
      <c r="H324" s="125"/>
      <c r="I324" s="125"/>
      <c r="J324" s="125"/>
      <c r="K324" s="125"/>
      <c r="L324" s="125"/>
      <c r="M324" s="125"/>
      <c r="N324" s="125"/>
      <c r="O324" s="125"/>
      <c r="P324" s="125"/>
      <c r="Q324" s="125"/>
      <c r="R324" s="125"/>
      <c r="S324" s="125"/>
      <c r="T324" s="125"/>
      <c r="U324" s="125"/>
      <c r="V324" s="125"/>
      <c r="W324" s="125"/>
      <c r="X324" s="125"/>
      <c r="Y324" s="125"/>
      <c r="Z324" s="125"/>
      <c r="AA324" s="125"/>
      <c r="AB324" s="125"/>
      <c r="AC324" s="125"/>
      <c r="AD324" s="125"/>
      <c r="AE324" s="125"/>
      <c r="AF324" s="125"/>
      <c r="AG324" s="125"/>
      <c r="AH324" s="125"/>
      <c r="AI324" s="125"/>
      <c r="AJ324" s="125"/>
      <c r="AK324" s="125"/>
      <c r="AL324" s="125"/>
      <c r="AM324" s="125"/>
      <c r="AN324" s="125"/>
      <c r="AO324" s="125"/>
      <c r="AP324" s="125"/>
      <c r="AQ324" s="125"/>
      <c r="AR324" s="125"/>
      <c r="AS324" s="125"/>
      <c r="AT324" s="125"/>
      <c r="AU324" s="125"/>
      <c r="AV324" s="125"/>
      <c r="AW324" s="125"/>
      <c r="AX324" s="125"/>
      <c r="AY324" s="125"/>
      <c r="AZ324" s="125"/>
      <c r="BA324" s="125"/>
      <c r="BB324" s="125"/>
      <c r="BC324" s="125"/>
      <c r="BD324" s="125"/>
      <c r="BE324" s="125"/>
      <c r="BF324" s="125"/>
    </row>
    <row r="325" spans="1:58" ht="15.75" customHeight="1">
      <c r="A325" s="125"/>
      <c r="B325" s="125"/>
      <c r="C325" s="125"/>
      <c r="D325" s="125"/>
      <c r="E325" s="125"/>
      <c r="F325" s="125"/>
      <c r="G325" s="125"/>
      <c r="H325" s="125"/>
      <c r="I325" s="125"/>
      <c r="J325" s="125"/>
      <c r="K325" s="125"/>
      <c r="L325" s="125"/>
      <c r="M325" s="125"/>
      <c r="N325" s="125"/>
      <c r="O325" s="125"/>
      <c r="P325" s="125"/>
      <c r="Q325" s="125"/>
      <c r="R325" s="125"/>
      <c r="S325" s="125"/>
      <c r="T325" s="125"/>
      <c r="U325" s="125"/>
      <c r="V325" s="125"/>
      <c r="W325" s="125"/>
      <c r="X325" s="125"/>
      <c r="Y325" s="125"/>
      <c r="Z325" s="125"/>
      <c r="AA325" s="125"/>
      <c r="AB325" s="125"/>
      <c r="AC325" s="125"/>
      <c r="AD325" s="125"/>
      <c r="AE325" s="125"/>
      <c r="AF325" s="125"/>
      <c r="AG325" s="125"/>
      <c r="AH325" s="125"/>
      <c r="AI325" s="125"/>
      <c r="AJ325" s="125"/>
      <c r="AK325" s="125"/>
      <c r="AL325" s="125"/>
      <c r="AM325" s="125"/>
      <c r="AN325" s="125"/>
      <c r="AO325" s="125"/>
      <c r="AP325" s="125"/>
      <c r="AQ325" s="125"/>
      <c r="AR325" s="125"/>
      <c r="AS325" s="125"/>
      <c r="AT325" s="125"/>
      <c r="AU325" s="125"/>
      <c r="AV325" s="125"/>
      <c r="AW325" s="125"/>
      <c r="AX325" s="125"/>
      <c r="AY325" s="125"/>
      <c r="AZ325" s="125"/>
      <c r="BA325" s="125"/>
      <c r="BB325" s="125"/>
      <c r="BC325" s="125"/>
      <c r="BD325" s="125"/>
      <c r="BE325" s="125"/>
      <c r="BF325" s="125"/>
    </row>
    <row r="326" spans="1:58" ht="15.75" customHeight="1">
      <c r="A326" s="125"/>
      <c r="B326" s="125"/>
      <c r="C326" s="125"/>
      <c r="D326" s="125"/>
      <c r="E326" s="125"/>
      <c r="F326" s="125"/>
      <c r="G326" s="125"/>
      <c r="H326" s="125"/>
      <c r="I326" s="125"/>
      <c r="J326" s="125"/>
      <c r="K326" s="125"/>
      <c r="L326" s="125"/>
      <c r="M326" s="125"/>
      <c r="N326" s="125"/>
      <c r="O326" s="125"/>
      <c r="P326" s="125"/>
      <c r="Q326" s="125"/>
      <c r="R326" s="125"/>
      <c r="S326" s="125"/>
      <c r="T326" s="125"/>
      <c r="U326" s="125"/>
      <c r="V326" s="125"/>
      <c r="W326" s="125"/>
      <c r="X326" s="125"/>
      <c r="Y326" s="125"/>
      <c r="Z326" s="125"/>
      <c r="AA326" s="125"/>
      <c r="AB326" s="125"/>
      <c r="AC326" s="125"/>
      <c r="AD326" s="125"/>
      <c r="AE326" s="125"/>
      <c r="AF326" s="125"/>
      <c r="AG326" s="125"/>
      <c r="AH326" s="125"/>
      <c r="AI326" s="125"/>
      <c r="AJ326" s="125"/>
      <c r="AK326" s="125"/>
      <c r="AL326" s="125"/>
      <c r="AM326" s="125"/>
      <c r="AN326" s="125"/>
      <c r="AO326" s="125"/>
      <c r="AP326" s="125"/>
      <c r="AQ326" s="125"/>
      <c r="AR326" s="125"/>
      <c r="AS326" s="125"/>
      <c r="AT326" s="125"/>
      <c r="AU326" s="125"/>
      <c r="AV326" s="125"/>
      <c r="AW326" s="125"/>
      <c r="AX326" s="125"/>
      <c r="AY326" s="125"/>
      <c r="AZ326" s="125"/>
      <c r="BA326" s="125"/>
      <c r="BB326" s="125"/>
      <c r="BC326" s="125"/>
      <c r="BD326" s="125"/>
      <c r="BE326" s="125"/>
      <c r="BF326" s="125"/>
    </row>
    <row r="327" spans="1:58" ht="15.75" customHeight="1">
      <c r="A327" s="125"/>
      <c r="B327" s="125"/>
      <c r="C327" s="125"/>
      <c r="D327" s="125"/>
      <c r="E327" s="125"/>
      <c r="F327" s="125"/>
      <c r="G327" s="125"/>
      <c r="H327" s="125"/>
      <c r="I327" s="125"/>
      <c r="J327" s="125"/>
      <c r="K327" s="125"/>
      <c r="L327" s="125"/>
      <c r="M327" s="125"/>
      <c r="N327" s="125"/>
      <c r="O327" s="125"/>
      <c r="P327" s="125"/>
      <c r="Q327" s="125"/>
      <c r="R327" s="125"/>
      <c r="S327" s="125"/>
      <c r="T327" s="125"/>
      <c r="U327" s="125"/>
      <c r="V327" s="125"/>
      <c r="W327" s="125"/>
      <c r="X327" s="125"/>
      <c r="Y327" s="125"/>
      <c r="Z327" s="125"/>
      <c r="AA327" s="125"/>
      <c r="AB327" s="125"/>
      <c r="AC327" s="125"/>
      <c r="AD327" s="125"/>
      <c r="AE327" s="125"/>
      <c r="AF327" s="125"/>
      <c r="AG327" s="125"/>
      <c r="AH327" s="125"/>
      <c r="AI327" s="125"/>
      <c r="AJ327" s="125"/>
      <c r="AK327" s="125"/>
      <c r="AL327" s="125"/>
      <c r="AM327" s="125"/>
      <c r="AN327" s="125"/>
      <c r="AO327" s="125"/>
      <c r="AP327" s="125"/>
      <c r="AQ327" s="125"/>
      <c r="AR327" s="125"/>
      <c r="AS327" s="125"/>
      <c r="AT327" s="125"/>
      <c r="AU327" s="125"/>
      <c r="AV327" s="125"/>
      <c r="AW327" s="125"/>
      <c r="AX327" s="125"/>
      <c r="AY327" s="125"/>
      <c r="AZ327" s="125"/>
      <c r="BA327" s="125"/>
      <c r="BB327" s="125"/>
      <c r="BC327" s="125"/>
      <c r="BD327" s="125"/>
      <c r="BE327" s="125"/>
      <c r="BF327" s="125"/>
    </row>
    <row r="328" spans="1:58" ht="15.75" customHeight="1">
      <c r="A328" s="125"/>
      <c r="B328" s="125"/>
      <c r="C328" s="125"/>
      <c r="D328" s="125"/>
      <c r="E328" s="125"/>
      <c r="F328" s="125"/>
      <c r="G328" s="125"/>
      <c r="H328" s="125"/>
      <c r="I328" s="125"/>
      <c r="J328" s="125"/>
      <c r="K328" s="125"/>
      <c r="L328" s="125"/>
      <c r="M328" s="125"/>
      <c r="N328" s="125"/>
      <c r="O328" s="125"/>
      <c r="P328" s="125"/>
      <c r="Q328" s="125"/>
      <c r="R328" s="125"/>
      <c r="S328" s="125"/>
      <c r="T328" s="125"/>
      <c r="U328" s="125"/>
      <c r="V328" s="125"/>
      <c r="W328" s="125"/>
      <c r="X328" s="125"/>
      <c r="Y328" s="125"/>
      <c r="Z328" s="125"/>
      <c r="AA328" s="125"/>
      <c r="AB328" s="125"/>
      <c r="AC328" s="125"/>
      <c r="AD328" s="125"/>
      <c r="AE328" s="125"/>
      <c r="AF328" s="125"/>
      <c r="AG328" s="125"/>
      <c r="AH328" s="125"/>
      <c r="AI328" s="125"/>
      <c r="AJ328" s="125"/>
      <c r="AK328" s="125"/>
      <c r="AL328" s="125"/>
      <c r="AM328" s="125"/>
      <c r="AN328" s="125"/>
      <c r="AO328" s="125"/>
      <c r="AP328" s="125"/>
      <c r="AQ328" s="125"/>
      <c r="AR328" s="125"/>
      <c r="AS328" s="125"/>
      <c r="AT328" s="125"/>
      <c r="AU328" s="125"/>
      <c r="AV328" s="125"/>
      <c r="AW328" s="125"/>
      <c r="AX328" s="125"/>
      <c r="AY328" s="125"/>
      <c r="AZ328" s="125"/>
      <c r="BA328" s="125"/>
      <c r="BB328" s="125"/>
      <c r="BC328" s="125"/>
      <c r="BD328" s="125"/>
      <c r="BE328" s="125"/>
      <c r="BF328" s="125"/>
    </row>
    <row r="329" spans="1:58" ht="15.75" customHeight="1">
      <c r="A329" s="125"/>
      <c r="B329" s="125"/>
      <c r="C329" s="125"/>
      <c r="D329" s="125"/>
      <c r="E329" s="125"/>
      <c r="F329" s="125"/>
      <c r="G329" s="125"/>
      <c r="H329" s="125"/>
      <c r="I329" s="125"/>
      <c r="J329" s="125"/>
      <c r="K329" s="125"/>
      <c r="L329" s="125"/>
      <c r="M329" s="125"/>
      <c r="N329" s="125"/>
      <c r="O329" s="125"/>
      <c r="P329" s="125"/>
      <c r="Q329" s="125"/>
      <c r="R329" s="125"/>
      <c r="S329" s="125"/>
      <c r="T329" s="125"/>
      <c r="U329" s="125"/>
      <c r="V329" s="125"/>
      <c r="W329" s="125"/>
      <c r="X329" s="125"/>
      <c r="Y329" s="125"/>
      <c r="Z329" s="125"/>
      <c r="AA329" s="125"/>
      <c r="AB329" s="125"/>
      <c r="AC329" s="125"/>
      <c r="AD329" s="125"/>
      <c r="AE329" s="125"/>
      <c r="AF329" s="125"/>
      <c r="AG329" s="125"/>
      <c r="AH329" s="125"/>
      <c r="AI329" s="125"/>
      <c r="AJ329" s="125"/>
      <c r="AK329" s="125"/>
      <c r="AL329" s="125"/>
      <c r="AM329" s="125"/>
      <c r="AN329" s="125"/>
      <c r="AO329" s="125"/>
      <c r="AP329" s="125"/>
      <c r="AQ329" s="125"/>
      <c r="AR329" s="125"/>
      <c r="AS329" s="125"/>
      <c r="AT329" s="125"/>
      <c r="AU329" s="125"/>
      <c r="AV329" s="125"/>
      <c r="AW329" s="125"/>
      <c r="AX329" s="125"/>
      <c r="AY329" s="125"/>
      <c r="AZ329" s="125"/>
      <c r="BA329" s="125"/>
      <c r="BB329" s="125"/>
      <c r="BC329" s="125"/>
      <c r="BD329" s="125"/>
      <c r="BE329" s="125"/>
      <c r="BF329" s="125"/>
    </row>
    <row r="330" spans="1:58" ht="15.75" customHeight="1">
      <c r="A330" s="125"/>
      <c r="B330" s="125"/>
      <c r="C330" s="125"/>
      <c r="D330" s="125"/>
      <c r="E330" s="125"/>
      <c r="F330" s="125"/>
      <c r="G330" s="125"/>
      <c r="H330" s="125"/>
      <c r="I330" s="125"/>
      <c r="J330" s="125"/>
      <c r="K330" s="125"/>
      <c r="L330" s="125"/>
      <c r="M330" s="125"/>
      <c r="N330" s="125"/>
      <c r="O330" s="125"/>
      <c r="P330" s="125"/>
      <c r="Q330" s="125"/>
      <c r="R330" s="125"/>
      <c r="S330" s="125"/>
      <c r="T330" s="125"/>
      <c r="U330" s="125"/>
      <c r="V330" s="125"/>
      <c r="W330" s="125"/>
      <c r="X330" s="125"/>
      <c r="Y330" s="125"/>
      <c r="Z330" s="125"/>
      <c r="AA330" s="125"/>
      <c r="AB330" s="125"/>
      <c r="AC330" s="125"/>
      <c r="AD330" s="125"/>
      <c r="AE330" s="125"/>
      <c r="AF330" s="125"/>
      <c r="AG330" s="125"/>
      <c r="AH330" s="125"/>
      <c r="AI330" s="125"/>
      <c r="AJ330" s="125"/>
      <c r="AK330" s="125"/>
      <c r="AL330" s="125"/>
      <c r="AM330" s="125"/>
      <c r="AN330" s="125"/>
      <c r="AO330" s="125"/>
      <c r="AP330" s="125"/>
      <c r="AQ330" s="125"/>
      <c r="AR330" s="125"/>
      <c r="AS330" s="125"/>
      <c r="AT330" s="125"/>
      <c r="AU330" s="125"/>
      <c r="AV330" s="125"/>
      <c r="AW330" s="125"/>
      <c r="AX330" s="125"/>
      <c r="AY330" s="125"/>
      <c r="AZ330" s="125"/>
      <c r="BA330" s="125"/>
      <c r="BB330" s="125"/>
      <c r="BC330" s="125"/>
      <c r="BD330" s="125"/>
      <c r="BE330" s="125"/>
      <c r="BF330" s="125"/>
    </row>
    <row r="331" spans="1:58" ht="15.75" customHeight="1">
      <c r="A331" s="125"/>
      <c r="B331" s="125"/>
      <c r="C331" s="125"/>
      <c r="D331" s="125"/>
      <c r="E331" s="125"/>
      <c r="F331" s="125"/>
      <c r="G331" s="125"/>
      <c r="H331" s="125"/>
      <c r="I331" s="125"/>
      <c r="J331" s="125"/>
      <c r="K331" s="125"/>
      <c r="L331" s="125"/>
      <c r="M331" s="125"/>
      <c r="N331" s="125"/>
      <c r="O331" s="125"/>
      <c r="P331" s="125"/>
      <c r="Q331" s="125"/>
      <c r="R331" s="125"/>
      <c r="S331" s="125"/>
      <c r="T331" s="125"/>
      <c r="U331" s="125"/>
      <c r="V331" s="125"/>
      <c r="W331" s="125"/>
      <c r="X331" s="125"/>
      <c r="Y331" s="125"/>
      <c r="Z331" s="125"/>
      <c r="AA331" s="125"/>
      <c r="AB331" s="125"/>
      <c r="AC331" s="125"/>
      <c r="AD331" s="125"/>
      <c r="AE331" s="125"/>
      <c r="AF331" s="125"/>
      <c r="AG331" s="125"/>
      <c r="AH331" s="125"/>
      <c r="AI331" s="125"/>
      <c r="AJ331" s="125"/>
      <c r="AK331" s="125"/>
      <c r="AL331" s="125"/>
      <c r="AM331" s="125"/>
      <c r="AN331" s="125"/>
      <c r="AO331" s="125"/>
      <c r="AP331" s="125"/>
      <c r="AQ331" s="125"/>
      <c r="AR331" s="125"/>
      <c r="AS331" s="125"/>
      <c r="AT331" s="125"/>
      <c r="AU331" s="125"/>
      <c r="AV331" s="125"/>
      <c r="AW331" s="125"/>
      <c r="AX331" s="125"/>
      <c r="AY331" s="125"/>
      <c r="AZ331" s="125"/>
      <c r="BA331" s="125"/>
      <c r="BB331" s="125"/>
      <c r="BC331" s="125"/>
      <c r="BD331" s="125"/>
      <c r="BE331" s="125"/>
      <c r="BF331" s="125"/>
    </row>
    <row r="332" spans="1:58" ht="15.75" customHeight="1">
      <c r="A332" s="125"/>
      <c r="B332" s="125"/>
      <c r="C332" s="125"/>
      <c r="D332" s="125"/>
      <c r="E332" s="125"/>
      <c r="F332" s="125"/>
      <c r="G332" s="125"/>
      <c r="H332" s="125"/>
      <c r="I332" s="125"/>
      <c r="J332" s="125"/>
      <c r="K332" s="125"/>
      <c r="L332" s="125"/>
      <c r="M332" s="125"/>
      <c r="N332" s="125"/>
      <c r="O332" s="125"/>
      <c r="P332" s="125"/>
      <c r="Q332" s="125"/>
      <c r="R332" s="125"/>
      <c r="S332" s="125"/>
      <c r="T332" s="125"/>
      <c r="U332" s="125"/>
      <c r="V332" s="125"/>
      <c r="W332" s="125"/>
      <c r="X332" s="125"/>
      <c r="Y332" s="125"/>
      <c r="Z332" s="125"/>
      <c r="AA332" s="125"/>
      <c r="AB332" s="125"/>
      <c r="AC332" s="125"/>
      <c r="AD332" s="125"/>
      <c r="AE332" s="125"/>
      <c r="AF332" s="125"/>
      <c r="AG332" s="125"/>
      <c r="AH332" s="125"/>
      <c r="AI332" s="125"/>
      <c r="AJ332" s="125"/>
      <c r="AK332" s="125"/>
      <c r="AL332" s="125"/>
      <c r="AM332" s="125"/>
      <c r="AN332" s="125"/>
      <c r="AO332" s="125"/>
      <c r="AP332" s="125"/>
      <c r="AQ332" s="125"/>
      <c r="AR332" s="125"/>
      <c r="AS332" s="125"/>
      <c r="AT332" s="125"/>
      <c r="AU332" s="125"/>
      <c r="AV332" s="125"/>
      <c r="AW332" s="125"/>
      <c r="AX332" s="125"/>
      <c r="AY332" s="125"/>
      <c r="AZ332" s="125"/>
      <c r="BA332" s="125"/>
      <c r="BB332" s="125"/>
      <c r="BC332" s="125"/>
      <c r="BD332" s="125"/>
      <c r="BE332" s="125"/>
      <c r="BF332" s="125"/>
    </row>
    <row r="333" spans="1:58" ht="15.75" customHeight="1">
      <c r="A333" s="125"/>
      <c r="B333" s="125"/>
      <c r="C333" s="125"/>
      <c r="D333" s="125"/>
      <c r="E333" s="125"/>
      <c r="F333" s="125"/>
      <c r="G333" s="125"/>
      <c r="H333" s="125"/>
      <c r="I333" s="125"/>
      <c r="J333" s="125"/>
      <c r="K333" s="125"/>
      <c r="L333" s="125"/>
      <c r="M333" s="125"/>
      <c r="N333" s="125"/>
      <c r="O333" s="125"/>
      <c r="P333" s="125"/>
      <c r="Q333" s="125"/>
      <c r="R333" s="125"/>
      <c r="S333" s="125"/>
      <c r="T333" s="125"/>
      <c r="U333" s="125"/>
      <c r="V333" s="125"/>
      <c r="W333" s="125"/>
      <c r="X333" s="125"/>
      <c r="Y333" s="125"/>
      <c r="Z333" s="125"/>
      <c r="AA333" s="125"/>
      <c r="AB333" s="125"/>
      <c r="AC333" s="125"/>
      <c r="AD333" s="125"/>
      <c r="AE333" s="125"/>
      <c r="AF333" s="125"/>
      <c r="AG333" s="125"/>
      <c r="AH333" s="125"/>
      <c r="AI333" s="125"/>
      <c r="AJ333" s="125"/>
      <c r="AK333" s="125"/>
      <c r="AL333" s="125"/>
      <c r="AM333" s="125"/>
      <c r="AN333" s="125"/>
      <c r="AO333" s="125"/>
      <c r="AP333" s="125"/>
      <c r="AQ333" s="125"/>
      <c r="AR333" s="125"/>
      <c r="AS333" s="125"/>
      <c r="AT333" s="125"/>
      <c r="AU333" s="125"/>
      <c r="AV333" s="125"/>
      <c r="AW333" s="125"/>
      <c r="AX333" s="125"/>
      <c r="AY333" s="125"/>
      <c r="AZ333" s="125"/>
      <c r="BA333" s="125"/>
      <c r="BB333" s="125"/>
      <c r="BC333" s="125"/>
      <c r="BD333" s="125"/>
      <c r="BE333" s="125"/>
      <c r="BF333" s="125"/>
    </row>
    <row r="334" spans="1:58" ht="15.75" customHeight="1">
      <c r="A334" s="125"/>
      <c r="B334" s="125"/>
      <c r="C334" s="125"/>
      <c r="D334" s="125"/>
      <c r="E334" s="125"/>
      <c r="F334" s="125"/>
      <c r="G334" s="125"/>
      <c r="H334" s="125"/>
      <c r="I334" s="125"/>
      <c r="J334" s="125"/>
      <c r="K334" s="125"/>
      <c r="L334" s="125"/>
      <c r="M334" s="125"/>
      <c r="N334" s="125"/>
      <c r="O334" s="125"/>
      <c r="P334" s="125"/>
      <c r="Q334" s="125"/>
      <c r="R334" s="125"/>
      <c r="S334" s="125"/>
      <c r="T334" s="125"/>
      <c r="U334" s="125"/>
      <c r="V334" s="125"/>
      <c r="W334" s="125"/>
      <c r="X334" s="125"/>
      <c r="Y334" s="125"/>
      <c r="Z334" s="125"/>
      <c r="AA334" s="125"/>
      <c r="AB334" s="125"/>
      <c r="AC334" s="125"/>
      <c r="AD334" s="125"/>
      <c r="AE334" s="125"/>
      <c r="AF334" s="125"/>
      <c r="AG334" s="125"/>
      <c r="AH334" s="125"/>
      <c r="AI334" s="125"/>
      <c r="AJ334" s="125"/>
      <c r="AK334" s="125"/>
      <c r="AL334" s="125"/>
      <c r="AM334" s="125"/>
      <c r="AN334" s="125"/>
      <c r="AO334" s="125"/>
      <c r="AP334" s="125"/>
      <c r="AQ334" s="125"/>
      <c r="AR334" s="125"/>
      <c r="AS334" s="125"/>
      <c r="AT334" s="125"/>
      <c r="AU334" s="125"/>
      <c r="AV334" s="125"/>
      <c r="AW334" s="125"/>
      <c r="AX334" s="125"/>
      <c r="AY334" s="125"/>
      <c r="AZ334" s="125"/>
      <c r="BA334" s="125"/>
      <c r="BB334" s="125"/>
      <c r="BC334" s="125"/>
      <c r="BD334" s="125"/>
      <c r="BE334" s="125"/>
      <c r="BF334" s="125"/>
    </row>
    <row r="335" spans="1:58" ht="15.75" customHeight="1">
      <c r="A335" s="125"/>
      <c r="B335" s="125"/>
      <c r="C335" s="125"/>
      <c r="D335" s="125"/>
      <c r="E335" s="125"/>
      <c r="F335" s="125"/>
      <c r="G335" s="125"/>
      <c r="H335" s="125"/>
      <c r="I335" s="125"/>
      <c r="J335" s="125"/>
      <c r="K335" s="125"/>
      <c r="L335" s="125"/>
      <c r="M335" s="125"/>
      <c r="N335" s="125"/>
      <c r="O335" s="125"/>
      <c r="P335" s="125"/>
      <c r="Q335" s="125"/>
      <c r="R335" s="125"/>
      <c r="S335" s="125"/>
      <c r="T335" s="125"/>
      <c r="U335" s="125"/>
      <c r="V335" s="125"/>
      <c r="W335" s="125"/>
      <c r="X335" s="125"/>
      <c r="Y335" s="125"/>
      <c r="Z335" s="125"/>
      <c r="AA335" s="125"/>
      <c r="AB335" s="125"/>
      <c r="AC335" s="125"/>
      <c r="AD335" s="125"/>
      <c r="AE335" s="125"/>
      <c r="AF335" s="125"/>
      <c r="AG335" s="125"/>
      <c r="AH335" s="125"/>
      <c r="AI335" s="125"/>
      <c r="AJ335" s="125"/>
      <c r="AK335" s="125"/>
      <c r="AL335" s="125"/>
      <c r="AM335" s="125"/>
      <c r="AN335" s="125"/>
      <c r="AO335" s="125"/>
      <c r="AP335" s="125"/>
      <c r="AQ335" s="125"/>
      <c r="AR335" s="125"/>
      <c r="AS335" s="125"/>
      <c r="AT335" s="125"/>
      <c r="AU335" s="125"/>
      <c r="AV335" s="125"/>
      <c r="AW335" s="125"/>
      <c r="AX335" s="125"/>
      <c r="AY335" s="125"/>
      <c r="AZ335" s="125"/>
      <c r="BA335" s="125"/>
      <c r="BB335" s="125"/>
      <c r="BC335" s="125"/>
      <c r="BD335" s="125"/>
      <c r="BE335" s="125"/>
      <c r="BF335" s="125"/>
    </row>
    <row r="336" spans="1:58" ht="15.75" customHeight="1">
      <c r="A336" s="125"/>
      <c r="B336" s="125"/>
      <c r="C336" s="125"/>
      <c r="D336" s="125"/>
      <c r="E336" s="125"/>
      <c r="F336" s="125"/>
      <c r="G336" s="125"/>
      <c r="H336" s="125"/>
      <c r="I336" s="125"/>
      <c r="J336" s="125"/>
      <c r="K336" s="125"/>
      <c r="L336" s="125"/>
      <c r="M336" s="125"/>
      <c r="N336" s="125"/>
      <c r="O336" s="125"/>
      <c r="P336" s="125"/>
      <c r="Q336" s="125"/>
      <c r="R336" s="125"/>
      <c r="S336" s="125"/>
      <c r="T336" s="125"/>
      <c r="U336" s="125"/>
      <c r="V336" s="125"/>
      <c r="W336" s="125"/>
      <c r="X336" s="125"/>
      <c r="Y336" s="125"/>
      <c r="Z336" s="125"/>
      <c r="AA336" s="125"/>
      <c r="AB336" s="125"/>
      <c r="AC336" s="125"/>
      <c r="AD336" s="125"/>
      <c r="AE336" s="125"/>
      <c r="AF336" s="125"/>
      <c r="AG336" s="125"/>
      <c r="AH336" s="125"/>
      <c r="AI336" s="125"/>
      <c r="AJ336" s="125"/>
      <c r="AK336" s="125"/>
      <c r="AL336" s="125"/>
      <c r="AM336" s="125"/>
      <c r="AN336" s="125"/>
      <c r="AO336" s="125"/>
      <c r="AP336" s="125"/>
      <c r="AQ336" s="125"/>
      <c r="AR336" s="125"/>
      <c r="AS336" s="125"/>
      <c r="AT336" s="125"/>
      <c r="AU336" s="125"/>
      <c r="AV336" s="125"/>
      <c r="AW336" s="125"/>
      <c r="AX336" s="125"/>
      <c r="AY336" s="125"/>
      <c r="AZ336" s="125"/>
      <c r="BA336" s="125"/>
      <c r="BB336" s="125"/>
      <c r="BC336" s="125"/>
      <c r="BD336" s="125"/>
      <c r="BE336" s="125"/>
      <c r="BF336" s="125"/>
    </row>
    <row r="337" spans="1:58" ht="15.75" customHeight="1">
      <c r="A337" s="125"/>
      <c r="B337" s="125"/>
      <c r="C337" s="125"/>
      <c r="D337" s="125"/>
      <c r="E337" s="125"/>
      <c r="F337" s="125"/>
      <c r="G337" s="125"/>
      <c r="H337" s="125"/>
      <c r="I337" s="125"/>
      <c r="J337" s="125"/>
      <c r="K337" s="125"/>
      <c r="L337" s="125"/>
      <c r="M337" s="125"/>
      <c r="N337" s="125"/>
      <c r="O337" s="125"/>
      <c r="P337" s="125"/>
      <c r="Q337" s="125"/>
      <c r="R337" s="125"/>
      <c r="S337" s="125"/>
      <c r="T337" s="125"/>
      <c r="U337" s="125"/>
      <c r="V337" s="125"/>
      <c r="W337" s="125"/>
      <c r="X337" s="125"/>
      <c r="Y337" s="125"/>
      <c r="Z337" s="125"/>
      <c r="AA337" s="125"/>
      <c r="AB337" s="125"/>
      <c r="AC337" s="125"/>
      <c r="AD337" s="125"/>
      <c r="AE337" s="125"/>
      <c r="AF337" s="125"/>
      <c r="AG337" s="125"/>
      <c r="AH337" s="125"/>
      <c r="AI337" s="125"/>
      <c r="AJ337" s="125"/>
      <c r="AK337" s="125"/>
      <c r="AL337" s="125"/>
      <c r="AM337" s="125"/>
      <c r="AN337" s="125"/>
      <c r="AO337" s="125"/>
      <c r="AP337" s="125"/>
      <c r="AQ337" s="125"/>
      <c r="AR337" s="125"/>
      <c r="AS337" s="125"/>
      <c r="AT337" s="125"/>
      <c r="AU337" s="125"/>
      <c r="AV337" s="125"/>
      <c r="AW337" s="125"/>
      <c r="AX337" s="125"/>
      <c r="AY337" s="125"/>
      <c r="AZ337" s="125"/>
      <c r="BA337" s="125"/>
      <c r="BB337" s="125"/>
      <c r="BC337" s="125"/>
      <c r="BD337" s="125"/>
      <c r="BE337" s="125"/>
      <c r="BF337" s="125"/>
    </row>
    <row r="338" spans="1:58" ht="15.75" customHeight="1">
      <c r="A338" s="125"/>
      <c r="B338" s="125"/>
      <c r="C338" s="125"/>
      <c r="D338" s="125"/>
      <c r="E338" s="125"/>
      <c r="F338" s="125"/>
      <c r="G338" s="125"/>
      <c r="H338" s="125"/>
      <c r="I338" s="125"/>
      <c r="J338" s="125"/>
      <c r="K338" s="125"/>
      <c r="L338" s="125"/>
      <c r="M338" s="125"/>
      <c r="N338" s="125"/>
      <c r="O338" s="125"/>
      <c r="P338" s="125"/>
      <c r="Q338" s="125"/>
      <c r="R338" s="125"/>
      <c r="S338" s="125"/>
      <c r="T338" s="125"/>
      <c r="U338" s="125"/>
      <c r="V338" s="125"/>
      <c r="W338" s="125"/>
      <c r="X338" s="125"/>
      <c r="Y338" s="125"/>
      <c r="Z338" s="125"/>
      <c r="AA338" s="125"/>
      <c r="AB338" s="125"/>
      <c r="AC338" s="125"/>
      <c r="AD338" s="125"/>
      <c r="AE338" s="125"/>
      <c r="AF338" s="125"/>
      <c r="AG338" s="125"/>
      <c r="AH338" s="125"/>
      <c r="AI338" s="125"/>
      <c r="AJ338" s="125"/>
      <c r="AK338" s="125"/>
      <c r="AL338" s="125"/>
      <c r="AM338" s="125"/>
      <c r="AN338" s="125"/>
      <c r="AO338" s="125"/>
      <c r="AP338" s="125"/>
      <c r="AQ338" s="125"/>
      <c r="AR338" s="125"/>
      <c r="AS338" s="125"/>
      <c r="AT338" s="125"/>
      <c r="AU338" s="125"/>
      <c r="AV338" s="125"/>
      <c r="AW338" s="125"/>
      <c r="AX338" s="125"/>
      <c r="AY338" s="125"/>
      <c r="AZ338" s="125"/>
      <c r="BA338" s="125"/>
      <c r="BB338" s="125"/>
      <c r="BC338" s="125"/>
      <c r="BD338" s="125"/>
      <c r="BE338" s="125"/>
      <c r="BF338" s="125"/>
    </row>
    <row r="339" spans="1:58" ht="15.75" customHeight="1">
      <c r="A339" s="125"/>
      <c r="B339" s="125"/>
      <c r="C339" s="125"/>
      <c r="D339" s="125"/>
      <c r="E339" s="125"/>
      <c r="F339" s="125"/>
      <c r="G339" s="125"/>
      <c r="H339" s="125"/>
      <c r="I339" s="125"/>
      <c r="J339" s="125"/>
      <c r="K339" s="125"/>
      <c r="L339" s="125"/>
      <c r="M339" s="125"/>
      <c r="N339" s="125"/>
      <c r="O339" s="125"/>
      <c r="P339" s="125"/>
      <c r="Q339" s="125"/>
      <c r="R339" s="125"/>
      <c r="S339" s="125"/>
      <c r="T339" s="125"/>
      <c r="U339" s="125"/>
      <c r="V339" s="125"/>
      <c r="W339" s="125"/>
      <c r="X339" s="125"/>
      <c r="Y339" s="125"/>
      <c r="Z339" s="125"/>
      <c r="AA339" s="125"/>
      <c r="AB339" s="125"/>
      <c r="AC339" s="125"/>
      <c r="AD339" s="125"/>
      <c r="AE339" s="125"/>
      <c r="AF339" s="125"/>
      <c r="AG339" s="125"/>
      <c r="AH339" s="125"/>
      <c r="AI339" s="125"/>
      <c r="AJ339" s="125"/>
      <c r="AK339" s="125"/>
      <c r="AL339" s="125"/>
      <c r="AM339" s="125"/>
      <c r="AN339" s="125"/>
      <c r="AO339" s="125"/>
      <c r="AP339" s="125"/>
      <c r="AQ339" s="125"/>
      <c r="AR339" s="125"/>
      <c r="AS339" s="125"/>
      <c r="AT339" s="125"/>
      <c r="AU339" s="125"/>
      <c r="AV339" s="125"/>
      <c r="AW339" s="125"/>
      <c r="AX339" s="125"/>
      <c r="AY339" s="125"/>
      <c r="AZ339" s="125"/>
      <c r="BA339" s="125"/>
      <c r="BB339" s="125"/>
      <c r="BC339" s="125"/>
      <c r="BD339" s="125"/>
      <c r="BE339" s="125"/>
      <c r="BF339" s="125"/>
    </row>
    <row r="340" spans="1:58" ht="15.75" customHeight="1">
      <c r="A340" s="125"/>
      <c r="B340" s="125"/>
      <c r="C340" s="125"/>
      <c r="D340" s="125"/>
      <c r="E340" s="125"/>
      <c r="F340" s="125"/>
      <c r="G340" s="125"/>
      <c r="H340" s="125"/>
      <c r="I340" s="125"/>
      <c r="J340" s="125"/>
      <c r="K340" s="125"/>
      <c r="L340" s="125"/>
      <c r="M340" s="125"/>
      <c r="N340" s="125"/>
      <c r="O340" s="125"/>
      <c r="P340" s="125"/>
      <c r="Q340" s="125"/>
      <c r="R340" s="125"/>
      <c r="S340" s="125"/>
      <c r="T340" s="125"/>
      <c r="U340" s="125"/>
      <c r="V340" s="125"/>
      <c r="W340" s="125"/>
      <c r="X340" s="125"/>
      <c r="Y340" s="125"/>
      <c r="Z340" s="125"/>
      <c r="AA340" s="125"/>
      <c r="AB340" s="125"/>
      <c r="AC340" s="125"/>
      <c r="AD340" s="125"/>
      <c r="AE340" s="125"/>
      <c r="AF340" s="125"/>
      <c r="AG340" s="125"/>
      <c r="AH340" s="125"/>
      <c r="AI340" s="125"/>
      <c r="AJ340" s="125"/>
      <c r="AK340" s="125"/>
      <c r="AL340" s="125"/>
      <c r="AM340" s="125"/>
      <c r="AN340" s="125"/>
      <c r="AO340" s="125"/>
      <c r="AP340" s="125"/>
      <c r="AQ340" s="125"/>
      <c r="AR340" s="125"/>
      <c r="AS340" s="125"/>
      <c r="AT340" s="125"/>
      <c r="AU340" s="125"/>
      <c r="AV340" s="125"/>
      <c r="AW340" s="125"/>
      <c r="AX340" s="125"/>
      <c r="AY340" s="125"/>
      <c r="AZ340" s="125"/>
      <c r="BA340" s="125"/>
      <c r="BB340" s="125"/>
      <c r="BC340" s="125"/>
      <c r="BD340" s="125"/>
      <c r="BE340" s="125"/>
      <c r="BF340" s="125"/>
    </row>
    <row r="341" spans="1:58" ht="15.75" customHeight="1">
      <c r="A341" s="125"/>
      <c r="B341" s="125"/>
      <c r="C341" s="125"/>
      <c r="D341" s="125"/>
      <c r="E341" s="125"/>
      <c r="F341" s="125"/>
      <c r="G341" s="125"/>
      <c r="H341" s="125"/>
      <c r="I341" s="125"/>
      <c r="J341" s="125"/>
      <c r="K341" s="125"/>
      <c r="L341" s="125"/>
      <c r="M341" s="125"/>
      <c r="N341" s="125"/>
      <c r="O341" s="125"/>
      <c r="P341" s="125"/>
      <c r="Q341" s="125"/>
      <c r="R341" s="125"/>
      <c r="S341" s="125"/>
      <c r="T341" s="125"/>
      <c r="U341" s="125"/>
      <c r="V341" s="125"/>
      <c r="W341" s="125"/>
      <c r="X341" s="125"/>
      <c r="Y341" s="125"/>
      <c r="Z341" s="125"/>
      <c r="AA341" s="125"/>
      <c r="AB341" s="125"/>
      <c r="AC341" s="125"/>
      <c r="AD341" s="125"/>
      <c r="AE341" s="125"/>
      <c r="AF341" s="125"/>
      <c r="AG341" s="125"/>
      <c r="AH341" s="125"/>
      <c r="AI341" s="125"/>
      <c r="AJ341" s="125"/>
      <c r="AK341" s="125"/>
      <c r="AL341" s="125"/>
      <c r="AM341" s="125"/>
      <c r="AN341" s="125"/>
      <c r="AO341" s="125"/>
      <c r="AP341" s="125"/>
      <c r="AQ341" s="125"/>
      <c r="AR341" s="125"/>
      <c r="AS341" s="125"/>
      <c r="AT341" s="125"/>
      <c r="AU341" s="125"/>
      <c r="AV341" s="125"/>
      <c r="AW341" s="125"/>
      <c r="AX341" s="125"/>
      <c r="AY341" s="125"/>
      <c r="AZ341" s="125"/>
      <c r="BA341" s="125"/>
      <c r="BB341" s="125"/>
      <c r="BC341" s="125"/>
      <c r="BD341" s="125"/>
      <c r="BE341" s="125"/>
      <c r="BF341" s="125"/>
    </row>
    <row r="342" spans="1:58" ht="15.75" customHeight="1">
      <c r="A342" s="125"/>
      <c r="B342" s="125"/>
      <c r="C342" s="125"/>
      <c r="D342" s="125"/>
      <c r="E342" s="125"/>
      <c r="F342" s="125"/>
      <c r="G342" s="125"/>
      <c r="H342" s="125"/>
      <c r="I342" s="125"/>
      <c r="J342" s="125"/>
      <c r="K342" s="125"/>
      <c r="L342" s="125"/>
      <c r="M342" s="125"/>
      <c r="N342" s="125"/>
      <c r="O342" s="125"/>
      <c r="P342" s="125"/>
      <c r="Q342" s="125"/>
      <c r="R342" s="125"/>
      <c r="S342" s="125"/>
      <c r="T342" s="125"/>
      <c r="U342" s="125"/>
      <c r="V342" s="125"/>
      <c r="W342" s="125"/>
      <c r="X342" s="125"/>
      <c r="Y342" s="125"/>
      <c r="Z342" s="125"/>
      <c r="AA342" s="125"/>
      <c r="AB342" s="125"/>
      <c r="AC342" s="125"/>
      <c r="AD342" s="125"/>
      <c r="AE342" s="125"/>
      <c r="AF342" s="125"/>
      <c r="AG342" s="125"/>
      <c r="AH342" s="125"/>
      <c r="AI342" s="125"/>
      <c r="AJ342" s="125"/>
      <c r="AK342" s="125"/>
      <c r="AL342" s="125"/>
      <c r="AM342" s="125"/>
      <c r="AN342" s="125"/>
      <c r="AO342" s="125"/>
      <c r="AP342" s="125"/>
      <c r="AQ342" s="125"/>
      <c r="AR342" s="125"/>
      <c r="AS342" s="125"/>
      <c r="AT342" s="125"/>
      <c r="AU342" s="125"/>
      <c r="AV342" s="125"/>
      <c r="AW342" s="125"/>
      <c r="AX342" s="125"/>
      <c r="AY342" s="125"/>
      <c r="AZ342" s="125"/>
      <c r="BA342" s="125"/>
      <c r="BB342" s="125"/>
      <c r="BC342" s="125"/>
      <c r="BD342" s="125"/>
      <c r="BE342" s="125"/>
      <c r="BF342" s="125"/>
    </row>
    <row r="343" spans="1:58" ht="15.75" customHeight="1">
      <c r="A343" s="125"/>
      <c r="B343" s="125"/>
      <c r="C343" s="125"/>
      <c r="D343" s="125"/>
      <c r="E343" s="125"/>
      <c r="F343" s="125"/>
      <c r="G343" s="125"/>
      <c r="H343" s="125"/>
      <c r="I343" s="125"/>
      <c r="J343" s="125"/>
      <c r="K343" s="125"/>
      <c r="L343" s="125"/>
      <c r="M343" s="125"/>
      <c r="N343" s="125"/>
      <c r="O343" s="125"/>
      <c r="P343" s="125"/>
      <c r="Q343" s="125"/>
      <c r="R343" s="125"/>
      <c r="S343" s="125"/>
      <c r="T343" s="125"/>
      <c r="U343" s="125"/>
      <c r="V343" s="125"/>
      <c r="W343" s="125"/>
      <c r="X343" s="125"/>
      <c r="Y343" s="125"/>
      <c r="Z343" s="125"/>
      <c r="AA343" s="125"/>
      <c r="AB343" s="125"/>
      <c r="AC343" s="125"/>
      <c r="AD343" s="125"/>
      <c r="AE343" s="125"/>
      <c r="AF343" s="125"/>
      <c r="AG343" s="125"/>
      <c r="AH343" s="125"/>
      <c r="AI343" s="125"/>
      <c r="AJ343" s="125"/>
      <c r="AK343" s="125"/>
      <c r="AL343" s="125"/>
      <c r="AM343" s="125"/>
      <c r="AN343" s="125"/>
      <c r="AO343" s="125"/>
      <c r="AP343" s="125"/>
      <c r="AQ343" s="125"/>
      <c r="AR343" s="125"/>
      <c r="AS343" s="125"/>
      <c r="AT343" s="125"/>
      <c r="AU343" s="125"/>
      <c r="AV343" s="125"/>
      <c r="AW343" s="125"/>
      <c r="AX343" s="125"/>
      <c r="AY343" s="125"/>
      <c r="AZ343" s="125"/>
      <c r="BA343" s="125"/>
      <c r="BB343" s="125"/>
      <c r="BC343" s="125"/>
      <c r="BD343" s="125"/>
      <c r="BE343" s="125"/>
      <c r="BF343" s="125"/>
    </row>
    <row r="344" spans="1:58" ht="15.75" customHeight="1">
      <c r="A344" s="125"/>
      <c r="B344" s="125"/>
      <c r="C344" s="125"/>
      <c r="D344" s="125"/>
      <c r="E344" s="125"/>
      <c r="F344" s="125"/>
      <c r="G344" s="125"/>
      <c r="H344" s="125"/>
      <c r="I344" s="125"/>
      <c r="J344" s="125"/>
      <c r="K344" s="125"/>
      <c r="L344" s="125"/>
      <c r="M344" s="125"/>
      <c r="N344" s="125"/>
      <c r="O344" s="125"/>
      <c r="P344" s="125"/>
      <c r="Q344" s="125"/>
      <c r="R344" s="125"/>
      <c r="S344" s="125"/>
      <c r="T344" s="125"/>
      <c r="U344" s="125"/>
      <c r="V344" s="125"/>
      <c r="W344" s="125"/>
      <c r="X344" s="125"/>
      <c r="Y344" s="125"/>
      <c r="Z344" s="125"/>
      <c r="AA344" s="125"/>
      <c r="AB344" s="125"/>
      <c r="AC344" s="125"/>
      <c r="AD344" s="125"/>
      <c r="AE344" s="125"/>
      <c r="AF344" s="125"/>
      <c r="AG344" s="125"/>
      <c r="AH344" s="125"/>
      <c r="AI344" s="125"/>
      <c r="AJ344" s="125"/>
      <c r="AK344" s="125"/>
      <c r="AL344" s="125"/>
      <c r="AM344" s="125"/>
      <c r="AN344" s="125"/>
      <c r="AO344" s="125"/>
      <c r="AP344" s="125"/>
      <c r="AQ344" s="125"/>
      <c r="AR344" s="125"/>
      <c r="AS344" s="125"/>
      <c r="AT344" s="125"/>
      <c r="AU344" s="125"/>
      <c r="AV344" s="125"/>
      <c r="AW344" s="125"/>
      <c r="AX344" s="125"/>
      <c r="AY344" s="125"/>
      <c r="AZ344" s="125"/>
      <c r="BA344" s="125"/>
      <c r="BB344" s="125"/>
      <c r="BC344" s="125"/>
      <c r="BD344" s="125"/>
      <c r="BE344" s="125"/>
      <c r="BF344" s="125"/>
    </row>
    <row r="345" spans="1:58" ht="15.75" customHeight="1">
      <c r="A345" s="125"/>
      <c r="B345" s="125"/>
      <c r="C345" s="125"/>
      <c r="D345" s="125"/>
      <c r="E345" s="125"/>
      <c r="F345" s="125"/>
      <c r="G345" s="125"/>
      <c r="H345" s="125"/>
      <c r="I345" s="125"/>
      <c r="J345" s="125"/>
      <c r="K345" s="125"/>
      <c r="L345" s="125"/>
      <c r="M345" s="125"/>
      <c r="N345" s="125"/>
      <c r="O345" s="125"/>
      <c r="P345" s="125"/>
      <c r="Q345" s="125"/>
      <c r="R345" s="125"/>
      <c r="S345" s="125"/>
      <c r="T345" s="125"/>
      <c r="U345" s="125"/>
      <c r="V345" s="125"/>
      <c r="W345" s="125"/>
      <c r="X345" s="125"/>
      <c r="Y345" s="125"/>
      <c r="Z345" s="125"/>
      <c r="AA345" s="125"/>
      <c r="AB345" s="125"/>
      <c r="AC345" s="125"/>
      <c r="AD345" s="125"/>
      <c r="AE345" s="125"/>
      <c r="AF345" s="125"/>
      <c r="AG345" s="125"/>
      <c r="AH345" s="125"/>
      <c r="AI345" s="125"/>
      <c r="AJ345" s="125"/>
      <c r="AK345" s="125"/>
      <c r="AL345" s="125"/>
      <c r="AM345" s="125"/>
      <c r="AN345" s="125"/>
      <c r="AO345" s="125"/>
      <c r="AP345" s="125"/>
      <c r="AQ345" s="125"/>
      <c r="AR345" s="125"/>
      <c r="AS345" s="125"/>
      <c r="AT345" s="125"/>
      <c r="AU345" s="125"/>
      <c r="AV345" s="125"/>
      <c r="AW345" s="125"/>
      <c r="AX345" s="125"/>
      <c r="AY345" s="125"/>
      <c r="AZ345" s="125"/>
      <c r="BA345" s="125"/>
      <c r="BB345" s="125"/>
      <c r="BC345" s="125"/>
      <c r="BD345" s="125"/>
      <c r="BE345" s="125"/>
      <c r="BF345" s="125"/>
    </row>
    <row r="346" spans="1:58" ht="15.75" customHeight="1">
      <c r="A346" s="125"/>
      <c r="B346" s="125"/>
      <c r="C346" s="125"/>
      <c r="D346" s="125"/>
      <c r="E346" s="125"/>
      <c r="F346" s="125"/>
      <c r="G346" s="125"/>
      <c r="H346" s="125"/>
      <c r="I346" s="125"/>
      <c r="J346" s="125"/>
      <c r="K346" s="125"/>
      <c r="L346" s="125"/>
      <c r="M346" s="125"/>
      <c r="N346" s="125"/>
      <c r="O346" s="125"/>
      <c r="P346" s="125"/>
      <c r="Q346" s="125"/>
      <c r="R346" s="125"/>
      <c r="S346" s="125"/>
      <c r="T346" s="125"/>
      <c r="U346" s="125"/>
      <c r="V346" s="125"/>
      <c r="W346" s="125"/>
      <c r="X346" s="125"/>
      <c r="Y346" s="125"/>
      <c r="Z346" s="125"/>
      <c r="AA346" s="125"/>
      <c r="AB346" s="125"/>
      <c r="AC346" s="125"/>
      <c r="AD346" s="125"/>
      <c r="AE346" s="125"/>
      <c r="AF346" s="125"/>
      <c r="AG346" s="125"/>
      <c r="AH346" s="125"/>
      <c r="AI346" s="125"/>
      <c r="AJ346" s="125"/>
      <c r="AK346" s="125"/>
      <c r="AL346" s="125"/>
      <c r="AM346" s="125"/>
      <c r="AN346" s="125"/>
      <c r="AO346" s="125"/>
      <c r="AP346" s="125"/>
      <c r="AQ346" s="125"/>
      <c r="AR346" s="125"/>
      <c r="AS346" s="125"/>
      <c r="AT346" s="125"/>
      <c r="AU346" s="125"/>
      <c r="AV346" s="125"/>
      <c r="AW346" s="125"/>
      <c r="AX346" s="125"/>
      <c r="AY346" s="125"/>
      <c r="AZ346" s="125"/>
      <c r="BA346" s="125"/>
      <c r="BB346" s="125"/>
      <c r="BC346" s="125"/>
      <c r="BD346" s="125"/>
      <c r="BE346" s="125"/>
      <c r="BF346" s="125"/>
    </row>
    <row r="347" spans="1:58" ht="15.75" customHeight="1">
      <c r="A347" s="125"/>
      <c r="B347" s="125"/>
      <c r="C347" s="125"/>
      <c r="D347" s="125"/>
      <c r="E347" s="125"/>
      <c r="F347" s="125"/>
      <c r="G347" s="125"/>
      <c r="H347" s="125"/>
      <c r="I347" s="125"/>
      <c r="J347" s="125"/>
      <c r="K347" s="125"/>
      <c r="L347" s="125"/>
      <c r="M347" s="125"/>
      <c r="N347" s="125"/>
      <c r="O347" s="125"/>
      <c r="P347" s="125"/>
      <c r="Q347" s="125"/>
      <c r="R347" s="125"/>
      <c r="S347" s="125"/>
      <c r="T347" s="125"/>
      <c r="U347" s="125"/>
      <c r="V347" s="125"/>
      <c r="W347" s="125"/>
      <c r="X347" s="125"/>
      <c r="Y347" s="125"/>
      <c r="Z347" s="125"/>
      <c r="AA347" s="125"/>
      <c r="AB347" s="125"/>
      <c r="AC347" s="125"/>
      <c r="AD347" s="125"/>
      <c r="AE347" s="125"/>
      <c r="AF347" s="125"/>
      <c r="AG347" s="125"/>
      <c r="AH347" s="125"/>
      <c r="AI347" s="125"/>
      <c r="AJ347" s="125"/>
      <c r="AK347" s="125"/>
      <c r="AL347" s="125"/>
      <c r="AM347" s="125"/>
      <c r="AN347" s="125"/>
      <c r="AO347" s="125"/>
      <c r="AP347" s="125"/>
      <c r="AQ347" s="125"/>
      <c r="AR347" s="125"/>
      <c r="AS347" s="125"/>
      <c r="AT347" s="125"/>
      <c r="AU347" s="125"/>
      <c r="AV347" s="125"/>
      <c r="AW347" s="125"/>
      <c r="AX347" s="125"/>
      <c r="AY347" s="125"/>
      <c r="AZ347" s="125"/>
      <c r="BA347" s="125"/>
      <c r="BB347" s="125"/>
      <c r="BC347" s="125"/>
      <c r="BD347" s="125"/>
      <c r="BE347" s="125"/>
      <c r="BF347" s="125"/>
    </row>
    <row r="348" spans="1:58" ht="15.75" customHeight="1">
      <c r="A348" s="125"/>
      <c r="B348" s="125"/>
      <c r="C348" s="125"/>
      <c r="D348" s="125"/>
      <c r="E348" s="125"/>
      <c r="F348" s="125"/>
      <c r="G348" s="125"/>
      <c r="H348" s="125"/>
      <c r="I348" s="125"/>
      <c r="J348" s="125"/>
      <c r="K348" s="125"/>
      <c r="L348" s="125"/>
      <c r="M348" s="125"/>
      <c r="N348" s="125"/>
      <c r="O348" s="125"/>
      <c r="P348" s="125"/>
      <c r="Q348" s="125"/>
      <c r="R348" s="125"/>
      <c r="S348" s="125"/>
      <c r="T348" s="125"/>
      <c r="U348" s="125"/>
      <c r="V348" s="125"/>
      <c r="W348" s="125"/>
      <c r="X348" s="125"/>
      <c r="Y348" s="125"/>
      <c r="Z348" s="125"/>
      <c r="AA348" s="125"/>
      <c r="AB348" s="125"/>
      <c r="AC348" s="125"/>
      <c r="AD348" s="125"/>
      <c r="AE348" s="125"/>
      <c r="AF348" s="125"/>
      <c r="AG348" s="125"/>
      <c r="AH348" s="125"/>
      <c r="AI348" s="125"/>
      <c r="AJ348" s="125"/>
      <c r="AK348" s="125"/>
      <c r="AL348" s="125"/>
      <c r="AM348" s="125"/>
      <c r="AN348" s="125"/>
      <c r="AO348" s="125"/>
      <c r="AP348" s="125"/>
      <c r="AQ348" s="125"/>
      <c r="AR348" s="125"/>
      <c r="AS348" s="125"/>
      <c r="AT348" s="125"/>
      <c r="AU348" s="125"/>
      <c r="AV348" s="125"/>
      <c r="AW348" s="125"/>
      <c r="AX348" s="125"/>
      <c r="AY348" s="125"/>
      <c r="AZ348" s="125"/>
      <c r="BA348" s="125"/>
      <c r="BB348" s="125"/>
      <c r="BC348" s="125"/>
      <c r="BD348" s="125"/>
      <c r="BE348" s="125"/>
      <c r="BF348" s="125"/>
    </row>
    <row r="349" spans="1:58" ht="15.75" customHeight="1">
      <c r="A349" s="125"/>
      <c r="B349" s="125"/>
      <c r="C349" s="125"/>
      <c r="D349" s="125"/>
      <c r="E349" s="125"/>
      <c r="F349" s="125"/>
      <c r="G349" s="125"/>
      <c r="H349" s="125"/>
      <c r="I349" s="125"/>
      <c r="J349" s="125"/>
      <c r="K349" s="125"/>
      <c r="L349" s="125"/>
      <c r="M349" s="125"/>
      <c r="N349" s="125"/>
      <c r="O349" s="125"/>
      <c r="P349" s="125"/>
      <c r="Q349" s="125"/>
      <c r="R349" s="125"/>
      <c r="S349" s="125"/>
      <c r="T349" s="125"/>
      <c r="U349" s="125"/>
      <c r="V349" s="125"/>
      <c r="W349" s="125"/>
      <c r="X349" s="125"/>
      <c r="Y349" s="125"/>
      <c r="Z349" s="125"/>
      <c r="AA349" s="125"/>
      <c r="AB349" s="125"/>
      <c r="AC349" s="125"/>
      <c r="AD349" s="125"/>
      <c r="AE349" s="125"/>
      <c r="AF349" s="125"/>
      <c r="AG349" s="125"/>
      <c r="AH349" s="125"/>
      <c r="AI349" s="125"/>
      <c r="AJ349" s="125"/>
      <c r="AK349" s="125"/>
      <c r="AL349" s="125"/>
      <c r="AM349" s="125"/>
      <c r="AN349" s="125"/>
      <c r="AO349" s="125"/>
      <c r="AP349" s="125"/>
      <c r="AQ349" s="125"/>
      <c r="AR349" s="125"/>
      <c r="AS349" s="125"/>
      <c r="AT349" s="125"/>
      <c r="AU349" s="125"/>
      <c r="AV349" s="125"/>
      <c r="AW349" s="125"/>
      <c r="AX349" s="125"/>
      <c r="AY349" s="125"/>
      <c r="AZ349" s="125"/>
      <c r="BA349" s="125"/>
      <c r="BB349" s="125"/>
      <c r="BC349" s="125"/>
      <c r="BD349" s="125"/>
      <c r="BE349" s="125"/>
      <c r="BF349" s="125"/>
    </row>
    <row r="350" spans="1:58" ht="15.75" customHeight="1">
      <c r="A350" s="125"/>
      <c r="B350" s="125"/>
      <c r="C350" s="125"/>
      <c r="D350" s="125"/>
      <c r="E350" s="125"/>
      <c r="F350" s="125"/>
      <c r="G350" s="125"/>
      <c r="H350" s="125"/>
      <c r="I350" s="125"/>
      <c r="J350" s="125"/>
      <c r="K350" s="125"/>
      <c r="L350" s="125"/>
      <c r="M350" s="125"/>
      <c r="N350" s="125"/>
      <c r="O350" s="125"/>
      <c r="P350" s="125"/>
      <c r="Q350" s="125"/>
      <c r="R350" s="125"/>
      <c r="S350" s="125"/>
      <c r="T350" s="125"/>
      <c r="U350" s="125"/>
      <c r="V350" s="125"/>
      <c r="W350" s="125"/>
      <c r="X350" s="125"/>
      <c r="Y350" s="125"/>
      <c r="Z350" s="125"/>
      <c r="AA350" s="125"/>
      <c r="AB350" s="125"/>
      <c r="AC350" s="125"/>
      <c r="AD350" s="125"/>
      <c r="AE350" s="125"/>
      <c r="AF350" s="125"/>
      <c r="AG350" s="125"/>
      <c r="AH350" s="125"/>
      <c r="AI350" s="125"/>
      <c r="AJ350" s="125"/>
      <c r="AK350" s="125"/>
      <c r="AL350" s="125"/>
      <c r="AM350" s="125"/>
      <c r="AN350" s="125"/>
      <c r="AO350" s="125"/>
      <c r="AP350" s="125"/>
      <c r="AQ350" s="125"/>
      <c r="AR350" s="125"/>
      <c r="AS350" s="125"/>
      <c r="AT350" s="125"/>
      <c r="AU350" s="125"/>
      <c r="AV350" s="125"/>
      <c r="AW350" s="125"/>
      <c r="AX350" s="125"/>
      <c r="AY350" s="125"/>
      <c r="AZ350" s="125"/>
      <c r="BA350" s="125"/>
      <c r="BB350" s="125"/>
      <c r="BC350" s="125"/>
      <c r="BD350" s="125"/>
      <c r="BE350" s="125"/>
      <c r="BF350" s="125"/>
    </row>
    <row r="351" spans="1:58" ht="15.75" customHeight="1">
      <c r="A351" s="125"/>
      <c r="B351" s="125"/>
      <c r="C351" s="125"/>
      <c r="D351" s="125"/>
      <c r="E351" s="125"/>
      <c r="F351" s="125"/>
      <c r="G351" s="125"/>
      <c r="H351" s="125"/>
      <c r="I351" s="125"/>
      <c r="J351" s="125"/>
      <c r="K351" s="125"/>
      <c r="L351" s="125"/>
      <c r="M351" s="125"/>
      <c r="N351" s="125"/>
      <c r="O351" s="125"/>
      <c r="P351" s="125"/>
      <c r="Q351" s="125"/>
      <c r="R351" s="125"/>
      <c r="S351" s="125"/>
      <c r="T351" s="125"/>
      <c r="U351" s="125"/>
      <c r="V351" s="125"/>
      <c r="W351" s="125"/>
      <c r="X351" s="125"/>
      <c r="Y351" s="125"/>
      <c r="Z351" s="125"/>
      <c r="AA351" s="125"/>
      <c r="AB351" s="125"/>
      <c r="AC351" s="125"/>
      <c r="AD351" s="125"/>
      <c r="AE351" s="125"/>
      <c r="AF351" s="125"/>
      <c r="AG351" s="125"/>
      <c r="AH351" s="125"/>
      <c r="AI351" s="125"/>
      <c r="AJ351" s="125"/>
      <c r="AK351" s="125"/>
      <c r="AL351" s="125"/>
      <c r="AM351" s="125"/>
      <c r="AN351" s="125"/>
      <c r="AO351" s="125"/>
      <c r="AP351" s="125"/>
      <c r="AQ351" s="125"/>
      <c r="AR351" s="125"/>
      <c r="AS351" s="125"/>
      <c r="AT351" s="125"/>
      <c r="AU351" s="125"/>
      <c r="AV351" s="125"/>
      <c r="AW351" s="125"/>
      <c r="AX351" s="125"/>
      <c r="AY351" s="125"/>
      <c r="AZ351" s="125"/>
      <c r="BA351" s="125"/>
      <c r="BB351" s="125"/>
      <c r="BC351" s="125"/>
      <c r="BD351" s="125"/>
      <c r="BE351" s="125"/>
      <c r="BF351" s="125"/>
    </row>
    <row r="352" spans="1:58" ht="15.75" customHeight="1">
      <c r="A352" s="125"/>
      <c r="B352" s="125"/>
      <c r="C352" s="125"/>
      <c r="D352" s="125"/>
      <c r="E352" s="125"/>
      <c r="F352" s="125"/>
      <c r="G352" s="125"/>
      <c r="H352" s="125"/>
      <c r="I352" s="125"/>
      <c r="J352" s="125"/>
      <c r="K352" s="125"/>
      <c r="L352" s="125"/>
      <c r="M352" s="125"/>
      <c r="N352" s="125"/>
      <c r="O352" s="125"/>
      <c r="P352" s="125"/>
      <c r="Q352" s="125"/>
      <c r="R352" s="125"/>
      <c r="S352" s="125"/>
      <c r="T352" s="125"/>
      <c r="U352" s="125"/>
      <c r="V352" s="125"/>
      <c r="W352" s="125"/>
      <c r="X352" s="125"/>
      <c r="Y352" s="125"/>
      <c r="Z352" s="125"/>
      <c r="AA352" s="125"/>
      <c r="AB352" s="125"/>
      <c r="AC352" s="125"/>
      <c r="AD352" s="125"/>
      <c r="AE352" s="125"/>
      <c r="AF352" s="125"/>
      <c r="AG352" s="125"/>
      <c r="AH352" s="125"/>
      <c r="AI352" s="125"/>
      <c r="AJ352" s="125"/>
      <c r="AK352" s="125"/>
      <c r="AL352" s="125"/>
      <c r="AM352" s="125"/>
      <c r="AN352" s="125"/>
      <c r="AO352" s="125"/>
      <c r="AP352" s="125"/>
      <c r="AQ352" s="125"/>
      <c r="AR352" s="125"/>
      <c r="AS352" s="125"/>
      <c r="AT352" s="125"/>
      <c r="AU352" s="125"/>
      <c r="AV352" s="125"/>
      <c r="AW352" s="125"/>
      <c r="AX352" s="125"/>
      <c r="AY352" s="125"/>
      <c r="AZ352" s="125"/>
      <c r="BA352" s="125"/>
      <c r="BB352" s="125"/>
      <c r="BC352" s="125"/>
      <c r="BD352" s="125"/>
      <c r="BE352" s="125"/>
      <c r="BF352" s="125"/>
    </row>
    <row r="353" spans="1:58" ht="15.75" customHeight="1">
      <c r="A353" s="125"/>
      <c r="B353" s="125"/>
      <c r="C353" s="125"/>
      <c r="D353" s="125"/>
      <c r="E353" s="125"/>
      <c r="F353" s="125"/>
      <c r="G353" s="125"/>
      <c r="H353" s="125"/>
      <c r="I353" s="125"/>
      <c r="J353" s="125"/>
      <c r="K353" s="125"/>
      <c r="L353" s="125"/>
      <c r="M353" s="125"/>
      <c r="N353" s="125"/>
      <c r="O353" s="125"/>
      <c r="P353" s="125"/>
      <c r="Q353" s="125"/>
      <c r="R353" s="125"/>
      <c r="S353" s="125"/>
      <c r="T353" s="125"/>
      <c r="U353" s="125"/>
      <c r="V353" s="125"/>
      <c r="W353" s="125"/>
      <c r="X353" s="125"/>
      <c r="Y353" s="125"/>
      <c r="Z353" s="125"/>
      <c r="AA353" s="125"/>
      <c r="AB353" s="125"/>
      <c r="AC353" s="125"/>
      <c r="AD353" s="125"/>
      <c r="AE353" s="125"/>
      <c r="AF353" s="125"/>
      <c r="AG353" s="125"/>
      <c r="AH353" s="125"/>
      <c r="AI353" s="125"/>
      <c r="AJ353" s="125"/>
      <c r="AK353" s="125"/>
      <c r="AL353" s="125"/>
      <c r="AM353" s="125"/>
      <c r="AN353" s="125"/>
      <c r="AO353" s="125"/>
      <c r="AP353" s="125"/>
      <c r="AQ353" s="125"/>
      <c r="AR353" s="125"/>
      <c r="AS353" s="125"/>
      <c r="AT353" s="125"/>
      <c r="AU353" s="125"/>
      <c r="AV353" s="125"/>
      <c r="AW353" s="125"/>
      <c r="AX353" s="125"/>
      <c r="AY353" s="125"/>
      <c r="AZ353" s="125"/>
      <c r="BA353" s="125"/>
      <c r="BB353" s="125"/>
      <c r="BC353" s="125"/>
      <c r="BD353" s="125"/>
      <c r="BE353" s="125"/>
      <c r="BF353" s="125"/>
    </row>
    <row r="354" spans="1:58" ht="15.75" customHeight="1">
      <c r="A354" s="125"/>
      <c r="B354" s="125"/>
      <c r="C354" s="125"/>
      <c r="D354" s="125"/>
      <c r="E354" s="125"/>
      <c r="F354" s="125"/>
      <c r="G354" s="125"/>
      <c r="H354" s="125"/>
      <c r="I354" s="125"/>
      <c r="J354" s="125"/>
      <c r="K354" s="125"/>
      <c r="L354" s="125"/>
      <c r="M354" s="125"/>
      <c r="N354" s="125"/>
      <c r="O354" s="125"/>
      <c r="P354" s="125"/>
      <c r="Q354" s="125"/>
      <c r="R354" s="125"/>
      <c r="S354" s="125"/>
      <c r="T354" s="125"/>
      <c r="U354" s="125"/>
      <c r="V354" s="125"/>
      <c r="W354" s="125"/>
      <c r="X354" s="125"/>
      <c r="Y354" s="125"/>
      <c r="Z354" s="125"/>
      <c r="AA354" s="125"/>
      <c r="AB354" s="125"/>
      <c r="AC354" s="125"/>
      <c r="AD354" s="125"/>
      <c r="AE354" s="125"/>
      <c r="AF354" s="125"/>
      <c r="AG354" s="125"/>
      <c r="AH354" s="125"/>
      <c r="AI354" s="125"/>
      <c r="AJ354" s="125"/>
      <c r="AK354" s="125"/>
      <c r="AL354" s="125"/>
      <c r="AM354" s="125"/>
      <c r="AN354" s="125"/>
      <c r="AO354" s="125"/>
      <c r="AP354" s="125"/>
      <c r="AQ354" s="125"/>
      <c r="AR354" s="125"/>
      <c r="AS354" s="125"/>
      <c r="AT354" s="125"/>
      <c r="AU354" s="125"/>
      <c r="AV354" s="125"/>
      <c r="AW354" s="125"/>
      <c r="AX354" s="125"/>
      <c r="AY354" s="125"/>
      <c r="AZ354" s="125"/>
      <c r="BA354" s="125"/>
      <c r="BB354" s="125"/>
      <c r="BC354" s="125"/>
      <c r="BD354" s="125"/>
      <c r="BE354" s="125"/>
      <c r="BF354" s="125"/>
    </row>
    <row r="355" spans="1:58" ht="15.75" customHeight="1">
      <c r="A355" s="125"/>
      <c r="B355" s="125"/>
      <c r="C355" s="125"/>
      <c r="D355" s="125"/>
      <c r="E355" s="125"/>
      <c r="F355" s="125"/>
      <c r="G355" s="125"/>
      <c r="H355" s="125"/>
      <c r="I355" s="125"/>
      <c r="J355" s="125"/>
      <c r="K355" s="125"/>
      <c r="L355" s="125"/>
      <c r="M355" s="125"/>
      <c r="N355" s="125"/>
      <c r="O355" s="125"/>
      <c r="P355" s="125"/>
      <c r="Q355" s="125"/>
      <c r="R355" s="125"/>
      <c r="S355" s="125"/>
      <c r="T355" s="125"/>
      <c r="U355" s="125"/>
      <c r="V355" s="125"/>
      <c r="W355" s="125"/>
      <c r="X355" s="125"/>
      <c r="Y355" s="125"/>
      <c r="Z355" s="125"/>
      <c r="AA355" s="125"/>
      <c r="AB355" s="125"/>
      <c r="AC355" s="125"/>
      <c r="AD355" s="125"/>
      <c r="AE355" s="125"/>
      <c r="AF355" s="125"/>
      <c r="AG355" s="125"/>
      <c r="AH355" s="125"/>
      <c r="AI355" s="125"/>
      <c r="AJ355" s="125"/>
      <c r="AK355" s="125"/>
      <c r="AL355" s="125"/>
      <c r="AM355" s="125"/>
      <c r="AN355" s="125"/>
      <c r="AO355" s="125"/>
      <c r="AP355" s="125"/>
      <c r="AQ355" s="125"/>
      <c r="AR355" s="125"/>
      <c r="AS355" s="125"/>
      <c r="AT355" s="125"/>
      <c r="AU355" s="125"/>
      <c r="AV355" s="125"/>
      <c r="AW355" s="125"/>
      <c r="AX355" s="125"/>
      <c r="AY355" s="125"/>
      <c r="AZ355" s="125"/>
      <c r="BA355" s="125"/>
      <c r="BB355" s="125"/>
      <c r="BC355" s="125"/>
      <c r="BD355" s="125"/>
      <c r="BE355" s="125"/>
      <c r="BF355" s="125"/>
    </row>
    <row r="356" spans="1:58" ht="15.75" customHeight="1">
      <c r="A356" s="125"/>
      <c r="B356" s="125"/>
      <c r="C356" s="125"/>
      <c r="D356" s="125"/>
      <c r="E356" s="125"/>
      <c r="F356" s="125"/>
      <c r="G356" s="125"/>
      <c r="H356" s="125"/>
      <c r="I356" s="125"/>
      <c r="J356" s="125"/>
      <c r="K356" s="125"/>
      <c r="L356" s="125"/>
      <c r="M356" s="125"/>
      <c r="N356" s="125"/>
      <c r="O356" s="125"/>
      <c r="P356" s="125"/>
      <c r="Q356" s="125"/>
      <c r="R356" s="125"/>
      <c r="S356" s="125"/>
      <c r="T356" s="125"/>
      <c r="U356" s="125"/>
      <c r="V356" s="125"/>
      <c r="W356" s="125"/>
      <c r="X356" s="125"/>
      <c r="Y356" s="125"/>
      <c r="Z356" s="125"/>
      <c r="AA356" s="125"/>
      <c r="AB356" s="125"/>
      <c r="AC356" s="125"/>
      <c r="AD356" s="125"/>
      <c r="AE356" s="125"/>
      <c r="AF356" s="125"/>
      <c r="AG356" s="125"/>
      <c r="AH356" s="125"/>
      <c r="AI356" s="125"/>
      <c r="AJ356" s="125"/>
      <c r="AK356" s="125"/>
      <c r="AL356" s="125"/>
      <c r="AM356" s="125"/>
      <c r="AN356" s="125"/>
      <c r="AO356" s="125"/>
      <c r="AP356" s="125"/>
      <c r="AQ356" s="125"/>
      <c r="AR356" s="125"/>
      <c r="AS356" s="125"/>
      <c r="AT356" s="125"/>
      <c r="AU356" s="125"/>
      <c r="AV356" s="125"/>
      <c r="AW356" s="125"/>
      <c r="AX356" s="125"/>
      <c r="AY356" s="125"/>
      <c r="AZ356" s="125"/>
      <c r="BA356" s="125"/>
      <c r="BB356" s="125"/>
      <c r="BC356" s="125"/>
      <c r="BD356" s="125"/>
      <c r="BE356" s="125"/>
      <c r="BF356" s="125"/>
    </row>
    <row r="357" spans="1:58" ht="15.75" customHeight="1">
      <c r="A357" s="125"/>
      <c r="B357" s="125"/>
      <c r="C357" s="125"/>
      <c r="D357" s="125"/>
      <c r="E357" s="125"/>
      <c r="F357" s="125"/>
      <c r="G357" s="125"/>
      <c r="H357" s="125"/>
      <c r="I357" s="125"/>
      <c r="J357" s="125"/>
      <c r="K357" s="125"/>
      <c r="L357" s="125"/>
      <c r="M357" s="125"/>
      <c r="N357" s="125"/>
      <c r="O357" s="125"/>
      <c r="P357" s="125"/>
      <c r="Q357" s="125"/>
      <c r="R357" s="125"/>
      <c r="S357" s="125"/>
      <c r="T357" s="125"/>
      <c r="U357" s="125"/>
      <c r="V357" s="125"/>
      <c r="W357" s="125"/>
      <c r="X357" s="125"/>
      <c r="Y357" s="125"/>
      <c r="Z357" s="125"/>
      <c r="AA357" s="125"/>
      <c r="AB357" s="125"/>
      <c r="AC357" s="125"/>
      <c r="AD357" s="125"/>
      <c r="AE357" s="125"/>
      <c r="AF357" s="125"/>
      <c r="AG357" s="125"/>
      <c r="AH357" s="125"/>
      <c r="AI357" s="125"/>
      <c r="AJ357" s="125"/>
      <c r="AK357" s="125"/>
      <c r="AL357" s="125"/>
      <c r="AM357" s="125"/>
      <c r="AN357" s="125"/>
      <c r="AO357" s="125"/>
      <c r="AP357" s="125"/>
      <c r="AQ357" s="125"/>
      <c r="AR357" s="125"/>
      <c r="AS357" s="125"/>
      <c r="AT357" s="125"/>
      <c r="AU357" s="125"/>
      <c r="AV357" s="125"/>
      <c r="AW357" s="125"/>
      <c r="AX357" s="125"/>
      <c r="AY357" s="125"/>
      <c r="AZ357" s="125"/>
      <c r="BA357" s="125"/>
      <c r="BB357" s="125"/>
      <c r="BC357" s="125"/>
      <c r="BD357" s="125"/>
      <c r="BE357" s="125"/>
      <c r="BF357" s="125"/>
    </row>
    <row r="358" spans="1:58" ht="15.75" customHeight="1">
      <c r="A358" s="125"/>
      <c r="B358" s="125"/>
      <c r="C358" s="125"/>
      <c r="D358" s="125"/>
      <c r="E358" s="125"/>
      <c r="F358" s="125"/>
      <c r="G358" s="125"/>
      <c r="H358" s="125"/>
      <c r="I358" s="125"/>
      <c r="J358" s="125"/>
      <c r="K358" s="125"/>
      <c r="L358" s="125"/>
      <c r="M358" s="125"/>
      <c r="N358" s="125"/>
      <c r="O358" s="125"/>
      <c r="P358" s="125"/>
      <c r="Q358" s="125"/>
      <c r="R358" s="125"/>
      <c r="S358" s="125"/>
      <c r="T358" s="125"/>
      <c r="U358" s="125"/>
      <c r="V358" s="125"/>
      <c r="W358" s="125"/>
      <c r="X358" s="125"/>
      <c r="Y358" s="125"/>
      <c r="Z358" s="125"/>
      <c r="AA358" s="125"/>
      <c r="AB358" s="125"/>
      <c r="AC358" s="125"/>
      <c r="AD358" s="125"/>
      <c r="AE358" s="125"/>
      <c r="AF358" s="125"/>
      <c r="AG358" s="125"/>
      <c r="AH358" s="125"/>
      <c r="AI358" s="125"/>
      <c r="AJ358" s="125"/>
      <c r="AK358" s="125"/>
      <c r="AL358" s="125"/>
      <c r="AM358" s="125"/>
      <c r="AN358" s="125"/>
      <c r="AO358" s="125"/>
      <c r="AP358" s="125"/>
      <c r="AQ358" s="125"/>
      <c r="AR358" s="125"/>
      <c r="AS358" s="125"/>
      <c r="AT358" s="125"/>
      <c r="AU358" s="125"/>
      <c r="AV358" s="125"/>
      <c r="AW358" s="125"/>
      <c r="AX358" s="125"/>
      <c r="AY358" s="125"/>
      <c r="AZ358" s="125"/>
      <c r="BA358" s="125"/>
      <c r="BB358" s="125"/>
      <c r="BC358" s="125"/>
      <c r="BD358" s="125"/>
      <c r="BE358" s="125"/>
      <c r="BF358" s="125"/>
    </row>
    <row r="359" spans="1:58" ht="15.75" customHeight="1">
      <c r="A359" s="125"/>
      <c r="B359" s="125"/>
      <c r="C359" s="125"/>
      <c r="D359" s="125"/>
      <c r="E359" s="125"/>
      <c r="F359" s="125"/>
      <c r="G359" s="125"/>
      <c r="H359" s="125"/>
      <c r="I359" s="125"/>
      <c r="J359" s="125"/>
      <c r="K359" s="125"/>
      <c r="L359" s="125"/>
      <c r="M359" s="125"/>
      <c r="N359" s="125"/>
      <c r="O359" s="125"/>
      <c r="P359" s="125"/>
      <c r="Q359" s="125"/>
      <c r="R359" s="125"/>
      <c r="S359" s="125"/>
      <c r="T359" s="125"/>
      <c r="U359" s="125"/>
      <c r="V359" s="125"/>
      <c r="W359" s="125"/>
      <c r="X359" s="125"/>
      <c r="Y359" s="125"/>
      <c r="Z359" s="125"/>
      <c r="AA359" s="125"/>
      <c r="AB359" s="125"/>
      <c r="AC359" s="125"/>
      <c r="AD359" s="125"/>
      <c r="AE359" s="125"/>
      <c r="AF359" s="125"/>
      <c r="AG359" s="125"/>
      <c r="AH359" s="125"/>
      <c r="AI359" s="125"/>
      <c r="AJ359" s="125"/>
      <c r="AK359" s="125"/>
      <c r="AL359" s="125"/>
      <c r="AM359" s="125"/>
      <c r="AN359" s="125"/>
      <c r="AO359" s="125"/>
      <c r="AP359" s="125"/>
      <c r="AQ359" s="125"/>
      <c r="AR359" s="125"/>
      <c r="AS359" s="125"/>
      <c r="AT359" s="125"/>
      <c r="AU359" s="125"/>
      <c r="AV359" s="125"/>
      <c r="AW359" s="125"/>
      <c r="AX359" s="125"/>
      <c r="AY359" s="125"/>
      <c r="AZ359" s="125"/>
      <c r="BA359" s="125"/>
      <c r="BB359" s="125"/>
      <c r="BC359" s="125"/>
      <c r="BD359" s="125"/>
      <c r="BE359" s="125"/>
      <c r="BF359" s="125"/>
    </row>
    <row r="360" spans="1:58" ht="15.75" customHeight="1">
      <c r="A360" s="125"/>
      <c r="B360" s="125"/>
      <c r="C360" s="125"/>
      <c r="D360" s="125"/>
      <c r="E360" s="125"/>
      <c r="F360" s="125"/>
      <c r="G360" s="125"/>
      <c r="H360" s="125"/>
      <c r="I360" s="125"/>
      <c r="J360" s="125"/>
      <c r="K360" s="125"/>
      <c r="L360" s="125"/>
      <c r="M360" s="125"/>
      <c r="N360" s="125"/>
      <c r="O360" s="125"/>
      <c r="P360" s="125"/>
      <c r="Q360" s="125"/>
      <c r="R360" s="125"/>
      <c r="S360" s="125"/>
      <c r="T360" s="125"/>
      <c r="U360" s="125"/>
      <c r="V360" s="125"/>
      <c r="W360" s="125"/>
      <c r="X360" s="125"/>
      <c r="Y360" s="125"/>
      <c r="Z360" s="125"/>
      <c r="AA360" s="125"/>
      <c r="AB360" s="125"/>
      <c r="AC360" s="125"/>
      <c r="AD360" s="125"/>
      <c r="AE360" s="125"/>
      <c r="AF360" s="125"/>
      <c r="AG360" s="125"/>
      <c r="AH360" s="125"/>
      <c r="AI360" s="125"/>
      <c r="AJ360" s="125"/>
      <c r="AK360" s="125"/>
      <c r="AL360" s="125"/>
      <c r="AM360" s="125"/>
      <c r="AN360" s="125"/>
      <c r="AO360" s="125"/>
      <c r="AP360" s="125"/>
      <c r="AQ360" s="125"/>
      <c r="AR360" s="125"/>
      <c r="AS360" s="125"/>
      <c r="AT360" s="125"/>
      <c r="AU360" s="125"/>
      <c r="AV360" s="125"/>
      <c r="AW360" s="125"/>
      <c r="AX360" s="125"/>
      <c r="AY360" s="125"/>
      <c r="AZ360" s="125"/>
      <c r="BA360" s="125"/>
      <c r="BB360" s="125"/>
      <c r="BC360" s="125"/>
      <c r="BD360" s="125"/>
      <c r="BE360" s="125"/>
      <c r="BF360" s="125"/>
    </row>
    <row r="361" spans="1:58" ht="15.75" customHeight="1">
      <c r="A361" s="125"/>
      <c r="B361" s="125"/>
      <c r="C361" s="125"/>
      <c r="D361" s="125"/>
      <c r="E361" s="125"/>
      <c r="F361" s="125"/>
      <c r="G361" s="125"/>
      <c r="H361" s="125"/>
      <c r="I361" s="125"/>
      <c r="J361" s="125"/>
      <c r="K361" s="125"/>
      <c r="L361" s="125"/>
      <c r="M361" s="125"/>
      <c r="N361" s="125"/>
      <c r="O361" s="125"/>
      <c r="P361" s="125"/>
      <c r="Q361" s="125"/>
      <c r="R361" s="125"/>
      <c r="S361" s="125"/>
      <c r="T361" s="125"/>
      <c r="U361" s="125"/>
      <c r="V361" s="125"/>
      <c r="W361" s="125"/>
      <c r="X361" s="125"/>
      <c r="Y361" s="125"/>
      <c r="Z361" s="125"/>
      <c r="AA361" s="125"/>
      <c r="AB361" s="125"/>
      <c r="AC361" s="125"/>
      <c r="AD361" s="125"/>
      <c r="AE361" s="125"/>
      <c r="AF361" s="125"/>
      <c r="AG361" s="125"/>
      <c r="AH361" s="125"/>
      <c r="AI361" s="125"/>
      <c r="AJ361" s="125"/>
      <c r="AK361" s="125"/>
      <c r="AL361" s="125"/>
      <c r="AM361" s="125"/>
      <c r="AN361" s="125"/>
      <c r="AO361" s="125"/>
      <c r="AP361" s="125"/>
      <c r="AQ361" s="125"/>
      <c r="AR361" s="125"/>
      <c r="AS361" s="125"/>
      <c r="AT361" s="125"/>
      <c r="AU361" s="125"/>
      <c r="AV361" s="125"/>
      <c r="AW361" s="125"/>
      <c r="AX361" s="125"/>
      <c r="AY361" s="125"/>
      <c r="AZ361" s="125"/>
      <c r="BA361" s="125"/>
      <c r="BB361" s="125"/>
      <c r="BC361" s="125"/>
      <c r="BD361" s="125"/>
      <c r="BE361" s="125"/>
      <c r="BF361" s="125"/>
    </row>
    <row r="362" spans="1:58" ht="15.75" customHeight="1">
      <c r="A362" s="125"/>
      <c r="B362" s="125"/>
      <c r="C362" s="125"/>
      <c r="D362" s="125"/>
      <c r="E362" s="125"/>
      <c r="F362" s="125"/>
      <c r="G362" s="125"/>
      <c r="H362" s="125"/>
      <c r="I362" s="125"/>
      <c r="J362" s="125"/>
      <c r="K362" s="125"/>
      <c r="L362" s="125"/>
      <c r="M362" s="125"/>
      <c r="N362" s="125"/>
      <c r="O362" s="125"/>
      <c r="P362" s="125"/>
      <c r="Q362" s="125"/>
      <c r="R362" s="125"/>
      <c r="S362" s="125"/>
      <c r="T362" s="125"/>
      <c r="U362" s="125"/>
      <c r="V362" s="125"/>
      <c r="W362" s="125"/>
      <c r="X362" s="125"/>
      <c r="Y362" s="125"/>
      <c r="Z362" s="125"/>
      <c r="AA362" s="125"/>
      <c r="AB362" s="125"/>
      <c r="AC362" s="125"/>
      <c r="AD362" s="125"/>
      <c r="AE362" s="125"/>
      <c r="AF362" s="125"/>
      <c r="AG362" s="125"/>
      <c r="AH362" s="125"/>
      <c r="AI362" s="125"/>
      <c r="AJ362" s="125"/>
      <c r="AK362" s="125"/>
      <c r="AL362" s="125"/>
      <c r="AM362" s="125"/>
      <c r="AN362" s="125"/>
      <c r="AO362" s="125"/>
      <c r="AP362" s="125"/>
      <c r="AQ362" s="125"/>
      <c r="AR362" s="125"/>
      <c r="AS362" s="125"/>
      <c r="AT362" s="125"/>
      <c r="AU362" s="125"/>
      <c r="AV362" s="125"/>
      <c r="AW362" s="125"/>
      <c r="AX362" s="125"/>
      <c r="AY362" s="125"/>
      <c r="AZ362" s="125"/>
      <c r="BA362" s="125"/>
      <c r="BB362" s="125"/>
      <c r="BC362" s="125"/>
      <c r="BD362" s="125"/>
      <c r="BE362" s="125"/>
      <c r="BF362" s="125"/>
    </row>
    <row r="363" spans="1:58" ht="15.75" customHeight="1">
      <c r="A363" s="125"/>
      <c r="B363" s="125"/>
      <c r="C363" s="125"/>
      <c r="D363" s="125"/>
      <c r="E363" s="125"/>
      <c r="F363" s="125"/>
      <c r="G363" s="125"/>
      <c r="H363" s="125"/>
      <c r="I363" s="125"/>
      <c r="J363" s="125"/>
      <c r="K363" s="125"/>
      <c r="L363" s="125"/>
      <c r="M363" s="125"/>
      <c r="N363" s="125"/>
      <c r="O363" s="125"/>
      <c r="P363" s="125"/>
      <c r="Q363" s="125"/>
      <c r="R363" s="125"/>
      <c r="S363" s="125"/>
      <c r="T363" s="125"/>
      <c r="U363" s="125"/>
      <c r="V363" s="125"/>
      <c r="W363" s="125"/>
      <c r="X363" s="125"/>
      <c r="Y363" s="125"/>
      <c r="Z363" s="125"/>
      <c r="AA363" s="125"/>
      <c r="AB363" s="125"/>
      <c r="AC363" s="125"/>
      <c r="AD363" s="125"/>
      <c r="AE363" s="125"/>
      <c r="AF363" s="125"/>
      <c r="AG363" s="125"/>
      <c r="AH363" s="125"/>
      <c r="AI363" s="125"/>
      <c r="AJ363" s="125"/>
      <c r="AK363" s="125"/>
      <c r="AL363" s="125"/>
      <c r="AM363" s="125"/>
      <c r="AN363" s="125"/>
      <c r="AO363" s="125"/>
      <c r="AP363" s="125"/>
      <c r="AQ363" s="125"/>
      <c r="AR363" s="125"/>
      <c r="AS363" s="125"/>
      <c r="AT363" s="125"/>
      <c r="AU363" s="125"/>
      <c r="AV363" s="125"/>
      <c r="AW363" s="125"/>
      <c r="AX363" s="125"/>
      <c r="AY363" s="125"/>
      <c r="AZ363" s="125"/>
      <c r="BA363" s="125"/>
      <c r="BB363" s="125"/>
      <c r="BC363" s="125"/>
      <c r="BD363" s="125"/>
      <c r="BE363" s="125"/>
      <c r="BF363" s="125"/>
    </row>
    <row r="364" spans="1:58" ht="15.75" customHeight="1">
      <c r="A364" s="125"/>
      <c r="B364" s="125"/>
      <c r="C364" s="125"/>
      <c r="D364" s="125"/>
      <c r="E364" s="125"/>
      <c r="F364" s="125"/>
      <c r="G364" s="125"/>
      <c r="H364" s="125"/>
      <c r="I364" s="125"/>
      <c r="J364" s="125"/>
      <c r="K364" s="125"/>
      <c r="L364" s="125"/>
      <c r="M364" s="125"/>
      <c r="N364" s="125"/>
      <c r="O364" s="125"/>
      <c r="P364" s="125"/>
      <c r="Q364" s="125"/>
      <c r="R364" s="125"/>
      <c r="S364" s="125"/>
      <c r="T364" s="125"/>
      <c r="U364" s="125"/>
      <c r="V364" s="125"/>
      <c r="W364" s="125"/>
      <c r="X364" s="125"/>
      <c r="Y364" s="125"/>
      <c r="Z364" s="125"/>
      <c r="AA364" s="125"/>
      <c r="AB364" s="125"/>
      <c r="AC364" s="125"/>
      <c r="AD364" s="125"/>
      <c r="AE364" s="125"/>
      <c r="AF364" s="125"/>
      <c r="AG364" s="125"/>
      <c r="AH364" s="125"/>
      <c r="AI364" s="125"/>
      <c r="AJ364" s="125"/>
      <c r="AK364" s="125"/>
      <c r="AL364" s="125"/>
      <c r="AM364" s="125"/>
      <c r="AN364" s="125"/>
      <c r="AO364" s="125"/>
      <c r="AP364" s="125"/>
      <c r="AQ364" s="125"/>
      <c r="AR364" s="125"/>
      <c r="AS364" s="125"/>
      <c r="AT364" s="125"/>
      <c r="AU364" s="125"/>
      <c r="AV364" s="125"/>
      <c r="AW364" s="125"/>
      <c r="AX364" s="125"/>
      <c r="AY364" s="125"/>
      <c r="AZ364" s="125"/>
      <c r="BA364" s="125"/>
      <c r="BB364" s="125"/>
      <c r="BC364" s="125"/>
      <c r="BD364" s="125"/>
      <c r="BE364" s="125"/>
      <c r="BF364" s="125"/>
    </row>
    <row r="365" spans="1:58" ht="15.75" customHeight="1">
      <c r="A365" s="125"/>
      <c r="B365" s="125"/>
      <c r="C365" s="125"/>
      <c r="D365" s="125"/>
      <c r="E365" s="125"/>
      <c r="F365" s="125"/>
      <c r="G365" s="125"/>
      <c r="H365" s="125"/>
      <c r="I365" s="125"/>
      <c r="J365" s="125"/>
      <c r="K365" s="125"/>
      <c r="L365" s="125"/>
      <c r="M365" s="125"/>
      <c r="N365" s="125"/>
      <c r="O365" s="125"/>
      <c r="P365" s="125"/>
      <c r="Q365" s="125"/>
      <c r="R365" s="125"/>
      <c r="S365" s="125"/>
      <c r="T365" s="125"/>
      <c r="U365" s="125"/>
      <c r="V365" s="125"/>
      <c r="W365" s="125"/>
      <c r="X365" s="125"/>
      <c r="Y365" s="125"/>
      <c r="Z365" s="125"/>
      <c r="AA365" s="125"/>
      <c r="AB365" s="125"/>
      <c r="AC365" s="125"/>
      <c r="AD365" s="125"/>
      <c r="AE365" s="125"/>
      <c r="AF365" s="125"/>
      <c r="AG365" s="125"/>
      <c r="AH365" s="125"/>
      <c r="AI365" s="125"/>
      <c r="AJ365" s="125"/>
      <c r="AK365" s="125"/>
      <c r="AL365" s="125"/>
      <c r="AM365" s="125"/>
      <c r="AN365" s="125"/>
      <c r="AO365" s="125"/>
      <c r="AP365" s="125"/>
      <c r="AQ365" s="125"/>
      <c r="AR365" s="125"/>
      <c r="AS365" s="125"/>
      <c r="AT365" s="125"/>
      <c r="AU365" s="125"/>
      <c r="AV365" s="125"/>
      <c r="AW365" s="125"/>
      <c r="AX365" s="125"/>
      <c r="AY365" s="125"/>
      <c r="AZ365" s="125"/>
      <c r="BA365" s="125"/>
      <c r="BB365" s="125"/>
      <c r="BC365" s="125"/>
      <c r="BD365" s="125"/>
      <c r="BE365" s="125"/>
      <c r="BF365" s="125"/>
    </row>
    <row r="366" spans="1:58" ht="15.75" customHeight="1">
      <c r="A366" s="125"/>
      <c r="B366" s="125"/>
      <c r="C366" s="125"/>
      <c r="D366" s="125"/>
      <c r="E366" s="125"/>
      <c r="F366" s="125"/>
      <c r="G366" s="125"/>
      <c r="H366" s="125"/>
      <c r="I366" s="125"/>
      <c r="J366" s="125"/>
      <c r="K366" s="125"/>
      <c r="L366" s="125"/>
      <c r="M366" s="125"/>
      <c r="N366" s="125"/>
      <c r="O366" s="125"/>
      <c r="P366" s="125"/>
      <c r="Q366" s="125"/>
      <c r="R366" s="125"/>
      <c r="S366" s="125"/>
      <c r="T366" s="125"/>
      <c r="U366" s="125"/>
      <c r="V366" s="125"/>
      <c r="W366" s="125"/>
      <c r="X366" s="125"/>
      <c r="Y366" s="125"/>
      <c r="Z366" s="125"/>
      <c r="AA366" s="125"/>
      <c r="AB366" s="125"/>
      <c r="AC366" s="125"/>
      <c r="AD366" s="125"/>
      <c r="AE366" s="125"/>
      <c r="AF366" s="125"/>
      <c r="AG366" s="125"/>
      <c r="AH366" s="125"/>
      <c r="AI366" s="125"/>
      <c r="AJ366" s="125"/>
      <c r="AK366" s="125"/>
      <c r="AL366" s="125"/>
      <c r="AM366" s="125"/>
      <c r="AN366" s="125"/>
      <c r="AO366" s="125"/>
      <c r="AP366" s="125"/>
      <c r="AQ366" s="125"/>
      <c r="AR366" s="125"/>
      <c r="AS366" s="125"/>
      <c r="AT366" s="125"/>
      <c r="AU366" s="125"/>
      <c r="AV366" s="125"/>
      <c r="AW366" s="125"/>
      <c r="AX366" s="125"/>
      <c r="AY366" s="125"/>
      <c r="AZ366" s="125"/>
      <c r="BA366" s="125"/>
      <c r="BB366" s="125"/>
      <c r="BC366" s="125"/>
      <c r="BD366" s="125"/>
      <c r="BE366" s="125"/>
      <c r="BF366" s="125"/>
    </row>
    <row r="367" spans="1:58" ht="15.75" customHeight="1">
      <c r="A367" s="125"/>
      <c r="B367" s="125"/>
      <c r="C367" s="125"/>
      <c r="D367" s="125"/>
      <c r="E367" s="125"/>
      <c r="F367" s="125"/>
      <c r="G367" s="125"/>
      <c r="H367" s="125"/>
      <c r="I367" s="125"/>
      <c r="J367" s="125"/>
      <c r="K367" s="125"/>
      <c r="L367" s="125"/>
      <c r="M367" s="125"/>
      <c r="N367" s="125"/>
      <c r="O367" s="125"/>
      <c r="P367" s="125"/>
      <c r="Q367" s="125"/>
      <c r="R367" s="125"/>
      <c r="S367" s="125"/>
      <c r="T367" s="125"/>
      <c r="U367" s="125"/>
      <c r="V367" s="125"/>
      <c r="W367" s="125"/>
      <c r="X367" s="125"/>
      <c r="Y367" s="125"/>
      <c r="Z367" s="125"/>
      <c r="AA367" s="125"/>
      <c r="AB367" s="125"/>
      <c r="AC367" s="125"/>
      <c r="AD367" s="125"/>
      <c r="AE367" s="125"/>
      <c r="AF367" s="125"/>
      <c r="AG367" s="125"/>
      <c r="AH367" s="125"/>
      <c r="AI367" s="125"/>
      <c r="AJ367" s="125"/>
      <c r="AK367" s="125"/>
      <c r="AL367" s="125"/>
      <c r="AM367" s="125"/>
      <c r="AN367" s="125"/>
      <c r="AO367" s="125"/>
      <c r="AP367" s="125"/>
      <c r="AQ367" s="125"/>
      <c r="AR367" s="125"/>
      <c r="AS367" s="125"/>
      <c r="AT367" s="125"/>
      <c r="AU367" s="125"/>
      <c r="AV367" s="125"/>
      <c r="AW367" s="125"/>
      <c r="AX367" s="125"/>
      <c r="AY367" s="125"/>
      <c r="AZ367" s="125"/>
      <c r="BA367" s="125"/>
      <c r="BB367" s="125"/>
      <c r="BC367" s="125"/>
      <c r="BD367" s="125"/>
      <c r="BE367" s="125"/>
      <c r="BF367" s="125"/>
    </row>
    <row r="368" spans="1:58" ht="15.75" customHeight="1">
      <c r="A368" s="125"/>
      <c r="B368" s="125"/>
      <c r="C368" s="125"/>
      <c r="D368" s="125"/>
      <c r="E368" s="125"/>
      <c r="F368" s="125"/>
      <c r="G368" s="125"/>
      <c r="H368" s="125"/>
      <c r="I368" s="125"/>
      <c r="J368" s="125"/>
      <c r="K368" s="125"/>
      <c r="L368" s="125"/>
      <c r="M368" s="125"/>
      <c r="N368" s="125"/>
      <c r="O368" s="125"/>
      <c r="P368" s="125"/>
      <c r="Q368" s="125"/>
      <c r="R368" s="125"/>
      <c r="S368" s="125"/>
      <c r="T368" s="125"/>
      <c r="U368" s="125"/>
      <c r="V368" s="125"/>
      <c r="W368" s="125"/>
      <c r="X368" s="125"/>
      <c r="Y368" s="125"/>
      <c r="Z368" s="125"/>
      <c r="AA368" s="125"/>
      <c r="AB368" s="125"/>
      <c r="AC368" s="125"/>
      <c r="AD368" s="125"/>
      <c r="AE368" s="125"/>
      <c r="AF368" s="125"/>
      <c r="AG368" s="125"/>
      <c r="AH368" s="125"/>
      <c r="AI368" s="125"/>
      <c r="AJ368" s="125"/>
      <c r="AK368" s="125"/>
      <c r="AL368" s="125"/>
      <c r="AM368" s="125"/>
      <c r="AN368" s="125"/>
      <c r="AO368" s="125"/>
      <c r="AP368" s="125"/>
      <c r="AQ368" s="125"/>
      <c r="AR368" s="125"/>
      <c r="AS368" s="125"/>
      <c r="AT368" s="125"/>
      <c r="AU368" s="125"/>
      <c r="AV368" s="125"/>
      <c r="AW368" s="125"/>
      <c r="AX368" s="125"/>
      <c r="AY368" s="125"/>
      <c r="AZ368" s="125"/>
      <c r="BA368" s="125"/>
      <c r="BB368" s="125"/>
      <c r="BC368" s="125"/>
      <c r="BD368" s="125"/>
      <c r="BE368" s="125"/>
      <c r="BF368" s="125"/>
    </row>
    <row r="369" spans="1:58" ht="15.75" customHeight="1">
      <c r="A369" s="125"/>
      <c r="B369" s="125"/>
      <c r="C369" s="125"/>
      <c r="D369" s="125"/>
      <c r="E369" s="125"/>
      <c r="F369" s="125"/>
      <c r="G369" s="125"/>
      <c r="H369" s="125"/>
      <c r="I369" s="125"/>
      <c r="J369" s="125"/>
      <c r="K369" s="125"/>
      <c r="L369" s="125"/>
      <c r="M369" s="125"/>
      <c r="N369" s="125"/>
      <c r="O369" s="125"/>
      <c r="P369" s="125"/>
      <c r="Q369" s="125"/>
      <c r="R369" s="125"/>
      <c r="S369" s="125"/>
      <c r="T369" s="125"/>
      <c r="U369" s="125"/>
      <c r="V369" s="125"/>
      <c r="W369" s="125"/>
      <c r="X369" s="125"/>
      <c r="Y369" s="125"/>
      <c r="Z369" s="125"/>
      <c r="AA369" s="125"/>
      <c r="AB369" s="125"/>
      <c r="AC369" s="125"/>
      <c r="AD369" s="125"/>
      <c r="AE369" s="125"/>
      <c r="AF369" s="125"/>
      <c r="AG369" s="125"/>
      <c r="AH369" s="125"/>
      <c r="AI369" s="125"/>
      <c r="AJ369" s="125"/>
      <c r="AK369" s="125"/>
      <c r="AL369" s="125"/>
      <c r="AM369" s="125"/>
      <c r="AN369" s="125"/>
      <c r="AO369" s="125"/>
      <c r="AP369" s="125"/>
      <c r="AQ369" s="125"/>
      <c r="AR369" s="125"/>
      <c r="AS369" s="125"/>
      <c r="AT369" s="125"/>
      <c r="AU369" s="125"/>
      <c r="AV369" s="125"/>
      <c r="AW369" s="125"/>
      <c r="AX369" s="125"/>
      <c r="AY369" s="125"/>
      <c r="AZ369" s="125"/>
      <c r="BA369" s="125"/>
      <c r="BB369" s="125"/>
      <c r="BC369" s="125"/>
      <c r="BD369" s="125"/>
      <c r="BE369" s="125"/>
      <c r="BF369" s="125"/>
    </row>
    <row r="370" spans="1:58" ht="15.75" customHeight="1">
      <c r="A370" s="125"/>
      <c r="B370" s="125"/>
      <c r="C370" s="125"/>
      <c r="D370" s="125"/>
      <c r="E370" s="125"/>
      <c r="F370" s="125"/>
      <c r="G370" s="125"/>
      <c r="H370" s="125"/>
      <c r="I370" s="125"/>
      <c r="J370" s="125"/>
      <c r="K370" s="125"/>
      <c r="L370" s="125"/>
      <c r="M370" s="125"/>
      <c r="N370" s="125"/>
      <c r="O370" s="125"/>
      <c r="P370" s="125"/>
      <c r="Q370" s="125"/>
      <c r="R370" s="125"/>
      <c r="S370" s="125"/>
      <c r="T370" s="125"/>
      <c r="U370" s="125"/>
      <c r="V370" s="125"/>
      <c r="W370" s="125"/>
      <c r="X370" s="125"/>
      <c r="Y370" s="125"/>
      <c r="Z370" s="125"/>
      <c r="AA370" s="125"/>
      <c r="AB370" s="125"/>
      <c r="AC370" s="125"/>
      <c r="AD370" s="125"/>
      <c r="AE370" s="125"/>
      <c r="AF370" s="125"/>
      <c r="AG370" s="125"/>
      <c r="AH370" s="125"/>
      <c r="AI370" s="125"/>
      <c r="AJ370" s="125"/>
      <c r="AK370" s="125"/>
      <c r="AL370" s="125"/>
      <c r="AM370" s="125"/>
      <c r="AN370" s="125"/>
      <c r="AO370" s="125"/>
      <c r="AP370" s="125"/>
      <c r="AQ370" s="125"/>
      <c r="AR370" s="125"/>
      <c r="AS370" s="125"/>
      <c r="AT370" s="125"/>
      <c r="AU370" s="125"/>
      <c r="AV370" s="125"/>
      <c r="AW370" s="125"/>
      <c r="AX370" s="125"/>
      <c r="AY370" s="125"/>
      <c r="AZ370" s="125"/>
      <c r="BA370" s="125"/>
      <c r="BB370" s="125"/>
      <c r="BC370" s="125"/>
      <c r="BD370" s="125"/>
      <c r="BE370" s="125"/>
      <c r="BF370" s="125"/>
    </row>
    <row r="371" spans="1:58" ht="15.75" customHeight="1">
      <c r="A371" s="125"/>
      <c r="B371" s="125"/>
      <c r="C371" s="125"/>
      <c r="D371" s="125"/>
      <c r="E371" s="125"/>
      <c r="F371" s="125"/>
      <c r="G371" s="125"/>
      <c r="H371" s="125"/>
      <c r="I371" s="125"/>
      <c r="J371" s="125"/>
      <c r="K371" s="125"/>
      <c r="L371" s="125"/>
      <c r="M371" s="125"/>
      <c r="N371" s="125"/>
      <c r="O371" s="125"/>
      <c r="P371" s="125"/>
      <c r="Q371" s="125"/>
      <c r="R371" s="125"/>
      <c r="S371" s="125"/>
      <c r="T371" s="125"/>
      <c r="U371" s="125"/>
      <c r="V371" s="125"/>
      <c r="W371" s="125"/>
      <c r="X371" s="125"/>
      <c r="Y371" s="125"/>
      <c r="Z371" s="125"/>
      <c r="AA371" s="125"/>
      <c r="AB371" s="125"/>
      <c r="AC371" s="125"/>
      <c r="AD371" s="125"/>
      <c r="AE371" s="125"/>
      <c r="AF371" s="125"/>
      <c r="AG371" s="125"/>
      <c r="AH371" s="125"/>
      <c r="AI371" s="125"/>
      <c r="AJ371" s="125"/>
      <c r="AK371" s="125"/>
      <c r="AL371" s="125"/>
      <c r="AM371" s="125"/>
      <c r="AN371" s="125"/>
      <c r="AO371" s="125"/>
      <c r="AP371" s="125"/>
      <c r="AQ371" s="125"/>
      <c r="AR371" s="125"/>
      <c r="AS371" s="125"/>
      <c r="AT371" s="125"/>
      <c r="AU371" s="125"/>
      <c r="AV371" s="125"/>
      <c r="AW371" s="125"/>
      <c r="AX371" s="125"/>
      <c r="AY371" s="125"/>
      <c r="AZ371" s="125"/>
      <c r="BA371" s="125"/>
      <c r="BB371" s="125"/>
      <c r="BC371" s="125"/>
      <c r="BD371" s="125"/>
      <c r="BE371" s="125"/>
      <c r="BF371" s="125"/>
    </row>
    <row r="372" spans="1:58" ht="15.75" customHeight="1">
      <c r="A372" s="125"/>
      <c r="B372" s="125"/>
      <c r="C372" s="125"/>
      <c r="D372" s="125"/>
      <c r="E372" s="125"/>
      <c r="F372" s="125"/>
      <c r="G372" s="125"/>
      <c r="H372" s="125"/>
      <c r="I372" s="125"/>
      <c r="J372" s="125"/>
      <c r="K372" s="125"/>
      <c r="L372" s="125"/>
      <c r="M372" s="125"/>
      <c r="N372" s="125"/>
      <c r="O372" s="125"/>
      <c r="P372" s="125"/>
      <c r="Q372" s="125"/>
      <c r="R372" s="125"/>
      <c r="S372" s="125"/>
      <c r="T372" s="125"/>
      <c r="U372" s="125"/>
      <c r="V372" s="125"/>
      <c r="W372" s="125"/>
      <c r="X372" s="125"/>
      <c r="Y372" s="125"/>
      <c r="Z372" s="125"/>
      <c r="AA372" s="125"/>
      <c r="AB372" s="125"/>
      <c r="AC372" s="125"/>
      <c r="AD372" s="125"/>
      <c r="AE372" s="125"/>
      <c r="AF372" s="125"/>
      <c r="AG372" s="125"/>
      <c r="AH372" s="125"/>
      <c r="AI372" s="125"/>
      <c r="AJ372" s="125"/>
      <c r="AK372" s="125"/>
      <c r="AL372" s="125"/>
      <c r="AM372" s="125"/>
      <c r="AN372" s="125"/>
      <c r="AO372" s="125"/>
      <c r="AP372" s="125"/>
      <c r="AQ372" s="125"/>
      <c r="AR372" s="125"/>
      <c r="AS372" s="125"/>
      <c r="AT372" s="125"/>
      <c r="AU372" s="125"/>
      <c r="AV372" s="125"/>
      <c r="AW372" s="125"/>
      <c r="AX372" s="125"/>
      <c r="AY372" s="125"/>
      <c r="AZ372" s="125"/>
      <c r="BA372" s="125"/>
      <c r="BB372" s="125"/>
      <c r="BC372" s="125"/>
      <c r="BD372" s="125"/>
      <c r="BE372" s="125"/>
      <c r="BF372" s="125"/>
    </row>
    <row r="373" spans="1:58" ht="15.75" customHeight="1">
      <c r="A373" s="125"/>
      <c r="B373" s="125"/>
      <c r="C373" s="125"/>
      <c r="D373" s="125"/>
      <c r="E373" s="125"/>
      <c r="F373" s="125"/>
      <c r="G373" s="125"/>
      <c r="H373" s="125"/>
      <c r="I373" s="125"/>
      <c r="J373" s="125"/>
      <c r="K373" s="125"/>
      <c r="L373" s="125"/>
      <c r="M373" s="125"/>
      <c r="N373" s="125"/>
      <c r="O373" s="125"/>
      <c r="P373" s="125"/>
      <c r="Q373" s="125"/>
      <c r="R373" s="125"/>
      <c r="S373" s="125"/>
      <c r="T373" s="125"/>
      <c r="U373" s="125"/>
      <c r="V373" s="125"/>
      <c r="W373" s="125"/>
      <c r="X373" s="125"/>
      <c r="Y373" s="125"/>
      <c r="Z373" s="125"/>
      <c r="AA373" s="125"/>
      <c r="AB373" s="125"/>
      <c r="AC373" s="125"/>
      <c r="AD373" s="125"/>
      <c r="AE373" s="125"/>
      <c r="AF373" s="125"/>
      <c r="AG373" s="125"/>
      <c r="AH373" s="125"/>
      <c r="AI373" s="125"/>
      <c r="AJ373" s="125"/>
      <c r="AK373" s="125"/>
      <c r="AL373" s="125"/>
      <c r="AM373" s="125"/>
      <c r="AN373" s="125"/>
      <c r="AO373" s="125"/>
      <c r="AP373" s="125"/>
      <c r="AQ373" s="125"/>
      <c r="AR373" s="125"/>
      <c r="AS373" s="125"/>
      <c r="AT373" s="125"/>
      <c r="AU373" s="125"/>
      <c r="AV373" s="125"/>
      <c r="AW373" s="125"/>
      <c r="AX373" s="125"/>
      <c r="AY373" s="125"/>
      <c r="AZ373" s="125"/>
      <c r="BA373" s="125"/>
      <c r="BB373" s="125"/>
      <c r="BC373" s="125"/>
      <c r="BD373" s="125"/>
      <c r="BE373" s="125"/>
      <c r="BF373" s="125"/>
    </row>
    <row r="374" spans="1:58" ht="15.75" customHeight="1">
      <c r="A374" s="125"/>
      <c r="B374" s="125"/>
      <c r="C374" s="125"/>
      <c r="D374" s="125"/>
      <c r="E374" s="125"/>
      <c r="F374" s="125"/>
      <c r="G374" s="125"/>
      <c r="H374" s="125"/>
      <c r="I374" s="125"/>
      <c r="J374" s="125"/>
      <c r="K374" s="125"/>
      <c r="L374" s="125"/>
      <c r="M374" s="125"/>
      <c r="N374" s="125"/>
      <c r="O374" s="125"/>
      <c r="P374" s="125"/>
      <c r="Q374" s="125"/>
      <c r="R374" s="125"/>
      <c r="S374" s="125"/>
      <c r="T374" s="125"/>
      <c r="U374" s="125"/>
      <c r="V374" s="125"/>
      <c r="W374" s="125"/>
      <c r="X374" s="125"/>
      <c r="Y374" s="125"/>
      <c r="Z374" s="125"/>
      <c r="AA374" s="125"/>
      <c r="AB374" s="125"/>
      <c r="AC374" s="125"/>
      <c r="AD374" s="125"/>
      <c r="AE374" s="125"/>
      <c r="AF374" s="125"/>
      <c r="AG374" s="125"/>
      <c r="AH374" s="125"/>
      <c r="AI374" s="125"/>
      <c r="AJ374" s="125"/>
      <c r="AK374" s="125"/>
      <c r="AL374" s="125"/>
      <c r="AM374" s="125"/>
      <c r="AN374" s="125"/>
      <c r="AO374" s="125"/>
      <c r="AP374" s="125"/>
      <c r="AQ374" s="125"/>
      <c r="AR374" s="125"/>
      <c r="AS374" s="125"/>
      <c r="AT374" s="125"/>
      <c r="AU374" s="125"/>
      <c r="AV374" s="125"/>
      <c r="AW374" s="125"/>
      <c r="AX374" s="125"/>
      <c r="AY374" s="125"/>
      <c r="AZ374" s="125"/>
      <c r="BA374" s="125"/>
      <c r="BB374" s="125"/>
      <c r="BC374" s="125"/>
      <c r="BD374" s="125"/>
      <c r="BE374" s="125"/>
      <c r="BF374" s="125"/>
    </row>
    <row r="375" spans="1:58" ht="15.75" customHeight="1">
      <c r="A375" s="125"/>
      <c r="B375" s="125"/>
      <c r="C375" s="125"/>
      <c r="D375" s="125"/>
      <c r="E375" s="125"/>
      <c r="F375" s="125"/>
      <c r="G375" s="125"/>
      <c r="H375" s="125"/>
      <c r="I375" s="125"/>
      <c r="J375" s="125"/>
      <c r="K375" s="125"/>
      <c r="L375" s="125"/>
      <c r="M375" s="125"/>
      <c r="N375" s="125"/>
      <c r="O375" s="125"/>
      <c r="P375" s="125"/>
      <c r="Q375" s="125"/>
      <c r="R375" s="125"/>
      <c r="S375" s="125"/>
      <c r="T375" s="125"/>
      <c r="U375" s="125"/>
      <c r="V375" s="125"/>
      <c r="W375" s="125"/>
      <c r="X375" s="125"/>
      <c r="Y375" s="125"/>
      <c r="Z375" s="125"/>
      <c r="AA375" s="125"/>
      <c r="AB375" s="125"/>
      <c r="AC375" s="125"/>
      <c r="AD375" s="125"/>
      <c r="AE375" s="125"/>
      <c r="AF375" s="125"/>
      <c r="AG375" s="125"/>
      <c r="AH375" s="125"/>
      <c r="AI375" s="125"/>
      <c r="AJ375" s="125"/>
      <c r="AK375" s="125"/>
      <c r="AL375" s="125"/>
      <c r="AM375" s="125"/>
      <c r="AN375" s="125"/>
      <c r="AO375" s="125"/>
      <c r="AP375" s="125"/>
      <c r="AQ375" s="125"/>
      <c r="AR375" s="125"/>
      <c r="AS375" s="125"/>
      <c r="AT375" s="125"/>
      <c r="AU375" s="125"/>
      <c r="AV375" s="125"/>
      <c r="AW375" s="125"/>
      <c r="AX375" s="125"/>
      <c r="AY375" s="125"/>
      <c r="AZ375" s="125"/>
      <c r="BA375" s="125"/>
      <c r="BB375" s="125"/>
      <c r="BC375" s="125"/>
      <c r="BD375" s="125"/>
      <c r="BE375" s="125"/>
      <c r="BF375" s="125"/>
    </row>
    <row r="376" spans="1:58" ht="15.75" customHeight="1">
      <c r="A376" s="125"/>
      <c r="B376" s="125"/>
      <c r="C376" s="125"/>
      <c r="D376" s="125"/>
      <c r="E376" s="125"/>
      <c r="F376" s="125"/>
      <c r="G376" s="125"/>
      <c r="H376" s="125"/>
      <c r="I376" s="125"/>
      <c r="J376" s="125"/>
      <c r="K376" s="125"/>
      <c r="L376" s="125"/>
      <c r="M376" s="125"/>
      <c r="N376" s="125"/>
      <c r="O376" s="125"/>
      <c r="P376" s="125"/>
      <c r="Q376" s="125"/>
      <c r="R376" s="125"/>
      <c r="S376" s="125"/>
      <c r="T376" s="125"/>
      <c r="U376" s="125"/>
      <c r="V376" s="125"/>
      <c r="W376" s="125"/>
      <c r="X376" s="125"/>
      <c r="Y376" s="125"/>
      <c r="Z376" s="125"/>
      <c r="AA376" s="125"/>
      <c r="AB376" s="125"/>
      <c r="AC376" s="125"/>
      <c r="AD376" s="125"/>
      <c r="AE376" s="125"/>
      <c r="AF376" s="125"/>
      <c r="AG376" s="125"/>
      <c r="AH376" s="125"/>
      <c r="AI376" s="125"/>
      <c r="AJ376" s="125"/>
      <c r="AK376" s="125"/>
      <c r="AL376" s="125"/>
      <c r="AM376" s="125"/>
      <c r="AN376" s="125"/>
      <c r="AO376" s="125"/>
      <c r="AP376" s="125"/>
      <c r="AQ376" s="125"/>
      <c r="AR376" s="125"/>
      <c r="AS376" s="125"/>
      <c r="AT376" s="125"/>
      <c r="AU376" s="125"/>
      <c r="AV376" s="125"/>
      <c r="AW376" s="125"/>
      <c r="AX376" s="125"/>
      <c r="AY376" s="125"/>
      <c r="AZ376" s="125"/>
      <c r="BA376" s="125"/>
      <c r="BB376" s="125"/>
      <c r="BC376" s="125"/>
      <c r="BD376" s="125"/>
      <c r="BE376" s="125"/>
      <c r="BF376" s="125"/>
    </row>
    <row r="377" spans="1:58" ht="15.75" customHeight="1">
      <c r="A377" s="125"/>
      <c r="B377" s="125"/>
      <c r="C377" s="125"/>
      <c r="D377" s="125"/>
      <c r="E377" s="125"/>
      <c r="F377" s="125"/>
      <c r="G377" s="125"/>
      <c r="H377" s="125"/>
      <c r="I377" s="125"/>
      <c r="J377" s="125"/>
      <c r="K377" s="125"/>
      <c r="L377" s="125"/>
      <c r="M377" s="125"/>
      <c r="N377" s="125"/>
      <c r="O377" s="125"/>
      <c r="P377" s="125"/>
      <c r="Q377" s="125"/>
      <c r="R377" s="125"/>
      <c r="S377" s="125"/>
      <c r="T377" s="125"/>
      <c r="U377" s="125"/>
      <c r="V377" s="125"/>
      <c r="W377" s="125"/>
      <c r="X377" s="125"/>
      <c r="Y377" s="125"/>
      <c r="Z377" s="125"/>
      <c r="AA377" s="125"/>
      <c r="AB377" s="125"/>
      <c r="AC377" s="125"/>
      <c r="AD377" s="125"/>
      <c r="AE377" s="125"/>
      <c r="AF377" s="125"/>
      <c r="AG377" s="125"/>
      <c r="AH377" s="125"/>
      <c r="AI377" s="125"/>
      <c r="AJ377" s="125"/>
      <c r="AK377" s="125"/>
      <c r="AL377" s="125"/>
      <c r="AM377" s="125"/>
      <c r="AN377" s="125"/>
      <c r="AO377" s="125"/>
      <c r="AP377" s="125"/>
      <c r="AQ377" s="125"/>
      <c r="AR377" s="125"/>
      <c r="AS377" s="125"/>
      <c r="AT377" s="125"/>
      <c r="AU377" s="125"/>
      <c r="AV377" s="125"/>
      <c r="AW377" s="125"/>
      <c r="AX377" s="125"/>
      <c r="AY377" s="125"/>
      <c r="AZ377" s="125"/>
      <c r="BA377" s="125"/>
      <c r="BB377" s="125"/>
      <c r="BC377" s="125"/>
      <c r="BD377" s="125"/>
      <c r="BE377" s="125"/>
      <c r="BF377" s="125"/>
    </row>
    <row r="378" spans="1:58" ht="15.75" customHeight="1">
      <c r="A378" s="125"/>
      <c r="B378" s="125"/>
      <c r="C378" s="125"/>
      <c r="D378" s="125"/>
      <c r="E378" s="125"/>
      <c r="F378" s="125"/>
      <c r="G378" s="125"/>
      <c r="H378" s="125"/>
      <c r="I378" s="125"/>
      <c r="J378" s="125"/>
      <c r="K378" s="125"/>
      <c r="L378" s="125"/>
      <c r="M378" s="125"/>
      <c r="N378" s="125"/>
      <c r="O378" s="125"/>
      <c r="P378" s="125"/>
      <c r="Q378" s="125"/>
      <c r="R378" s="125"/>
      <c r="S378" s="125"/>
      <c r="T378" s="125"/>
      <c r="U378" s="125"/>
      <c r="V378" s="125"/>
      <c r="W378" s="125"/>
      <c r="X378" s="125"/>
      <c r="Y378" s="125"/>
      <c r="Z378" s="125"/>
      <c r="AA378" s="125"/>
      <c r="AB378" s="125"/>
      <c r="AC378" s="125"/>
      <c r="AD378" s="125"/>
      <c r="AE378" s="125"/>
      <c r="AF378" s="125"/>
      <c r="AG378" s="125"/>
      <c r="AH378" s="125"/>
      <c r="AI378" s="125"/>
      <c r="AJ378" s="125"/>
      <c r="AK378" s="125"/>
      <c r="AL378" s="125"/>
      <c r="AM378" s="125"/>
      <c r="AN378" s="125"/>
      <c r="AO378" s="125"/>
      <c r="AP378" s="125"/>
      <c r="AQ378" s="125"/>
      <c r="AR378" s="125"/>
      <c r="AS378" s="125"/>
      <c r="AT378" s="125"/>
      <c r="AU378" s="125"/>
      <c r="AV378" s="125"/>
      <c r="AW378" s="125"/>
      <c r="AX378" s="125"/>
      <c r="AY378" s="125"/>
      <c r="AZ378" s="125"/>
      <c r="BA378" s="125"/>
      <c r="BB378" s="125"/>
      <c r="BC378" s="125"/>
      <c r="BD378" s="125"/>
      <c r="BE378" s="125"/>
      <c r="BF378" s="125"/>
    </row>
    <row r="379" spans="1:58" ht="15.75" customHeight="1">
      <c r="A379" s="125"/>
      <c r="B379" s="125"/>
      <c r="C379" s="125"/>
      <c r="D379" s="125"/>
      <c r="E379" s="125"/>
      <c r="F379" s="125"/>
      <c r="G379" s="125"/>
      <c r="H379" s="125"/>
      <c r="I379" s="125"/>
      <c r="J379" s="125"/>
      <c r="K379" s="125"/>
      <c r="L379" s="125"/>
      <c r="M379" s="125"/>
      <c r="N379" s="125"/>
      <c r="O379" s="125"/>
      <c r="P379" s="125"/>
      <c r="Q379" s="125"/>
      <c r="R379" s="125"/>
      <c r="S379" s="125"/>
      <c r="T379" s="125"/>
      <c r="U379" s="125"/>
      <c r="V379" s="125"/>
      <c r="W379" s="125"/>
      <c r="X379" s="125"/>
      <c r="Y379" s="125"/>
      <c r="Z379" s="125"/>
      <c r="AA379" s="125"/>
      <c r="AB379" s="125"/>
      <c r="AC379" s="125"/>
      <c r="AD379" s="125"/>
      <c r="AE379" s="125"/>
      <c r="AF379" s="125"/>
      <c r="AG379" s="125"/>
      <c r="AH379" s="125"/>
      <c r="AI379" s="125"/>
      <c r="AJ379" s="125"/>
      <c r="AK379" s="125"/>
      <c r="AL379" s="125"/>
      <c r="AM379" s="125"/>
      <c r="AN379" s="125"/>
      <c r="AO379" s="125"/>
      <c r="AP379" s="125"/>
      <c r="AQ379" s="125"/>
      <c r="AR379" s="125"/>
      <c r="AS379" s="125"/>
      <c r="AT379" s="125"/>
      <c r="AU379" s="125"/>
      <c r="AV379" s="125"/>
      <c r="AW379" s="125"/>
      <c r="AX379" s="125"/>
      <c r="AY379" s="125"/>
      <c r="AZ379" s="125"/>
      <c r="BA379" s="125"/>
      <c r="BB379" s="125"/>
      <c r="BC379" s="125"/>
      <c r="BD379" s="125"/>
      <c r="BE379" s="125"/>
      <c r="BF379" s="125"/>
    </row>
    <row r="380" spans="1:58" ht="15.75" customHeight="1">
      <c r="A380" s="125"/>
      <c r="B380" s="125"/>
      <c r="C380" s="125"/>
      <c r="D380" s="125"/>
      <c r="E380" s="125"/>
      <c r="F380" s="125"/>
      <c r="G380" s="125"/>
      <c r="H380" s="125"/>
      <c r="I380" s="125"/>
      <c r="J380" s="125"/>
      <c r="K380" s="125"/>
      <c r="L380" s="125"/>
      <c r="M380" s="125"/>
      <c r="N380" s="125"/>
      <c r="O380" s="125"/>
      <c r="P380" s="125"/>
      <c r="Q380" s="125"/>
      <c r="R380" s="125"/>
      <c r="S380" s="125"/>
      <c r="T380" s="125"/>
      <c r="U380" s="125"/>
      <c r="V380" s="125"/>
      <c r="W380" s="125"/>
      <c r="X380" s="125"/>
      <c r="Y380" s="125"/>
      <c r="Z380" s="125"/>
      <c r="AA380" s="125"/>
      <c r="AB380" s="125"/>
      <c r="AC380" s="125"/>
      <c r="AD380" s="125"/>
      <c r="AE380" s="125"/>
      <c r="AF380" s="125"/>
      <c r="AG380" s="125"/>
      <c r="AH380" s="125"/>
      <c r="AI380" s="125"/>
      <c r="AJ380" s="125"/>
      <c r="AK380" s="125"/>
      <c r="AL380" s="125"/>
      <c r="AM380" s="125"/>
      <c r="AN380" s="125"/>
      <c r="AO380" s="125"/>
      <c r="AP380" s="125"/>
      <c r="AQ380" s="125"/>
      <c r="AR380" s="125"/>
      <c r="AS380" s="125"/>
      <c r="AT380" s="125"/>
      <c r="AU380" s="125"/>
      <c r="AV380" s="125"/>
      <c r="AW380" s="125"/>
      <c r="AX380" s="125"/>
      <c r="AY380" s="125"/>
      <c r="AZ380" s="125"/>
      <c r="BA380" s="125"/>
      <c r="BB380" s="125"/>
      <c r="BC380" s="125"/>
      <c r="BD380" s="125"/>
      <c r="BE380" s="125"/>
      <c r="BF380" s="125"/>
    </row>
    <row r="381" spans="1:58" ht="15.75" customHeight="1">
      <c r="A381" s="125"/>
      <c r="B381" s="125"/>
      <c r="C381" s="125"/>
      <c r="D381" s="125"/>
      <c r="E381" s="125"/>
      <c r="F381" s="125"/>
      <c r="G381" s="125"/>
      <c r="H381" s="125"/>
      <c r="I381" s="125"/>
      <c r="J381" s="125"/>
      <c r="K381" s="125"/>
      <c r="L381" s="125"/>
      <c r="M381" s="125"/>
      <c r="N381" s="125"/>
      <c r="O381" s="125"/>
      <c r="P381" s="125"/>
      <c r="Q381" s="125"/>
      <c r="R381" s="125"/>
      <c r="S381" s="125"/>
      <c r="T381" s="125"/>
      <c r="U381" s="125"/>
      <c r="V381" s="125"/>
      <c r="W381" s="125"/>
      <c r="X381" s="125"/>
      <c r="Y381" s="125"/>
      <c r="Z381" s="125"/>
      <c r="AA381" s="125"/>
      <c r="AB381" s="125"/>
      <c r="AC381" s="125"/>
      <c r="AD381" s="125"/>
      <c r="AE381" s="125"/>
      <c r="AF381" s="125"/>
      <c r="AG381" s="125"/>
      <c r="AH381" s="125"/>
      <c r="AI381" s="125"/>
      <c r="AJ381" s="125"/>
      <c r="AK381" s="125"/>
      <c r="AL381" s="125"/>
      <c r="AM381" s="125"/>
      <c r="AN381" s="125"/>
      <c r="AO381" s="125"/>
      <c r="AP381" s="125"/>
      <c r="AQ381" s="125"/>
      <c r="AR381" s="125"/>
      <c r="AS381" s="125"/>
      <c r="AT381" s="125"/>
      <c r="AU381" s="125"/>
      <c r="AV381" s="125"/>
      <c r="AW381" s="125"/>
      <c r="AX381" s="125"/>
      <c r="AY381" s="125"/>
      <c r="AZ381" s="125"/>
      <c r="BA381" s="125"/>
      <c r="BB381" s="125"/>
      <c r="BC381" s="125"/>
      <c r="BD381" s="125"/>
      <c r="BE381" s="125"/>
      <c r="BF381" s="125"/>
    </row>
    <row r="382" spans="1:58" ht="15.75" customHeight="1">
      <c r="A382" s="125"/>
      <c r="B382" s="125"/>
      <c r="C382" s="125"/>
      <c r="D382" s="125"/>
      <c r="E382" s="125"/>
      <c r="F382" s="125"/>
      <c r="G382" s="125"/>
      <c r="H382" s="125"/>
      <c r="I382" s="125"/>
      <c r="J382" s="125"/>
      <c r="K382" s="125"/>
      <c r="L382" s="125"/>
      <c r="M382" s="125"/>
      <c r="N382" s="125"/>
      <c r="O382" s="125"/>
      <c r="P382" s="125"/>
      <c r="Q382" s="125"/>
      <c r="R382" s="125"/>
      <c r="S382" s="125"/>
      <c r="T382" s="125"/>
      <c r="U382" s="125"/>
      <c r="V382" s="125"/>
      <c r="W382" s="125"/>
      <c r="X382" s="125"/>
      <c r="Y382" s="125"/>
      <c r="Z382" s="125"/>
      <c r="AA382" s="125"/>
      <c r="AB382" s="125"/>
      <c r="AC382" s="125"/>
      <c r="AD382" s="125"/>
      <c r="AE382" s="125"/>
      <c r="AF382" s="125"/>
      <c r="AG382" s="125"/>
      <c r="AH382" s="125"/>
      <c r="AI382" s="125"/>
      <c r="AJ382" s="125"/>
      <c r="AK382" s="125"/>
      <c r="AL382" s="125"/>
      <c r="AM382" s="125"/>
      <c r="AN382" s="125"/>
      <c r="AO382" s="125"/>
      <c r="AP382" s="125"/>
      <c r="AQ382" s="125"/>
      <c r="AR382" s="125"/>
      <c r="AS382" s="125"/>
      <c r="AT382" s="125"/>
      <c r="AU382" s="125"/>
      <c r="AV382" s="125"/>
      <c r="AW382" s="125"/>
      <c r="AX382" s="125"/>
      <c r="AY382" s="125"/>
      <c r="AZ382" s="125"/>
      <c r="BA382" s="125"/>
      <c r="BB382" s="125"/>
      <c r="BC382" s="125"/>
      <c r="BD382" s="125"/>
      <c r="BE382" s="125"/>
      <c r="BF382" s="125"/>
    </row>
    <row r="383" spans="1:58" ht="15.75" customHeight="1">
      <c r="A383" s="125"/>
      <c r="B383" s="125"/>
      <c r="C383" s="125"/>
      <c r="D383" s="125"/>
      <c r="E383" s="125"/>
      <c r="F383" s="125"/>
      <c r="G383" s="125"/>
      <c r="H383" s="125"/>
      <c r="I383" s="125"/>
      <c r="J383" s="125"/>
      <c r="K383" s="125"/>
      <c r="L383" s="125"/>
      <c r="M383" s="125"/>
      <c r="N383" s="125"/>
      <c r="O383" s="125"/>
      <c r="P383" s="125"/>
      <c r="Q383" s="125"/>
      <c r="R383" s="125"/>
      <c r="S383" s="125"/>
      <c r="T383" s="125"/>
      <c r="U383" s="125"/>
      <c r="V383" s="125"/>
      <c r="W383" s="125"/>
      <c r="X383" s="125"/>
      <c r="Y383" s="125"/>
      <c r="Z383" s="125"/>
      <c r="AA383" s="125"/>
      <c r="AB383" s="125"/>
      <c r="AC383" s="125"/>
      <c r="AD383" s="125"/>
      <c r="AE383" s="125"/>
      <c r="AF383" s="125"/>
      <c r="AG383" s="125"/>
      <c r="AH383" s="125"/>
      <c r="AI383" s="125"/>
      <c r="AJ383" s="125"/>
      <c r="AK383" s="125"/>
      <c r="AL383" s="125"/>
      <c r="AM383" s="125"/>
      <c r="AN383" s="125"/>
      <c r="AO383" s="125"/>
      <c r="AP383" s="125"/>
      <c r="AQ383" s="125"/>
      <c r="AR383" s="125"/>
      <c r="AS383" s="125"/>
      <c r="AT383" s="125"/>
      <c r="AU383" s="125"/>
      <c r="AV383" s="125"/>
      <c r="AW383" s="125"/>
      <c r="AX383" s="125"/>
      <c r="AY383" s="125"/>
      <c r="AZ383" s="125"/>
      <c r="BA383" s="125"/>
      <c r="BB383" s="125"/>
      <c r="BC383" s="125"/>
      <c r="BD383" s="125"/>
      <c r="BE383" s="125"/>
      <c r="BF383" s="125"/>
    </row>
    <row r="384" spans="1:58" ht="15.75" customHeight="1">
      <c r="A384" s="125"/>
      <c r="B384" s="125"/>
      <c r="C384" s="125"/>
      <c r="D384" s="125"/>
      <c r="E384" s="125"/>
      <c r="F384" s="125"/>
      <c r="G384" s="125"/>
      <c r="H384" s="125"/>
      <c r="I384" s="125"/>
      <c r="J384" s="125"/>
      <c r="K384" s="125"/>
      <c r="L384" s="125"/>
      <c r="M384" s="125"/>
      <c r="N384" s="125"/>
      <c r="O384" s="125"/>
      <c r="P384" s="125"/>
      <c r="Q384" s="125"/>
      <c r="R384" s="125"/>
      <c r="S384" s="125"/>
      <c r="T384" s="125"/>
      <c r="U384" s="125"/>
      <c r="V384" s="125"/>
      <c r="W384" s="125"/>
      <c r="X384" s="125"/>
      <c r="Y384" s="125"/>
      <c r="Z384" s="125"/>
      <c r="AA384" s="125"/>
      <c r="AB384" s="125"/>
      <c r="AC384" s="125"/>
      <c r="AD384" s="125"/>
      <c r="AE384" s="125"/>
      <c r="AF384" s="125"/>
      <c r="AG384" s="125"/>
      <c r="AH384" s="125"/>
      <c r="AI384" s="125"/>
      <c r="AJ384" s="125"/>
      <c r="AK384" s="125"/>
      <c r="AL384" s="125"/>
      <c r="AM384" s="125"/>
      <c r="AN384" s="125"/>
      <c r="AO384" s="125"/>
      <c r="AP384" s="125"/>
      <c r="AQ384" s="125"/>
      <c r="AR384" s="125"/>
      <c r="AS384" s="125"/>
      <c r="AT384" s="125"/>
      <c r="AU384" s="125"/>
      <c r="AV384" s="125"/>
      <c r="AW384" s="125"/>
      <c r="AX384" s="125"/>
      <c r="AY384" s="125"/>
      <c r="AZ384" s="125"/>
      <c r="BA384" s="125"/>
      <c r="BB384" s="125"/>
      <c r="BC384" s="125"/>
      <c r="BD384" s="125"/>
      <c r="BE384" s="125"/>
      <c r="BF384" s="125"/>
    </row>
    <row r="385" spans="1:58" ht="15.75" customHeight="1">
      <c r="A385" s="125"/>
      <c r="B385" s="125"/>
      <c r="C385" s="125"/>
      <c r="D385" s="125"/>
      <c r="E385" s="125"/>
      <c r="F385" s="125"/>
      <c r="G385" s="125"/>
      <c r="H385" s="125"/>
      <c r="I385" s="125"/>
      <c r="J385" s="125"/>
      <c r="K385" s="125"/>
      <c r="L385" s="125"/>
      <c r="M385" s="125"/>
      <c r="N385" s="125"/>
      <c r="O385" s="125"/>
      <c r="P385" s="125"/>
      <c r="Q385" s="125"/>
      <c r="R385" s="125"/>
      <c r="S385" s="125"/>
      <c r="T385" s="125"/>
      <c r="U385" s="125"/>
      <c r="V385" s="125"/>
      <c r="W385" s="125"/>
      <c r="X385" s="125"/>
      <c r="Y385" s="125"/>
      <c r="Z385" s="125"/>
      <c r="AA385" s="125"/>
      <c r="AB385" s="125"/>
      <c r="AC385" s="125"/>
      <c r="AD385" s="125"/>
      <c r="AE385" s="125"/>
      <c r="AF385" s="125"/>
      <c r="AG385" s="125"/>
      <c r="AH385" s="125"/>
      <c r="AI385" s="125"/>
      <c r="AJ385" s="125"/>
      <c r="AK385" s="125"/>
      <c r="AL385" s="125"/>
      <c r="AM385" s="125"/>
      <c r="AN385" s="125"/>
      <c r="AO385" s="125"/>
      <c r="AP385" s="125"/>
      <c r="AQ385" s="125"/>
      <c r="AR385" s="125"/>
      <c r="AS385" s="125"/>
      <c r="AT385" s="125"/>
      <c r="AU385" s="125"/>
      <c r="AV385" s="125"/>
      <c r="AW385" s="125"/>
      <c r="AX385" s="125"/>
      <c r="AY385" s="125"/>
      <c r="AZ385" s="125"/>
      <c r="BA385" s="125"/>
      <c r="BB385" s="125"/>
      <c r="BC385" s="125"/>
      <c r="BD385" s="125"/>
      <c r="BE385" s="125"/>
      <c r="BF385" s="125"/>
    </row>
    <row r="386" spans="1:58" ht="15.75" customHeight="1">
      <c r="A386" s="125"/>
      <c r="B386" s="125"/>
      <c r="C386" s="125"/>
      <c r="D386" s="125"/>
      <c r="E386" s="125"/>
      <c r="F386" s="125"/>
      <c r="G386" s="125"/>
      <c r="H386" s="125"/>
      <c r="I386" s="125"/>
      <c r="J386" s="125"/>
      <c r="K386" s="125"/>
      <c r="L386" s="125"/>
      <c r="M386" s="125"/>
      <c r="N386" s="125"/>
      <c r="O386" s="125"/>
      <c r="P386" s="125"/>
      <c r="Q386" s="125"/>
      <c r="R386" s="125"/>
      <c r="S386" s="125"/>
      <c r="T386" s="125"/>
      <c r="U386" s="125"/>
      <c r="V386" s="125"/>
      <c r="W386" s="125"/>
      <c r="X386" s="125"/>
      <c r="Y386" s="125"/>
      <c r="Z386" s="125"/>
      <c r="AA386" s="125"/>
      <c r="AB386" s="125"/>
      <c r="AC386" s="125"/>
      <c r="AD386" s="125"/>
      <c r="AE386" s="125"/>
      <c r="AF386" s="125"/>
      <c r="AG386" s="125"/>
      <c r="AH386" s="125"/>
      <c r="AI386" s="125"/>
      <c r="AJ386" s="125"/>
      <c r="AK386" s="125"/>
      <c r="AL386" s="125"/>
      <c r="AM386" s="125"/>
      <c r="AN386" s="125"/>
      <c r="AO386" s="125"/>
      <c r="AP386" s="125"/>
      <c r="AQ386" s="125"/>
      <c r="AR386" s="125"/>
      <c r="AS386" s="125"/>
      <c r="AT386" s="125"/>
      <c r="AU386" s="125"/>
      <c r="AV386" s="125"/>
      <c r="AW386" s="125"/>
      <c r="AX386" s="125"/>
      <c r="AY386" s="125"/>
      <c r="AZ386" s="125"/>
      <c r="BA386" s="125"/>
      <c r="BB386" s="125"/>
      <c r="BC386" s="125"/>
      <c r="BD386" s="125"/>
      <c r="BE386" s="125"/>
      <c r="BF386" s="125"/>
    </row>
    <row r="387" spans="1:58" ht="15.75" customHeight="1">
      <c r="A387" s="125"/>
      <c r="B387" s="125"/>
      <c r="C387" s="125"/>
      <c r="D387" s="125"/>
      <c r="E387" s="125"/>
      <c r="F387" s="125"/>
      <c r="G387" s="125"/>
      <c r="H387" s="125"/>
      <c r="I387" s="125"/>
      <c r="J387" s="125"/>
      <c r="K387" s="125"/>
      <c r="L387" s="125"/>
      <c r="M387" s="125"/>
      <c r="N387" s="125"/>
      <c r="O387" s="125"/>
      <c r="P387" s="125"/>
      <c r="Q387" s="125"/>
      <c r="R387" s="125"/>
      <c r="S387" s="125"/>
      <c r="T387" s="125"/>
      <c r="U387" s="125"/>
      <c r="V387" s="125"/>
      <c r="W387" s="125"/>
      <c r="X387" s="125"/>
      <c r="Y387" s="125"/>
      <c r="Z387" s="125"/>
      <c r="AA387" s="125"/>
      <c r="AB387" s="125"/>
      <c r="AC387" s="125"/>
      <c r="AD387" s="125"/>
      <c r="AE387" s="125"/>
      <c r="AF387" s="125"/>
      <c r="AG387" s="125"/>
      <c r="AH387" s="125"/>
      <c r="AI387" s="125"/>
      <c r="AJ387" s="125"/>
      <c r="AK387" s="125"/>
      <c r="AL387" s="125"/>
      <c r="AM387" s="125"/>
      <c r="AN387" s="125"/>
      <c r="AO387" s="125"/>
      <c r="AP387" s="125"/>
      <c r="AQ387" s="125"/>
      <c r="AR387" s="125"/>
      <c r="AS387" s="125"/>
      <c r="AT387" s="125"/>
      <c r="AU387" s="125"/>
      <c r="AV387" s="125"/>
      <c r="AW387" s="125"/>
      <c r="AX387" s="125"/>
      <c r="AY387" s="125"/>
      <c r="AZ387" s="125"/>
      <c r="BA387" s="125"/>
      <c r="BB387" s="125"/>
      <c r="BC387" s="125"/>
      <c r="BD387" s="125"/>
      <c r="BE387" s="125"/>
      <c r="BF387" s="125"/>
    </row>
    <row r="388" spans="1:58" ht="15.75" customHeight="1">
      <c r="A388" s="125"/>
      <c r="B388" s="125"/>
      <c r="C388" s="125"/>
      <c r="D388" s="125"/>
      <c r="E388" s="125"/>
      <c r="F388" s="125"/>
      <c r="G388" s="125"/>
      <c r="H388" s="125"/>
      <c r="I388" s="125"/>
      <c r="J388" s="125"/>
      <c r="K388" s="125"/>
      <c r="L388" s="125"/>
      <c r="M388" s="125"/>
      <c r="N388" s="125"/>
      <c r="O388" s="125"/>
      <c r="P388" s="125"/>
      <c r="Q388" s="125"/>
      <c r="R388" s="125"/>
      <c r="S388" s="125"/>
      <c r="T388" s="125"/>
      <c r="U388" s="125"/>
      <c r="V388" s="125"/>
      <c r="W388" s="125"/>
      <c r="X388" s="125"/>
      <c r="Y388" s="125"/>
      <c r="Z388" s="125"/>
      <c r="AA388" s="125"/>
      <c r="AB388" s="125"/>
      <c r="AC388" s="125"/>
      <c r="AD388" s="125"/>
      <c r="AE388" s="125"/>
      <c r="AF388" s="125"/>
      <c r="AG388" s="125"/>
      <c r="AH388" s="125"/>
      <c r="AI388" s="125"/>
      <c r="AJ388" s="125"/>
      <c r="AK388" s="125"/>
      <c r="AL388" s="125"/>
      <c r="AM388" s="125"/>
      <c r="AN388" s="125"/>
      <c r="AO388" s="125"/>
      <c r="AP388" s="125"/>
      <c r="AQ388" s="125"/>
      <c r="AR388" s="125"/>
      <c r="AS388" s="125"/>
      <c r="AT388" s="125"/>
      <c r="AU388" s="125"/>
      <c r="AV388" s="125"/>
      <c r="AW388" s="125"/>
      <c r="AX388" s="125"/>
      <c r="AY388" s="125"/>
      <c r="AZ388" s="125"/>
      <c r="BA388" s="125"/>
      <c r="BB388" s="125"/>
      <c r="BC388" s="125"/>
      <c r="BD388" s="125"/>
      <c r="BE388" s="125"/>
      <c r="BF388" s="125"/>
    </row>
    <row r="389" spans="1:58" ht="15.75" customHeight="1">
      <c r="A389" s="125"/>
      <c r="B389" s="125"/>
      <c r="C389" s="125"/>
      <c r="D389" s="125"/>
      <c r="E389" s="125"/>
      <c r="F389" s="125"/>
      <c r="G389" s="125"/>
      <c r="H389" s="125"/>
      <c r="I389" s="125"/>
      <c r="J389" s="125"/>
      <c r="K389" s="125"/>
      <c r="L389" s="125"/>
      <c r="M389" s="125"/>
      <c r="N389" s="125"/>
      <c r="O389" s="125"/>
      <c r="P389" s="125"/>
      <c r="Q389" s="125"/>
      <c r="R389" s="125"/>
      <c r="S389" s="125"/>
      <c r="T389" s="125"/>
      <c r="U389" s="125"/>
      <c r="V389" s="125"/>
      <c r="W389" s="125"/>
      <c r="X389" s="125"/>
      <c r="Y389" s="125"/>
      <c r="Z389" s="125"/>
      <c r="AA389" s="125"/>
      <c r="AB389" s="125"/>
      <c r="AC389" s="125"/>
      <c r="AD389" s="125"/>
      <c r="AE389" s="125"/>
      <c r="AF389" s="125"/>
      <c r="AG389" s="125"/>
      <c r="AH389" s="125"/>
      <c r="AI389" s="125"/>
      <c r="AJ389" s="125"/>
      <c r="AK389" s="125"/>
      <c r="AL389" s="125"/>
      <c r="AM389" s="125"/>
      <c r="AN389" s="125"/>
      <c r="AO389" s="125"/>
      <c r="AP389" s="125"/>
      <c r="AQ389" s="125"/>
      <c r="AR389" s="125"/>
      <c r="AS389" s="125"/>
      <c r="AT389" s="125"/>
      <c r="AU389" s="125"/>
      <c r="AV389" s="125"/>
      <c r="AW389" s="125"/>
      <c r="AX389" s="125"/>
      <c r="AY389" s="125"/>
      <c r="AZ389" s="125"/>
      <c r="BA389" s="125"/>
      <c r="BB389" s="125"/>
      <c r="BC389" s="125"/>
      <c r="BD389" s="125"/>
      <c r="BE389" s="125"/>
      <c r="BF389" s="125"/>
    </row>
    <row r="390" spans="1:58" ht="15.75" customHeight="1">
      <c r="A390" s="125"/>
      <c r="B390" s="125"/>
      <c r="C390" s="125"/>
      <c r="D390" s="125"/>
      <c r="E390" s="125"/>
      <c r="F390" s="125"/>
      <c r="G390" s="125"/>
      <c r="H390" s="125"/>
      <c r="I390" s="125"/>
      <c r="J390" s="125"/>
      <c r="K390" s="125"/>
      <c r="L390" s="125"/>
      <c r="M390" s="125"/>
      <c r="N390" s="125"/>
      <c r="O390" s="125"/>
      <c r="P390" s="125"/>
      <c r="Q390" s="125"/>
      <c r="R390" s="125"/>
      <c r="S390" s="125"/>
      <c r="T390" s="125"/>
      <c r="U390" s="125"/>
      <c r="V390" s="125"/>
      <c r="W390" s="125"/>
      <c r="X390" s="125"/>
      <c r="Y390" s="125"/>
      <c r="Z390" s="125"/>
      <c r="AA390" s="125"/>
      <c r="AB390" s="125"/>
      <c r="AC390" s="125"/>
      <c r="AD390" s="125"/>
      <c r="AE390" s="125"/>
      <c r="AF390" s="125"/>
      <c r="AG390" s="125"/>
      <c r="AH390" s="125"/>
      <c r="AI390" s="125"/>
      <c r="AJ390" s="125"/>
      <c r="AK390" s="125"/>
      <c r="AL390" s="125"/>
      <c r="AM390" s="125"/>
      <c r="AN390" s="125"/>
      <c r="AO390" s="125"/>
      <c r="AP390" s="125"/>
      <c r="AQ390" s="125"/>
      <c r="AR390" s="125"/>
      <c r="AS390" s="125"/>
      <c r="AT390" s="125"/>
      <c r="AU390" s="125"/>
      <c r="AV390" s="125"/>
      <c r="AW390" s="125"/>
      <c r="AX390" s="125"/>
      <c r="AY390" s="125"/>
      <c r="AZ390" s="125"/>
      <c r="BA390" s="125"/>
      <c r="BB390" s="125"/>
      <c r="BC390" s="125"/>
      <c r="BD390" s="125"/>
      <c r="BE390" s="125"/>
      <c r="BF390" s="125"/>
    </row>
    <row r="391" spans="1:58" ht="15.75" customHeight="1">
      <c r="A391" s="125"/>
      <c r="B391" s="125"/>
      <c r="C391" s="125"/>
      <c r="D391" s="125"/>
      <c r="E391" s="125"/>
      <c r="F391" s="125"/>
      <c r="G391" s="125"/>
      <c r="H391" s="125"/>
      <c r="I391" s="125"/>
      <c r="J391" s="125"/>
      <c r="K391" s="125"/>
      <c r="L391" s="125"/>
      <c r="M391" s="125"/>
      <c r="N391" s="125"/>
      <c r="O391" s="125"/>
      <c r="P391" s="125"/>
      <c r="Q391" s="125"/>
      <c r="R391" s="125"/>
      <c r="S391" s="125"/>
      <c r="T391" s="125"/>
      <c r="U391" s="125"/>
      <c r="V391" s="125"/>
      <c r="W391" s="125"/>
      <c r="X391" s="125"/>
      <c r="Y391" s="125"/>
      <c r="Z391" s="125"/>
      <c r="AA391" s="125"/>
      <c r="AB391" s="125"/>
      <c r="AC391" s="125"/>
      <c r="AD391" s="125"/>
      <c r="AE391" s="125"/>
      <c r="AF391" s="125"/>
      <c r="AG391" s="125"/>
      <c r="AH391" s="125"/>
      <c r="AI391" s="125"/>
      <c r="AJ391" s="125"/>
      <c r="AK391" s="125"/>
      <c r="AL391" s="125"/>
      <c r="AM391" s="125"/>
      <c r="AN391" s="125"/>
      <c r="AO391" s="125"/>
      <c r="AP391" s="125"/>
      <c r="AQ391" s="125"/>
      <c r="AR391" s="125"/>
      <c r="AS391" s="125"/>
      <c r="AT391" s="125"/>
      <c r="AU391" s="125"/>
      <c r="AV391" s="125"/>
      <c r="AW391" s="125"/>
      <c r="AX391" s="125"/>
      <c r="AY391" s="125"/>
      <c r="AZ391" s="125"/>
      <c r="BA391" s="125"/>
      <c r="BB391" s="125"/>
      <c r="BC391" s="125"/>
      <c r="BD391" s="125"/>
      <c r="BE391" s="125"/>
      <c r="BF391" s="125"/>
    </row>
    <row r="392" spans="1:58" ht="15.75" customHeight="1">
      <c r="A392" s="125"/>
      <c r="B392" s="125"/>
      <c r="C392" s="125"/>
      <c r="D392" s="125"/>
      <c r="E392" s="125"/>
      <c r="F392" s="125"/>
      <c r="G392" s="125"/>
      <c r="H392" s="125"/>
      <c r="I392" s="125"/>
      <c r="J392" s="125"/>
      <c r="K392" s="125"/>
      <c r="L392" s="125"/>
      <c r="M392" s="125"/>
      <c r="N392" s="125"/>
      <c r="O392" s="125"/>
      <c r="P392" s="125"/>
      <c r="Q392" s="125"/>
      <c r="R392" s="125"/>
      <c r="S392" s="125"/>
      <c r="T392" s="125"/>
      <c r="U392" s="125"/>
      <c r="V392" s="125"/>
      <c r="W392" s="125"/>
      <c r="X392" s="125"/>
      <c r="Y392" s="125"/>
      <c r="Z392" s="125"/>
      <c r="AA392" s="125"/>
      <c r="AB392" s="125"/>
      <c r="AC392" s="125"/>
      <c r="AD392" s="125"/>
      <c r="AE392" s="125"/>
      <c r="AF392" s="125"/>
      <c r="AG392" s="125"/>
      <c r="AH392" s="125"/>
      <c r="AI392" s="125"/>
      <c r="AJ392" s="125"/>
      <c r="AK392" s="125"/>
      <c r="AL392" s="125"/>
      <c r="AM392" s="125"/>
      <c r="AN392" s="125"/>
      <c r="AO392" s="125"/>
      <c r="AP392" s="125"/>
      <c r="AQ392" s="125"/>
      <c r="AR392" s="125"/>
      <c r="AS392" s="125"/>
      <c r="AT392" s="125"/>
      <c r="AU392" s="125"/>
      <c r="AV392" s="125"/>
      <c r="AW392" s="125"/>
      <c r="AX392" s="125"/>
      <c r="AY392" s="125"/>
      <c r="AZ392" s="125"/>
      <c r="BA392" s="125"/>
      <c r="BB392" s="125"/>
      <c r="BC392" s="125"/>
      <c r="BD392" s="125"/>
      <c r="BE392" s="125"/>
      <c r="BF392" s="125"/>
    </row>
    <row r="393" spans="1:58" ht="15.75" customHeight="1">
      <c r="A393" s="125"/>
      <c r="B393" s="125"/>
      <c r="C393" s="125"/>
      <c r="D393" s="125"/>
      <c r="E393" s="125"/>
      <c r="F393" s="125"/>
      <c r="G393" s="125"/>
      <c r="H393" s="125"/>
      <c r="I393" s="125"/>
      <c r="J393" s="125"/>
      <c r="K393" s="125"/>
      <c r="L393" s="125"/>
      <c r="M393" s="125"/>
      <c r="N393" s="125"/>
      <c r="O393" s="125"/>
      <c r="P393" s="125"/>
      <c r="Q393" s="125"/>
      <c r="R393" s="125"/>
      <c r="S393" s="125"/>
      <c r="T393" s="125"/>
      <c r="U393" s="125"/>
      <c r="V393" s="125"/>
      <c r="W393" s="125"/>
      <c r="X393" s="125"/>
      <c r="Y393" s="125"/>
      <c r="Z393" s="125"/>
      <c r="AA393" s="125"/>
      <c r="AB393" s="125"/>
      <c r="AC393" s="125"/>
      <c r="AD393" s="125"/>
      <c r="AE393" s="125"/>
      <c r="AF393" s="125"/>
      <c r="AG393" s="125"/>
      <c r="AH393" s="125"/>
      <c r="AI393" s="125"/>
      <c r="AJ393" s="125"/>
      <c r="AK393" s="125"/>
      <c r="AL393" s="125"/>
      <c r="AM393" s="125"/>
      <c r="AN393" s="125"/>
      <c r="AO393" s="125"/>
      <c r="AP393" s="125"/>
      <c r="AQ393" s="125"/>
      <c r="AR393" s="125"/>
      <c r="AS393" s="125"/>
      <c r="AT393" s="125"/>
      <c r="AU393" s="125"/>
      <c r="AV393" s="125"/>
      <c r="AW393" s="125"/>
      <c r="AX393" s="125"/>
      <c r="AY393" s="125"/>
      <c r="AZ393" s="125"/>
      <c r="BA393" s="125"/>
      <c r="BB393" s="125"/>
      <c r="BC393" s="125"/>
      <c r="BD393" s="125"/>
      <c r="BE393" s="125"/>
      <c r="BF393" s="125"/>
    </row>
    <row r="394" spans="1:58" ht="15.75" customHeight="1">
      <c r="A394" s="125"/>
      <c r="B394" s="125"/>
      <c r="C394" s="125"/>
      <c r="D394" s="125"/>
      <c r="E394" s="125"/>
      <c r="F394" s="125"/>
      <c r="G394" s="125"/>
      <c r="H394" s="125"/>
      <c r="I394" s="125"/>
      <c r="J394" s="125"/>
      <c r="K394" s="125"/>
      <c r="L394" s="125"/>
      <c r="M394" s="125"/>
      <c r="N394" s="125"/>
      <c r="O394" s="125"/>
      <c r="P394" s="125"/>
      <c r="Q394" s="125"/>
      <c r="R394" s="125"/>
      <c r="S394" s="125"/>
      <c r="T394" s="125"/>
      <c r="U394" s="125"/>
      <c r="V394" s="125"/>
      <c r="W394" s="125"/>
      <c r="X394" s="125"/>
      <c r="Y394" s="125"/>
      <c r="Z394" s="125"/>
      <c r="AA394" s="125"/>
      <c r="AB394" s="125"/>
      <c r="AC394" s="125"/>
      <c r="AD394" s="125"/>
      <c r="AE394" s="125"/>
      <c r="AF394" s="125"/>
      <c r="AG394" s="125"/>
      <c r="AH394" s="125"/>
      <c r="AI394" s="125"/>
      <c r="AJ394" s="125"/>
      <c r="AK394" s="125"/>
      <c r="AL394" s="125"/>
      <c r="AM394" s="125"/>
      <c r="AN394" s="125"/>
      <c r="AO394" s="125"/>
      <c r="AP394" s="125"/>
      <c r="AQ394" s="125"/>
      <c r="AR394" s="125"/>
      <c r="AS394" s="125"/>
      <c r="AT394" s="125"/>
      <c r="AU394" s="125"/>
      <c r="AV394" s="125"/>
      <c r="AW394" s="125"/>
      <c r="AX394" s="125"/>
      <c r="AY394" s="125"/>
      <c r="AZ394" s="125"/>
      <c r="BA394" s="125"/>
      <c r="BB394" s="125"/>
      <c r="BC394" s="125"/>
      <c r="BD394" s="125"/>
      <c r="BE394" s="125"/>
      <c r="BF394" s="125"/>
    </row>
    <row r="395" spans="1:58" ht="15.75" customHeight="1">
      <c r="A395" s="125"/>
      <c r="B395" s="125"/>
      <c r="C395" s="125"/>
      <c r="D395" s="125"/>
      <c r="E395" s="125"/>
      <c r="F395" s="125"/>
      <c r="G395" s="125"/>
      <c r="H395" s="125"/>
      <c r="I395" s="125"/>
      <c r="J395" s="125"/>
      <c r="K395" s="125"/>
      <c r="L395" s="125"/>
      <c r="M395" s="125"/>
      <c r="N395" s="125"/>
      <c r="O395" s="125"/>
      <c r="P395" s="125"/>
      <c r="Q395" s="125"/>
      <c r="R395" s="125"/>
      <c r="S395" s="125"/>
      <c r="T395" s="125"/>
      <c r="U395" s="125"/>
      <c r="V395" s="125"/>
      <c r="W395" s="125"/>
      <c r="X395" s="125"/>
      <c r="Y395" s="125"/>
      <c r="Z395" s="125"/>
      <c r="AA395" s="125"/>
      <c r="AB395" s="125"/>
      <c r="AC395" s="125"/>
      <c r="AD395" s="125"/>
      <c r="AE395" s="125"/>
      <c r="AF395" s="125"/>
      <c r="AG395" s="125"/>
      <c r="AH395" s="125"/>
      <c r="AI395" s="125"/>
      <c r="AJ395" s="125"/>
      <c r="AK395" s="125"/>
      <c r="AL395" s="125"/>
      <c r="AM395" s="125"/>
      <c r="AN395" s="125"/>
      <c r="AO395" s="125"/>
      <c r="AP395" s="125"/>
      <c r="AQ395" s="125"/>
      <c r="AR395" s="125"/>
      <c r="AS395" s="125"/>
      <c r="AT395" s="125"/>
      <c r="AU395" s="125"/>
      <c r="AV395" s="125"/>
      <c r="AW395" s="125"/>
      <c r="AX395" s="125"/>
      <c r="AY395" s="125"/>
      <c r="AZ395" s="125"/>
      <c r="BA395" s="125"/>
      <c r="BB395" s="125"/>
      <c r="BC395" s="125"/>
      <c r="BD395" s="125"/>
      <c r="BE395" s="125"/>
      <c r="BF395" s="125"/>
    </row>
    <row r="396" spans="1:58" ht="15.75" customHeight="1">
      <c r="A396" s="125"/>
      <c r="B396" s="125"/>
      <c r="C396" s="125"/>
      <c r="D396" s="125"/>
      <c r="E396" s="125"/>
      <c r="F396" s="125"/>
      <c r="G396" s="125"/>
      <c r="H396" s="125"/>
      <c r="I396" s="125"/>
      <c r="J396" s="125"/>
      <c r="K396" s="125"/>
      <c r="L396" s="125"/>
      <c r="M396" s="125"/>
      <c r="N396" s="125"/>
      <c r="O396" s="125"/>
      <c r="P396" s="125"/>
      <c r="Q396" s="125"/>
      <c r="R396" s="125"/>
      <c r="S396" s="125"/>
      <c r="T396" s="125"/>
      <c r="U396" s="125"/>
      <c r="V396" s="125"/>
      <c r="W396" s="125"/>
      <c r="X396" s="125"/>
      <c r="Y396" s="125"/>
      <c r="Z396" s="125"/>
      <c r="AA396" s="125"/>
      <c r="AB396" s="125"/>
      <c r="AC396" s="125"/>
      <c r="AD396" s="125"/>
      <c r="AE396" s="125"/>
      <c r="AF396" s="125"/>
      <c r="AG396" s="125"/>
      <c r="AH396" s="125"/>
      <c r="AI396" s="125"/>
      <c r="AJ396" s="125"/>
      <c r="AK396" s="125"/>
      <c r="AL396" s="125"/>
      <c r="AM396" s="125"/>
      <c r="AN396" s="125"/>
      <c r="AO396" s="125"/>
      <c r="AP396" s="125"/>
      <c r="AQ396" s="125"/>
      <c r="AR396" s="125"/>
      <c r="AS396" s="125"/>
      <c r="AT396" s="125"/>
      <c r="AU396" s="125"/>
      <c r="AV396" s="125"/>
      <c r="AW396" s="125"/>
      <c r="AX396" s="125"/>
      <c r="AY396" s="125"/>
      <c r="AZ396" s="125"/>
      <c r="BA396" s="125"/>
      <c r="BB396" s="125"/>
      <c r="BC396" s="125"/>
      <c r="BD396" s="125"/>
      <c r="BE396" s="125"/>
      <c r="BF396" s="125"/>
    </row>
    <row r="397" spans="1:58" ht="15.75" customHeight="1">
      <c r="A397" s="125"/>
      <c r="B397" s="125"/>
      <c r="C397" s="125"/>
      <c r="D397" s="125"/>
      <c r="E397" s="125"/>
      <c r="F397" s="125"/>
      <c r="G397" s="125"/>
      <c r="H397" s="125"/>
      <c r="I397" s="125"/>
      <c r="J397" s="125"/>
      <c r="K397" s="125"/>
      <c r="L397" s="125"/>
      <c r="M397" s="125"/>
      <c r="N397" s="125"/>
      <c r="O397" s="125"/>
      <c r="P397" s="125"/>
      <c r="Q397" s="125"/>
      <c r="R397" s="125"/>
      <c r="S397" s="125"/>
      <c r="T397" s="125"/>
      <c r="U397" s="125"/>
      <c r="V397" s="125"/>
      <c r="W397" s="125"/>
      <c r="X397" s="125"/>
      <c r="Y397" s="125"/>
      <c r="Z397" s="125"/>
      <c r="AA397" s="125"/>
      <c r="AB397" s="125"/>
      <c r="AC397" s="125"/>
      <c r="AD397" s="125"/>
      <c r="AE397" s="125"/>
      <c r="AF397" s="125"/>
      <c r="AG397" s="125"/>
      <c r="AH397" s="125"/>
      <c r="AI397" s="125"/>
      <c r="AJ397" s="125"/>
      <c r="AK397" s="125"/>
      <c r="AL397" s="125"/>
      <c r="AM397" s="125"/>
      <c r="AN397" s="125"/>
      <c r="AO397" s="125"/>
      <c r="AP397" s="125"/>
      <c r="AQ397" s="125"/>
      <c r="AR397" s="125"/>
      <c r="AS397" s="125"/>
      <c r="AT397" s="125"/>
      <c r="AU397" s="125"/>
      <c r="AV397" s="125"/>
      <c r="AW397" s="125"/>
      <c r="AX397" s="125"/>
      <c r="AY397" s="125"/>
      <c r="AZ397" s="125"/>
      <c r="BA397" s="125"/>
      <c r="BB397" s="125"/>
      <c r="BC397" s="125"/>
      <c r="BD397" s="125"/>
      <c r="BE397" s="125"/>
      <c r="BF397" s="125"/>
    </row>
    <row r="398" spans="1:58" ht="15.75" customHeight="1">
      <c r="A398" s="125"/>
      <c r="B398" s="125"/>
      <c r="C398" s="125"/>
      <c r="D398" s="125"/>
      <c r="E398" s="125"/>
      <c r="F398" s="125"/>
      <c r="G398" s="125"/>
      <c r="H398" s="125"/>
      <c r="I398" s="125"/>
      <c r="J398" s="125"/>
      <c r="K398" s="125"/>
      <c r="L398" s="125"/>
      <c r="M398" s="125"/>
      <c r="N398" s="125"/>
      <c r="O398" s="125"/>
      <c r="P398" s="125"/>
      <c r="Q398" s="125"/>
      <c r="R398" s="125"/>
      <c r="S398" s="125"/>
      <c r="T398" s="125"/>
      <c r="U398" s="125"/>
      <c r="V398" s="125"/>
      <c r="W398" s="125"/>
      <c r="X398" s="125"/>
      <c r="Y398" s="125"/>
      <c r="Z398" s="125"/>
      <c r="AA398" s="125"/>
      <c r="AB398" s="125"/>
      <c r="AC398" s="125"/>
      <c r="AD398" s="125"/>
      <c r="AE398" s="125"/>
      <c r="AF398" s="125"/>
      <c r="AG398" s="125"/>
      <c r="AH398" s="125"/>
      <c r="AI398" s="125"/>
      <c r="AJ398" s="125"/>
      <c r="AK398" s="125"/>
      <c r="AL398" s="125"/>
      <c r="AM398" s="125"/>
      <c r="AN398" s="125"/>
      <c r="AO398" s="125"/>
      <c r="AP398" s="125"/>
      <c r="AQ398" s="125"/>
      <c r="AR398" s="125"/>
      <c r="AS398" s="125"/>
      <c r="AT398" s="125"/>
      <c r="AU398" s="125"/>
      <c r="AV398" s="125"/>
      <c r="AW398" s="125"/>
      <c r="AX398" s="125"/>
      <c r="AY398" s="125"/>
      <c r="AZ398" s="125"/>
      <c r="BA398" s="125"/>
      <c r="BB398" s="125"/>
      <c r="BC398" s="125"/>
      <c r="BD398" s="125"/>
      <c r="BE398" s="125"/>
      <c r="BF398" s="125"/>
    </row>
    <row r="399" spans="1:58" ht="15.75" customHeight="1">
      <c r="A399" s="125"/>
      <c r="B399" s="125"/>
      <c r="C399" s="125"/>
      <c r="D399" s="125"/>
      <c r="E399" s="125"/>
      <c r="F399" s="125"/>
      <c r="G399" s="125"/>
      <c r="H399" s="125"/>
      <c r="I399" s="125"/>
      <c r="J399" s="125"/>
      <c r="K399" s="125"/>
      <c r="L399" s="125"/>
      <c r="M399" s="125"/>
      <c r="N399" s="125"/>
      <c r="O399" s="125"/>
      <c r="P399" s="125"/>
      <c r="Q399" s="125"/>
      <c r="R399" s="125"/>
      <c r="S399" s="125"/>
      <c r="T399" s="125"/>
      <c r="U399" s="125"/>
      <c r="V399" s="125"/>
      <c r="W399" s="125"/>
      <c r="X399" s="125"/>
      <c r="Y399" s="125"/>
      <c r="Z399" s="125"/>
      <c r="AA399" s="125"/>
      <c r="AB399" s="125"/>
      <c r="AC399" s="125"/>
      <c r="AD399" s="125"/>
      <c r="AE399" s="125"/>
      <c r="AF399" s="125"/>
      <c r="AG399" s="125"/>
      <c r="AH399" s="125"/>
      <c r="AI399" s="125"/>
      <c r="AJ399" s="125"/>
      <c r="AK399" s="125"/>
      <c r="AL399" s="125"/>
      <c r="AM399" s="125"/>
      <c r="AN399" s="125"/>
      <c r="AO399" s="125"/>
      <c r="AP399" s="125"/>
      <c r="AQ399" s="125"/>
      <c r="AR399" s="125"/>
      <c r="AS399" s="125"/>
      <c r="AT399" s="125"/>
      <c r="AU399" s="125"/>
      <c r="AV399" s="125"/>
      <c r="AW399" s="125"/>
      <c r="AX399" s="125"/>
      <c r="AY399" s="125"/>
      <c r="AZ399" s="125"/>
      <c r="BA399" s="125"/>
      <c r="BB399" s="125"/>
      <c r="BC399" s="125"/>
      <c r="BD399" s="125"/>
      <c r="BE399" s="125"/>
      <c r="BF399" s="125"/>
    </row>
    <row r="400" spans="1:58" ht="15.75" customHeight="1">
      <c r="A400" s="125"/>
      <c r="B400" s="125"/>
      <c r="C400" s="125"/>
      <c r="D400" s="125"/>
      <c r="E400" s="125"/>
      <c r="F400" s="125"/>
      <c r="G400" s="125"/>
      <c r="H400" s="125"/>
      <c r="I400" s="125"/>
      <c r="J400" s="125"/>
      <c r="K400" s="125"/>
      <c r="L400" s="125"/>
      <c r="M400" s="125"/>
      <c r="N400" s="125"/>
      <c r="O400" s="125"/>
      <c r="P400" s="125"/>
      <c r="Q400" s="125"/>
      <c r="R400" s="125"/>
      <c r="S400" s="125"/>
      <c r="T400" s="125"/>
      <c r="U400" s="125"/>
      <c r="V400" s="125"/>
      <c r="W400" s="125"/>
      <c r="X400" s="125"/>
      <c r="Y400" s="125"/>
      <c r="Z400" s="125"/>
      <c r="AA400" s="125"/>
      <c r="AB400" s="125"/>
      <c r="AC400" s="125"/>
      <c r="AD400" s="125"/>
      <c r="AE400" s="125"/>
      <c r="AF400" s="125"/>
      <c r="AG400" s="125"/>
      <c r="AH400" s="125"/>
      <c r="AI400" s="125"/>
      <c r="AJ400" s="125"/>
      <c r="AK400" s="125"/>
      <c r="AL400" s="125"/>
      <c r="AM400" s="125"/>
      <c r="AN400" s="125"/>
      <c r="AO400" s="125"/>
      <c r="AP400" s="125"/>
      <c r="AQ400" s="125"/>
      <c r="AR400" s="125"/>
      <c r="AS400" s="125"/>
      <c r="AT400" s="125"/>
      <c r="AU400" s="125"/>
      <c r="AV400" s="125"/>
      <c r="AW400" s="125"/>
      <c r="AX400" s="125"/>
      <c r="AY400" s="125"/>
      <c r="AZ400" s="125"/>
      <c r="BA400" s="125"/>
      <c r="BB400" s="125"/>
      <c r="BC400" s="125"/>
      <c r="BD400" s="125"/>
      <c r="BE400" s="125"/>
      <c r="BF400" s="125"/>
    </row>
    <row r="401" spans="1:58" ht="15.75" customHeight="1">
      <c r="A401" s="125"/>
      <c r="B401" s="125"/>
      <c r="C401" s="125"/>
      <c r="D401" s="125"/>
      <c r="E401" s="125"/>
      <c r="F401" s="125"/>
      <c r="G401" s="125"/>
      <c r="H401" s="125"/>
      <c r="I401" s="125"/>
      <c r="J401" s="125"/>
      <c r="K401" s="125"/>
      <c r="L401" s="125"/>
      <c r="M401" s="125"/>
      <c r="N401" s="125"/>
      <c r="O401" s="125"/>
      <c r="P401" s="125"/>
      <c r="Q401" s="125"/>
      <c r="R401" s="125"/>
      <c r="S401" s="125"/>
      <c r="T401" s="125"/>
      <c r="U401" s="125"/>
      <c r="V401" s="125"/>
      <c r="W401" s="125"/>
      <c r="X401" s="125"/>
      <c r="Y401" s="125"/>
      <c r="Z401" s="125"/>
      <c r="AA401" s="125"/>
      <c r="AB401" s="125"/>
      <c r="AC401" s="125"/>
      <c r="AD401" s="125"/>
      <c r="AE401" s="125"/>
      <c r="AF401" s="125"/>
      <c r="AG401" s="125"/>
      <c r="AH401" s="125"/>
      <c r="AI401" s="125"/>
      <c r="AJ401" s="125"/>
      <c r="AK401" s="125"/>
      <c r="AL401" s="125"/>
      <c r="AM401" s="125"/>
      <c r="AN401" s="125"/>
      <c r="AO401" s="125"/>
      <c r="AP401" s="125"/>
      <c r="AQ401" s="125"/>
      <c r="AR401" s="125"/>
      <c r="AS401" s="125"/>
      <c r="AT401" s="125"/>
      <c r="AU401" s="125"/>
      <c r="AV401" s="125"/>
      <c r="AW401" s="125"/>
      <c r="AX401" s="125"/>
      <c r="AY401" s="125"/>
      <c r="AZ401" s="125"/>
      <c r="BA401" s="125"/>
      <c r="BB401" s="125"/>
      <c r="BC401" s="125"/>
      <c r="BD401" s="125"/>
      <c r="BE401" s="125"/>
      <c r="BF401" s="125"/>
    </row>
    <row r="402" spans="1:58" ht="15.75" customHeight="1">
      <c r="A402" s="125"/>
      <c r="B402" s="125"/>
      <c r="C402" s="125"/>
      <c r="D402" s="125"/>
      <c r="E402" s="125"/>
      <c r="F402" s="125"/>
      <c r="G402" s="125"/>
      <c r="H402" s="125"/>
      <c r="I402" s="125"/>
      <c r="J402" s="125"/>
      <c r="K402" s="125"/>
      <c r="L402" s="125"/>
      <c r="M402" s="125"/>
      <c r="N402" s="125"/>
      <c r="O402" s="125"/>
      <c r="P402" s="125"/>
      <c r="Q402" s="125"/>
      <c r="R402" s="125"/>
      <c r="S402" s="125"/>
      <c r="T402" s="125"/>
      <c r="U402" s="125"/>
      <c r="V402" s="125"/>
      <c r="W402" s="125"/>
      <c r="X402" s="125"/>
      <c r="Y402" s="125"/>
      <c r="Z402" s="125"/>
      <c r="AA402" s="125"/>
      <c r="AB402" s="125"/>
      <c r="AC402" s="125"/>
      <c r="AD402" s="125"/>
      <c r="AE402" s="125"/>
      <c r="AF402" s="125"/>
      <c r="AG402" s="125"/>
      <c r="AH402" s="125"/>
      <c r="AI402" s="125"/>
      <c r="AJ402" s="125"/>
      <c r="AK402" s="125"/>
      <c r="AL402" s="125"/>
      <c r="AM402" s="125"/>
      <c r="AN402" s="125"/>
      <c r="AO402" s="125"/>
      <c r="AP402" s="125"/>
      <c r="AQ402" s="125"/>
      <c r="AR402" s="125"/>
      <c r="AS402" s="125"/>
      <c r="AT402" s="125"/>
      <c r="AU402" s="125"/>
      <c r="AV402" s="125"/>
      <c r="AW402" s="125"/>
      <c r="AX402" s="125"/>
      <c r="AY402" s="125"/>
      <c r="AZ402" s="125"/>
      <c r="BA402" s="125"/>
      <c r="BB402" s="125"/>
      <c r="BC402" s="125"/>
      <c r="BD402" s="125"/>
      <c r="BE402" s="125"/>
      <c r="BF402" s="125"/>
    </row>
    <row r="403" spans="1:58" ht="15.75" customHeight="1">
      <c r="A403" s="125"/>
      <c r="B403" s="125"/>
      <c r="C403" s="125"/>
      <c r="D403" s="125"/>
      <c r="E403" s="125"/>
      <c r="F403" s="125"/>
      <c r="G403" s="125"/>
      <c r="H403" s="125"/>
      <c r="I403" s="125"/>
      <c r="J403" s="125"/>
      <c r="K403" s="125"/>
      <c r="L403" s="125"/>
      <c r="M403" s="125"/>
      <c r="N403" s="125"/>
      <c r="O403" s="125"/>
      <c r="P403" s="125"/>
      <c r="Q403" s="125"/>
      <c r="R403" s="125"/>
      <c r="S403" s="125"/>
      <c r="T403" s="125"/>
      <c r="U403" s="125"/>
      <c r="V403" s="125"/>
      <c r="W403" s="125"/>
      <c r="X403" s="125"/>
      <c r="Y403" s="125"/>
      <c r="Z403" s="125"/>
      <c r="AA403" s="125"/>
      <c r="AB403" s="125"/>
      <c r="AC403" s="125"/>
      <c r="AD403" s="125"/>
      <c r="AE403" s="125"/>
      <c r="AF403" s="125"/>
      <c r="AG403" s="125"/>
      <c r="AH403" s="125"/>
      <c r="AI403" s="125"/>
      <c r="AJ403" s="125"/>
      <c r="AK403" s="125"/>
      <c r="AL403" s="125"/>
      <c r="AM403" s="125"/>
      <c r="AN403" s="125"/>
      <c r="AO403" s="125"/>
      <c r="AP403" s="125"/>
      <c r="AQ403" s="125"/>
      <c r="AR403" s="125"/>
      <c r="AS403" s="125"/>
      <c r="AT403" s="125"/>
      <c r="AU403" s="125"/>
      <c r="AV403" s="125"/>
      <c r="AW403" s="125"/>
      <c r="AX403" s="125"/>
      <c r="AY403" s="125"/>
      <c r="AZ403" s="125"/>
      <c r="BA403" s="125"/>
      <c r="BB403" s="125"/>
      <c r="BC403" s="125"/>
      <c r="BD403" s="125"/>
      <c r="BE403" s="125"/>
      <c r="BF403" s="125"/>
    </row>
    <row r="404" spans="1:58" ht="15.75" customHeight="1">
      <c r="A404" s="125"/>
      <c r="B404" s="125"/>
      <c r="C404" s="125"/>
      <c r="D404" s="125"/>
      <c r="E404" s="125"/>
      <c r="F404" s="125"/>
      <c r="G404" s="125"/>
      <c r="H404" s="125"/>
      <c r="I404" s="125"/>
      <c r="J404" s="125"/>
      <c r="K404" s="125"/>
      <c r="L404" s="125"/>
      <c r="M404" s="125"/>
      <c r="N404" s="125"/>
      <c r="O404" s="125"/>
      <c r="P404" s="125"/>
      <c r="Q404" s="125"/>
      <c r="R404" s="125"/>
      <c r="S404" s="125"/>
      <c r="T404" s="125"/>
      <c r="U404" s="125"/>
      <c r="V404" s="125"/>
      <c r="W404" s="125"/>
      <c r="X404" s="125"/>
      <c r="Y404" s="125"/>
      <c r="Z404" s="125"/>
      <c r="AA404" s="125"/>
      <c r="AB404" s="125"/>
      <c r="AC404" s="125"/>
      <c r="AD404" s="125"/>
      <c r="AE404" s="125"/>
      <c r="AF404" s="125"/>
      <c r="AG404" s="125"/>
      <c r="AH404" s="125"/>
      <c r="AI404" s="125"/>
      <c r="AJ404" s="125"/>
      <c r="AK404" s="125"/>
      <c r="AL404" s="125"/>
      <c r="AM404" s="125"/>
      <c r="AN404" s="125"/>
      <c r="AO404" s="125"/>
      <c r="AP404" s="125"/>
      <c r="AQ404" s="125"/>
      <c r="AR404" s="125"/>
      <c r="AS404" s="125"/>
      <c r="AT404" s="125"/>
      <c r="AU404" s="125"/>
      <c r="AV404" s="125"/>
      <c r="AW404" s="125"/>
      <c r="AX404" s="125"/>
      <c r="AY404" s="125"/>
      <c r="AZ404" s="125"/>
      <c r="BA404" s="125"/>
      <c r="BB404" s="125"/>
      <c r="BC404" s="125"/>
      <c r="BD404" s="125"/>
      <c r="BE404" s="125"/>
      <c r="BF404" s="125"/>
    </row>
    <row r="405" spans="1:58" ht="15.75" customHeight="1">
      <c r="A405" s="125"/>
      <c r="B405" s="125"/>
      <c r="C405" s="125"/>
      <c r="D405" s="125"/>
      <c r="E405" s="125"/>
      <c r="F405" s="125"/>
      <c r="G405" s="125"/>
      <c r="H405" s="125"/>
      <c r="I405" s="125"/>
      <c r="J405" s="125"/>
      <c r="K405" s="125"/>
      <c r="L405" s="125"/>
      <c r="M405" s="125"/>
      <c r="N405" s="125"/>
      <c r="O405" s="125"/>
      <c r="P405" s="125"/>
      <c r="Q405" s="125"/>
      <c r="R405" s="125"/>
      <c r="S405" s="125"/>
      <c r="T405" s="125"/>
      <c r="U405" s="125"/>
      <c r="V405" s="125"/>
      <c r="W405" s="125"/>
      <c r="X405" s="125"/>
      <c r="Y405" s="125"/>
      <c r="Z405" s="125"/>
      <c r="AA405" s="125"/>
      <c r="AB405" s="125"/>
      <c r="AC405" s="125"/>
      <c r="AD405" s="125"/>
      <c r="AE405" s="125"/>
      <c r="AF405" s="125"/>
      <c r="AG405" s="125"/>
      <c r="AH405" s="125"/>
      <c r="AI405" s="125"/>
      <c r="AJ405" s="125"/>
      <c r="AK405" s="125"/>
      <c r="AL405" s="125"/>
      <c r="AM405" s="125"/>
      <c r="AN405" s="125"/>
      <c r="AO405" s="125"/>
      <c r="AP405" s="125"/>
      <c r="AQ405" s="125"/>
      <c r="AR405" s="125"/>
      <c r="AS405" s="125"/>
      <c r="AT405" s="125"/>
      <c r="AU405" s="125"/>
      <c r="AV405" s="125"/>
      <c r="AW405" s="125"/>
      <c r="AX405" s="125"/>
      <c r="AY405" s="125"/>
      <c r="AZ405" s="125"/>
      <c r="BA405" s="125"/>
      <c r="BB405" s="125"/>
      <c r="BC405" s="125"/>
      <c r="BD405" s="125"/>
      <c r="BE405" s="125"/>
      <c r="BF405" s="125"/>
    </row>
    <row r="406" spans="1:58" ht="15.75" customHeight="1">
      <c r="A406" s="125"/>
      <c r="B406" s="125"/>
      <c r="C406" s="125"/>
      <c r="D406" s="125"/>
      <c r="E406" s="125"/>
      <c r="F406" s="125"/>
      <c r="G406" s="125"/>
      <c r="H406" s="125"/>
      <c r="I406" s="125"/>
      <c r="J406" s="125"/>
      <c r="K406" s="125"/>
      <c r="L406" s="125"/>
      <c r="M406" s="125"/>
      <c r="N406" s="125"/>
      <c r="O406" s="125"/>
      <c r="P406" s="125"/>
      <c r="Q406" s="125"/>
      <c r="R406" s="125"/>
      <c r="S406" s="125"/>
      <c r="T406" s="125"/>
      <c r="U406" s="125"/>
      <c r="V406" s="125"/>
      <c r="W406" s="125"/>
      <c r="X406" s="125"/>
      <c r="Y406" s="125"/>
      <c r="Z406" s="125"/>
      <c r="AA406" s="125"/>
      <c r="AB406" s="125"/>
      <c r="AC406" s="125"/>
      <c r="AD406" s="125"/>
      <c r="AE406" s="125"/>
      <c r="AF406" s="125"/>
      <c r="AG406" s="125"/>
      <c r="AH406" s="125"/>
      <c r="AI406" s="125"/>
      <c r="AJ406" s="125"/>
      <c r="AK406" s="125"/>
      <c r="AL406" s="125"/>
      <c r="AM406" s="125"/>
      <c r="AN406" s="125"/>
      <c r="AO406" s="125"/>
      <c r="AP406" s="125"/>
      <c r="AQ406" s="125"/>
      <c r="AR406" s="125"/>
      <c r="AS406" s="125"/>
      <c r="AT406" s="125"/>
      <c r="AU406" s="125"/>
      <c r="AV406" s="125"/>
      <c r="AW406" s="125"/>
      <c r="AX406" s="125"/>
      <c r="AY406" s="125"/>
      <c r="AZ406" s="125"/>
      <c r="BA406" s="125"/>
      <c r="BB406" s="125"/>
      <c r="BC406" s="125"/>
      <c r="BD406" s="125"/>
      <c r="BE406" s="125"/>
      <c r="BF406" s="125"/>
    </row>
    <row r="407" spans="1:58" ht="15.75" customHeight="1">
      <c r="A407" s="125"/>
      <c r="B407" s="125"/>
      <c r="C407" s="125"/>
      <c r="D407" s="125"/>
      <c r="E407" s="125"/>
      <c r="F407" s="125"/>
      <c r="G407" s="125"/>
      <c r="H407" s="125"/>
      <c r="I407" s="125"/>
      <c r="J407" s="125"/>
      <c r="K407" s="125"/>
      <c r="L407" s="125"/>
      <c r="M407" s="125"/>
      <c r="N407" s="125"/>
      <c r="O407" s="125"/>
      <c r="P407" s="125"/>
      <c r="Q407" s="125"/>
      <c r="R407" s="125"/>
      <c r="S407" s="125"/>
      <c r="T407" s="125"/>
      <c r="U407" s="125"/>
      <c r="V407" s="125"/>
      <c r="W407" s="125"/>
      <c r="X407" s="125"/>
      <c r="Y407" s="125"/>
      <c r="Z407" s="125"/>
      <c r="AA407" s="125"/>
      <c r="AB407" s="125"/>
      <c r="AC407" s="125"/>
      <c r="AD407" s="125"/>
      <c r="AE407" s="125"/>
      <c r="AF407" s="125"/>
      <c r="AG407" s="125"/>
      <c r="AH407" s="125"/>
      <c r="AI407" s="125"/>
      <c r="AJ407" s="125"/>
      <c r="AK407" s="125"/>
      <c r="AL407" s="125"/>
      <c r="AM407" s="125"/>
      <c r="AN407" s="125"/>
      <c r="AO407" s="125"/>
      <c r="AP407" s="125"/>
      <c r="AQ407" s="125"/>
      <c r="AR407" s="125"/>
      <c r="AS407" s="125"/>
      <c r="AT407" s="125"/>
      <c r="AU407" s="125"/>
      <c r="AV407" s="125"/>
      <c r="AW407" s="125"/>
      <c r="AX407" s="125"/>
      <c r="AY407" s="125"/>
      <c r="AZ407" s="125"/>
      <c r="BA407" s="125"/>
      <c r="BB407" s="125"/>
      <c r="BC407" s="125"/>
      <c r="BD407" s="125"/>
      <c r="BE407" s="125"/>
      <c r="BF407" s="125"/>
    </row>
    <row r="408" spans="1:58" ht="15.75" customHeight="1">
      <c r="A408" s="125"/>
      <c r="B408" s="125"/>
      <c r="C408" s="125"/>
      <c r="D408" s="125"/>
      <c r="E408" s="125"/>
      <c r="F408" s="125"/>
      <c r="G408" s="125"/>
      <c r="H408" s="125"/>
      <c r="I408" s="125"/>
      <c r="J408" s="125"/>
      <c r="K408" s="125"/>
      <c r="L408" s="125"/>
      <c r="M408" s="125"/>
      <c r="N408" s="125"/>
      <c r="O408" s="125"/>
      <c r="P408" s="125"/>
      <c r="Q408" s="125"/>
      <c r="R408" s="125"/>
      <c r="S408" s="125"/>
      <c r="T408" s="125"/>
      <c r="U408" s="125"/>
      <c r="V408" s="125"/>
      <c r="W408" s="125"/>
      <c r="X408" s="125"/>
      <c r="Y408" s="125"/>
      <c r="Z408" s="125"/>
      <c r="AA408" s="125"/>
      <c r="AB408" s="125"/>
      <c r="AC408" s="125"/>
      <c r="AD408" s="125"/>
      <c r="AE408" s="125"/>
      <c r="AF408" s="125"/>
      <c r="AG408" s="125"/>
      <c r="AH408" s="125"/>
      <c r="AI408" s="125"/>
      <c r="AJ408" s="125"/>
      <c r="AK408" s="125"/>
      <c r="AL408" s="125"/>
      <c r="AM408" s="125"/>
      <c r="AN408" s="125"/>
      <c r="AO408" s="125"/>
      <c r="AP408" s="125"/>
      <c r="AQ408" s="125"/>
      <c r="AR408" s="125"/>
      <c r="AS408" s="125"/>
      <c r="AT408" s="125"/>
      <c r="AU408" s="125"/>
      <c r="AV408" s="125"/>
      <c r="AW408" s="125"/>
      <c r="AX408" s="125"/>
      <c r="AY408" s="125"/>
      <c r="AZ408" s="125"/>
      <c r="BA408" s="125"/>
      <c r="BB408" s="125"/>
      <c r="BC408" s="125"/>
      <c r="BD408" s="125"/>
      <c r="BE408" s="125"/>
      <c r="BF408" s="125"/>
    </row>
    <row r="409" spans="1:58" ht="15.75" customHeight="1">
      <c r="A409" s="125"/>
      <c r="B409" s="125"/>
      <c r="C409" s="125"/>
      <c r="D409" s="125"/>
      <c r="E409" s="125"/>
      <c r="F409" s="125"/>
      <c r="G409" s="125"/>
      <c r="H409" s="125"/>
      <c r="I409" s="125"/>
      <c r="J409" s="125"/>
      <c r="K409" s="125"/>
      <c r="L409" s="125"/>
      <c r="M409" s="125"/>
      <c r="N409" s="125"/>
      <c r="O409" s="125"/>
      <c r="P409" s="125"/>
      <c r="Q409" s="125"/>
      <c r="R409" s="125"/>
      <c r="S409" s="125"/>
      <c r="T409" s="125"/>
      <c r="U409" s="125"/>
      <c r="V409" s="125"/>
      <c r="W409" s="125"/>
      <c r="X409" s="125"/>
      <c r="Y409" s="125"/>
      <c r="Z409" s="125"/>
      <c r="AA409" s="125"/>
      <c r="AB409" s="125"/>
      <c r="AC409" s="125"/>
      <c r="AD409" s="125"/>
      <c r="AE409" s="125"/>
      <c r="AF409" s="125"/>
      <c r="AG409" s="125"/>
      <c r="AH409" s="125"/>
      <c r="AI409" s="125"/>
      <c r="AJ409" s="125"/>
      <c r="AK409" s="125"/>
      <c r="AL409" s="125"/>
      <c r="AM409" s="125"/>
      <c r="AN409" s="125"/>
      <c r="AO409" s="125"/>
      <c r="AP409" s="125"/>
      <c r="AQ409" s="125"/>
      <c r="AR409" s="125"/>
      <c r="AS409" s="125"/>
      <c r="AT409" s="125"/>
      <c r="AU409" s="125"/>
      <c r="AV409" s="125"/>
      <c r="AW409" s="125"/>
      <c r="AX409" s="125"/>
      <c r="AY409" s="125"/>
      <c r="AZ409" s="125"/>
      <c r="BA409" s="125"/>
      <c r="BB409" s="125"/>
      <c r="BC409" s="125"/>
      <c r="BD409" s="125"/>
      <c r="BE409" s="125"/>
      <c r="BF409" s="125"/>
    </row>
    <row r="410" spans="1:58" ht="15.75" customHeight="1">
      <c r="A410" s="125"/>
      <c r="B410" s="125"/>
      <c r="C410" s="125"/>
      <c r="D410" s="125"/>
      <c r="E410" s="125"/>
      <c r="F410" s="125"/>
      <c r="G410" s="125"/>
      <c r="H410" s="125"/>
      <c r="I410" s="125"/>
      <c r="J410" s="125"/>
      <c r="K410" s="125"/>
      <c r="L410" s="125"/>
      <c r="M410" s="125"/>
      <c r="N410" s="125"/>
      <c r="O410" s="125"/>
      <c r="P410" s="125"/>
      <c r="Q410" s="125"/>
      <c r="R410" s="125"/>
      <c r="S410" s="125"/>
      <c r="T410" s="125"/>
      <c r="U410" s="125"/>
      <c r="V410" s="125"/>
      <c r="W410" s="125"/>
      <c r="X410" s="125"/>
      <c r="Y410" s="125"/>
      <c r="Z410" s="125"/>
      <c r="AA410" s="125"/>
      <c r="AB410" s="125"/>
      <c r="AC410" s="125"/>
      <c r="AD410" s="125"/>
      <c r="AE410" s="125"/>
      <c r="AF410" s="125"/>
      <c r="AG410" s="125"/>
      <c r="AH410" s="125"/>
      <c r="AI410" s="125"/>
      <c r="AJ410" s="125"/>
      <c r="AK410" s="125"/>
      <c r="AL410" s="125"/>
      <c r="AM410" s="125"/>
      <c r="AN410" s="125"/>
      <c r="AO410" s="125"/>
      <c r="AP410" s="125"/>
      <c r="AQ410" s="125"/>
      <c r="AR410" s="125"/>
      <c r="AS410" s="125"/>
      <c r="AT410" s="125"/>
      <c r="AU410" s="125"/>
      <c r="AV410" s="125"/>
      <c r="AW410" s="125"/>
      <c r="AX410" s="125"/>
      <c r="AY410" s="125"/>
      <c r="AZ410" s="125"/>
      <c r="BA410" s="125"/>
      <c r="BB410" s="125"/>
      <c r="BC410" s="125"/>
      <c r="BD410" s="125"/>
      <c r="BE410" s="125"/>
      <c r="BF410" s="125"/>
    </row>
    <row r="411" spans="1:58" ht="15.75" customHeight="1">
      <c r="A411" s="125"/>
      <c r="B411" s="125"/>
      <c r="C411" s="125"/>
      <c r="D411" s="125"/>
      <c r="E411" s="125"/>
      <c r="F411" s="125"/>
      <c r="G411" s="125"/>
      <c r="H411" s="125"/>
      <c r="I411" s="125"/>
      <c r="J411" s="125"/>
      <c r="K411" s="125"/>
      <c r="L411" s="125"/>
      <c r="M411" s="125"/>
      <c r="N411" s="125"/>
      <c r="O411" s="125"/>
      <c r="P411" s="125"/>
      <c r="Q411" s="125"/>
      <c r="R411" s="125"/>
      <c r="S411" s="125"/>
      <c r="T411" s="125"/>
      <c r="U411" s="125"/>
      <c r="V411" s="125"/>
      <c r="W411" s="125"/>
      <c r="X411" s="125"/>
      <c r="Y411" s="125"/>
      <c r="Z411" s="125"/>
      <c r="AA411" s="125"/>
      <c r="AB411" s="125"/>
      <c r="AC411" s="125"/>
      <c r="AD411" s="125"/>
      <c r="AE411" s="125"/>
      <c r="AF411" s="125"/>
      <c r="AG411" s="125"/>
      <c r="AH411" s="125"/>
      <c r="AI411" s="125"/>
      <c r="AJ411" s="125"/>
      <c r="AK411" s="125"/>
      <c r="AL411" s="125"/>
      <c r="AM411" s="125"/>
      <c r="AN411" s="125"/>
      <c r="AO411" s="125"/>
      <c r="AP411" s="125"/>
      <c r="AQ411" s="125"/>
      <c r="AR411" s="125"/>
      <c r="AS411" s="125"/>
      <c r="AT411" s="125"/>
      <c r="AU411" s="125"/>
      <c r="AV411" s="125"/>
      <c r="AW411" s="125"/>
      <c r="AX411" s="125"/>
      <c r="AY411" s="125"/>
      <c r="AZ411" s="125"/>
      <c r="BA411" s="125"/>
      <c r="BB411" s="125"/>
      <c r="BC411" s="125"/>
      <c r="BD411" s="125"/>
      <c r="BE411" s="125"/>
      <c r="BF411" s="125"/>
    </row>
    <row r="412" spans="1:58" ht="15.75" customHeight="1">
      <c r="A412" s="125"/>
      <c r="B412" s="125"/>
      <c r="C412" s="125"/>
      <c r="D412" s="125"/>
      <c r="E412" s="125"/>
      <c r="F412" s="125"/>
      <c r="G412" s="125"/>
      <c r="H412" s="125"/>
      <c r="I412" s="125"/>
      <c r="J412" s="125"/>
      <c r="K412" s="125"/>
      <c r="L412" s="125"/>
      <c r="M412" s="125"/>
      <c r="N412" s="125"/>
      <c r="O412" s="125"/>
      <c r="P412" s="125"/>
      <c r="Q412" s="125"/>
      <c r="R412" s="125"/>
      <c r="S412" s="125"/>
      <c r="T412" s="125"/>
      <c r="U412" s="125"/>
      <c r="V412" s="125"/>
      <c r="W412" s="125"/>
      <c r="X412" s="125"/>
      <c r="Y412" s="125"/>
      <c r="Z412" s="125"/>
      <c r="AA412" s="125"/>
      <c r="AB412" s="125"/>
      <c r="AC412" s="125"/>
      <c r="AD412" s="125"/>
      <c r="AE412" s="125"/>
      <c r="AF412" s="125"/>
      <c r="AG412" s="125"/>
      <c r="AH412" s="125"/>
      <c r="AI412" s="125"/>
      <c r="AJ412" s="125"/>
      <c r="AK412" s="125"/>
      <c r="AL412" s="125"/>
      <c r="AM412" s="125"/>
      <c r="AN412" s="125"/>
      <c r="AO412" s="125"/>
      <c r="AP412" s="125"/>
      <c r="AQ412" s="125"/>
      <c r="AR412" s="125"/>
      <c r="AS412" s="125"/>
      <c r="AT412" s="125"/>
      <c r="AU412" s="125"/>
      <c r="AV412" s="125"/>
      <c r="AW412" s="125"/>
      <c r="AX412" s="125"/>
      <c r="AY412" s="125"/>
      <c r="AZ412" s="125"/>
      <c r="BA412" s="125"/>
      <c r="BB412" s="125"/>
      <c r="BC412" s="125"/>
      <c r="BD412" s="125"/>
      <c r="BE412" s="125"/>
      <c r="BF412" s="125"/>
    </row>
    <row r="413" spans="1:58" ht="15.75" customHeight="1">
      <c r="A413" s="125"/>
      <c r="B413" s="125"/>
      <c r="C413" s="125"/>
      <c r="D413" s="125"/>
      <c r="E413" s="125"/>
      <c r="F413" s="125"/>
      <c r="G413" s="125"/>
      <c r="H413" s="125"/>
      <c r="I413" s="125"/>
      <c r="J413" s="125"/>
      <c r="K413" s="125"/>
      <c r="L413" s="125"/>
      <c r="M413" s="125"/>
      <c r="N413" s="125"/>
      <c r="O413" s="125"/>
      <c r="P413" s="125"/>
      <c r="Q413" s="125"/>
      <c r="R413" s="125"/>
      <c r="S413" s="125"/>
      <c r="T413" s="125"/>
      <c r="U413" s="125"/>
      <c r="V413" s="125"/>
      <c r="W413" s="125"/>
      <c r="X413" s="125"/>
      <c r="Y413" s="125"/>
      <c r="Z413" s="125"/>
      <c r="AA413" s="125"/>
      <c r="AB413" s="125"/>
      <c r="AC413" s="125"/>
      <c r="AD413" s="125"/>
      <c r="AE413" s="125"/>
      <c r="AF413" s="125"/>
      <c r="AG413" s="125"/>
      <c r="AH413" s="125"/>
      <c r="AI413" s="125"/>
      <c r="AJ413" s="125"/>
      <c r="AK413" s="125"/>
      <c r="AL413" s="125"/>
      <c r="AM413" s="125"/>
      <c r="AN413" s="125"/>
      <c r="AO413" s="125"/>
      <c r="AP413" s="125"/>
      <c r="AQ413" s="125"/>
      <c r="AR413" s="125"/>
      <c r="AS413" s="125"/>
      <c r="AT413" s="125"/>
      <c r="AU413" s="125"/>
      <c r="AV413" s="125"/>
      <c r="AW413" s="125"/>
      <c r="AX413" s="125"/>
      <c r="AY413" s="125"/>
      <c r="AZ413" s="125"/>
      <c r="BA413" s="125"/>
      <c r="BB413" s="125"/>
      <c r="BC413" s="125"/>
      <c r="BD413" s="125"/>
      <c r="BE413" s="125"/>
      <c r="BF413" s="125"/>
    </row>
    <row r="414" spans="1:58" ht="15.75" customHeight="1">
      <c r="A414" s="125"/>
      <c r="B414" s="125"/>
      <c r="C414" s="125"/>
      <c r="D414" s="125"/>
      <c r="E414" s="125"/>
      <c r="F414" s="125"/>
      <c r="G414" s="125"/>
      <c r="H414" s="125"/>
      <c r="I414" s="125"/>
      <c r="J414" s="125"/>
      <c r="K414" s="125"/>
      <c r="L414" s="125"/>
      <c r="M414" s="125"/>
      <c r="N414" s="125"/>
      <c r="O414" s="125"/>
      <c r="P414" s="125"/>
      <c r="Q414" s="125"/>
      <c r="R414" s="125"/>
      <c r="S414" s="125"/>
      <c r="T414" s="125"/>
      <c r="U414" s="125"/>
      <c r="V414" s="125"/>
      <c r="W414" s="125"/>
      <c r="X414" s="125"/>
      <c r="Y414" s="125"/>
      <c r="Z414" s="125"/>
      <c r="AA414" s="125"/>
      <c r="AB414" s="125"/>
      <c r="AC414" s="125"/>
      <c r="AD414" s="125"/>
      <c r="AE414" s="125"/>
      <c r="AF414" s="125"/>
      <c r="AG414" s="125"/>
      <c r="AH414" s="125"/>
      <c r="AI414" s="125"/>
      <c r="AJ414" s="125"/>
      <c r="AK414" s="125"/>
      <c r="AL414" s="125"/>
      <c r="AM414" s="125"/>
      <c r="AN414" s="125"/>
      <c r="AO414" s="125"/>
      <c r="AP414" s="125"/>
      <c r="AQ414" s="125"/>
      <c r="AR414" s="125"/>
      <c r="AS414" s="125"/>
      <c r="AT414" s="125"/>
      <c r="AU414" s="125"/>
      <c r="AV414" s="125"/>
      <c r="AW414" s="125"/>
      <c r="AX414" s="125"/>
      <c r="AY414" s="125"/>
      <c r="AZ414" s="125"/>
      <c r="BA414" s="125"/>
      <c r="BB414" s="125"/>
      <c r="BC414" s="125"/>
      <c r="BD414" s="125"/>
      <c r="BE414" s="125"/>
      <c r="BF414" s="125"/>
    </row>
    <row r="415" spans="1:58" ht="15.75" customHeight="1">
      <c r="A415" s="125"/>
      <c r="B415" s="125"/>
      <c r="C415" s="125"/>
      <c r="D415" s="125"/>
      <c r="E415" s="125"/>
      <c r="F415" s="125"/>
      <c r="G415" s="125"/>
      <c r="H415" s="125"/>
      <c r="I415" s="125"/>
      <c r="J415" s="125"/>
      <c r="K415" s="125"/>
      <c r="L415" s="125"/>
      <c r="M415" s="125"/>
      <c r="N415" s="125"/>
      <c r="O415" s="125"/>
      <c r="P415" s="125"/>
      <c r="Q415" s="125"/>
      <c r="R415" s="125"/>
      <c r="S415" s="125"/>
      <c r="T415" s="125"/>
      <c r="U415" s="125"/>
      <c r="V415" s="125"/>
      <c r="W415" s="125"/>
      <c r="X415" s="125"/>
      <c r="Y415" s="125"/>
      <c r="Z415" s="125"/>
      <c r="AA415" s="125"/>
      <c r="AB415" s="125"/>
      <c r="AC415" s="125"/>
      <c r="AD415" s="125"/>
      <c r="AE415" s="125"/>
      <c r="AF415" s="125"/>
      <c r="AG415" s="125"/>
      <c r="AH415" s="125"/>
      <c r="AI415" s="125"/>
      <c r="AJ415" s="125"/>
      <c r="AK415" s="125"/>
      <c r="AL415" s="125"/>
      <c r="AM415" s="125"/>
      <c r="AN415" s="125"/>
      <c r="AO415" s="125"/>
      <c r="AP415" s="125"/>
      <c r="AQ415" s="125"/>
      <c r="AR415" s="125"/>
      <c r="AS415" s="125"/>
      <c r="AT415" s="125"/>
      <c r="AU415" s="125"/>
      <c r="AV415" s="125"/>
      <c r="AW415" s="125"/>
      <c r="AX415" s="125"/>
      <c r="AY415" s="125"/>
      <c r="AZ415" s="125"/>
      <c r="BA415" s="125"/>
      <c r="BB415" s="125"/>
      <c r="BC415" s="125"/>
      <c r="BD415" s="125"/>
      <c r="BE415" s="125"/>
      <c r="BF415" s="125"/>
    </row>
    <row r="416" spans="1:58" ht="15.75" customHeight="1">
      <c r="A416" s="125"/>
      <c r="B416" s="125"/>
      <c r="C416" s="125"/>
      <c r="D416" s="125"/>
      <c r="E416" s="125"/>
      <c r="F416" s="125"/>
      <c r="G416" s="125"/>
      <c r="H416" s="125"/>
      <c r="I416" s="125"/>
      <c r="J416" s="125"/>
      <c r="K416" s="125"/>
      <c r="L416" s="125"/>
      <c r="M416" s="125"/>
      <c r="N416" s="125"/>
      <c r="O416" s="125"/>
      <c r="P416" s="125"/>
      <c r="Q416" s="125"/>
      <c r="R416" s="125"/>
      <c r="S416" s="125"/>
      <c r="T416" s="125"/>
      <c r="U416" s="125"/>
      <c r="V416" s="125"/>
      <c r="W416" s="125"/>
      <c r="X416" s="125"/>
      <c r="Y416" s="125"/>
      <c r="Z416" s="125"/>
      <c r="AA416" s="125"/>
      <c r="AB416" s="125"/>
      <c r="AC416" s="125"/>
      <c r="AD416" s="125"/>
      <c r="AE416" s="125"/>
      <c r="AF416" s="125"/>
      <c r="AG416" s="125"/>
      <c r="AH416" s="125"/>
      <c r="AI416" s="125"/>
      <c r="AJ416" s="125"/>
      <c r="AK416" s="125"/>
      <c r="AL416" s="125"/>
      <c r="AM416" s="125"/>
      <c r="AN416" s="125"/>
      <c r="AO416" s="125"/>
      <c r="AP416" s="125"/>
      <c r="AQ416" s="125"/>
      <c r="AR416" s="125"/>
      <c r="AS416" s="125"/>
      <c r="AT416" s="125"/>
      <c r="AU416" s="125"/>
      <c r="AV416" s="125"/>
      <c r="AW416" s="125"/>
      <c r="AX416" s="125"/>
      <c r="AY416" s="125"/>
      <c r="AZ416" s="125"/>
      <c r="BA416" s="125"/>
      <c r="BB416" s="125"/>
      <c r="BC416" s="125"/>
      <c r="BD416" s="125"/>
      <c r="BE416" s="125"/>
      <c r="BF416" s="125"/>
    </row>
    <row r="417" spans="1:58" ht="15.75" customHeight="1">
      <c r="A417" s="125"/>
      <c r="B417" s="125"/>
      <c r="C417" s="125"/>
      <c r="D417" s="125"/>
      <c r="E417" s="125"/>
      <c r="F417" s="125"/>
      <c r="G417" s="125"/>
      <c r="H417" s="125"/>
      <c r="I417" s="125"/>
      <c r="J417" s="125"/>
      <c r="K417" s="125"/>
      <c r="L417" s="125"/>
      <c r="M417" s="125"/>
      <c r="N417" s="125"/>
      <c r="O417" s="125"/>
      <c r="P417" s="125"/>
      <c r="Q417" s="125"/>
      <c r="R417" s="125"/>
      <c r="S417" s="125"/>
      <c r="T417" s="125"/>
      <c r="U417" s="125"/>
      <c r="V417" s="125"/>
      <c r="W417" s="125"/>
      <c r="X417" s="125"/>
      <c r="Y417" s="125"/>
      <c r="Z417" s="125"/>
      <c r="AA417" s="125"/>
      <c r="AB417" s="125"/>
      <c r="AC417" s="125"/>
      <c r="AD417" s="125"/>
      <c r="AE417" s="125"/>
      <c r="AF417" s="125"/>
      <c r="AG417" s="125"/>
      <c r="AH417" s="125"/>
      <c r="AI417" s="125"/>
      <c r="AJ417" s="125"/>
      <c r="AK417" s="125"/>
      <c r="AL417" s="125"/>
      <c r="AM417" s="125"/>
      <c r="AN417" s="125"/>
      <c r="AO417" s="125"/>
      <c r="AP417" s="125"/>
      <c r="AQ417" s="125"/>
      <c r="AR417" s="125"/>
      <c r="AS417" s="125"/>
      <c r="AT417" s="125"/>
      <c r="AU417" s="125"/>
      <c r="AV417" s="125"/>
      <c r="AW417" s="125"/>
      <c r="AX417" s="125"/>
      <c r="AY417" s="125"/>
      <c r="AZ417" s="125"/>
      <c r="BA417" s="125"/>
      <c r="BB417" s="125"/>
      <c r="BC417" s="125"/>
      <c r="BD417" s="125"/>
      <c r="BE417" s="125"/>
      <c r="BF417" s="125"/>
    </row>
    <row r="418" spans="1:58" ht="15.75" customHeight="1">
      <c r="A418" s="125"/>
      <c r="B418" s="125"/>
      <c r="C418" s="125"/>
      <c r="D418" s="125"/>
      <c r="E418" s="125"/>
      <c r="F418" s="125"/>
      <c r="G418" s="125"/>
      <c r="H418" s="125"/>
      <c r="I418" s="125"/>
      <c r="J418" s="125"/>
      <c r="K418" s="125"/>
      <c r="L418" s="125"/>
      <c r="M418" s="125"/>
      <c r="N418" s="125"/>
      <c r="O418" s="125"/>
      <c r="P418" s="125"/>
      <c r="Q418" s="125"/>
      <c r="R418" s="125"/>
      <c r="S418" s="125"/>
      <c r="T418" s="125"/>
      <c r="U418" s="125"/>
      <c r="V418" s="125"/>
      <c r="W418" s="125"/>
      <c r="X418" s="125"/>
      <c r="Y418" s="125"/>
      <c r="Z418" s="125"/>
      <c r="AA418" s="125"/>
      <c r="AB418" s="125"/>
      <c r="AC418" s="125"/>
      <c r="AD418" s="125"/>
      <c r="AE418" s="125"/>
      <c r="AF418" s="125"/>
      <c r="AG418" s="125"/>
      <c r="AH418" s="125"/>
      <c r="AI418" s="125"/>
      <c r="AJ418" s="125"/>
      <c r="AK418" s="125"/>
      <c r="AL418" s="125"/>
      <c r="AM418" s="125"/>
      <c r="AN418" s="125"/>
      <c r="AO418" s="125"/>
      <c r="AP418" s="125"/>
      <c r="AQ418" s="125"/>
      <c r="AR418" s="125"/>
      <c r="AS418" s="125"/>
      <c r="AT418" s="125"/>
      <c r="AU418" s="125"/>
      <c r="AV418" s="125"/>
      <c r="AW418" s="125"/>
      <c r="AX418" s="125"/>
      <c r="AY418" s="125"/>
      <c r="AZ418" s="125"/>
      <c r="BA418" s="125"/>
      <c r="BB418" s="125"/>
      <c r="BC418" s="125"/>
      <c r="BD418" s="125"/>
      <c r="BE418" s="125"/>
      <c r="BF418" s="125"/>
    </row>
    <row r="419" spans="1:58" ht="15.75" customHeight="1">
      <c r="A419" s="125"/>
      <c r="B419" s="125"/>
      <c r="C419" s="125"/>
      <c r="D419" s="125"/>
      <c r="E419" s="125"/>
      <c r="F419" s="125"/>
      <c r="G419" s="125"/>
      <c r="H419" s="125"/>
      <c r="I419" s="125"/>
      <c r="J419" s="125"/>
      <c r="K419" s="125"/>
      <c r="L419" s="125"/>
      <c r="M419" s="125"/>
      <c r="N419" s="125"/>
      <c r="O419" s="125"/>
      <c r="P419" s="125"/>
      <c r="Q419" s="125"/>
      <c r="R419" s="125"/>
      <c r="S419" s="125"/>
      <c r="T419" s="125"/>
      <c r="U419" s="125"/>
      <c r="V419" s="125"/>
      <c r="W419" s="125"/>
      <c r="X419" s="125"/>
      <c r="Y419" s="125"/>
      <c r="Z419" s="125"/>
      <c r="AA419" s="125"/>
      <c r="AB419" s="125"/>
      <c r="AC419" s="125"/>
      <c r="AD419" s="125"/>
      <c r="AE419" s="125"/>
      <c r="AF419" s="125"/>
      <c r="AG419" s="125"/>
      <c r="AH419" s="125"/>
      <c r="AI419" s="125"/>
      <c r="AJ419" s="125"/>
      <c r="AK419" s="125"/>
      <c r="AL419" s="125"/>
      <c r="AM419" s="125"/>
      <c r="AN419" s="125"/>
      <c r="AO419" s="125"/>
      <c r="AP419" s="125"/>
      <c r="AQ419" s="125"/>
      <c r="AR419" s="125"/>
      <c r="AS419" s="125"/>
      <c r="AT419" s="125"/>
      <c r="AU419" s="125"/>
      <c r="AV419" s="125"/>
      <c r="AW419" s="125"/>
      <c r="AX419" s="125"/>
      <c r="AY419" s="125"/>
      <c r="AZ419" s="125"/>
      <c r="BA419" s="125"/>
      <c r="BB419" s="125"/>
      <c r="BC419" s="125"/>
      <c r="BD419" s="125"/>
      <c r="BE419" s="125"/>
      <c r="BF419" s="125"/>
    </row>
    <row r="420" spans="1:58" ht="15.75" customHeight="1">
      <c r="A420" s="125"/>
      <c r="B420" s="125"/>
      <c r="C420" s="125"/>
      <c r="D420" s="125"/>
      <c r="E420" s="125"/>
      <c r="F420" s="125"/>
      <c r="G420" s="125"/>
      <c r="H420" s="125"/>
      <c r="I420" s="125"/>
      <c r="J420" s="125"/>
      <c r="K420" s="125"/>
      <c r="L420" s="125"/>
      <c r="M420" s="125"/>
      <c r="N420" s="125"/>
      <c r="O420" s="125"/>
      <c r="P420" s="125"/>
      <c r="Q420" s="125"/>
      <c r="R420" s="125"/>
      <c r="S420" s="125"/>
      <c r="T420" s="125"/>
      <c r="U420" s="125"/>
      <c r="V420" s="125"/>
      <c r="W420" s="125"/>
      <c r="X420" s="125"/>
      <c r="Y420" s="125"/>
      <c r="Z420" s="125"/>
      <c r="AA420" s="125"/>
      <c r="AB420" s="125"/>
      <c r="AC420" s="125"/>
      <c r="AD420" s="125"/>
      <c r="AE420" s="125"/>
      <c r="AF420" s="125"/>
      <c r="AG420" s="125"/>
      <c r="AH420" s="125"/>
      <c r="AI420" s="125"/>
      <c r="AJ420" s="125"/>
      <c r="AK420" s="125"/>
      <c r="AL420" s="125"/>
      <c r="AM420" s="125"/>
      <c r="AN420" s="125"/>
      <c r="AO420" s="125"/>
      <c r="AP420" s="125"/>
      <c r="AQ420" s="125"/>
      <c r="AR420" s="125"/>
      <c r="AS420" s="125"/>
      <c r="AT420" s="125"/>
      <c r="AU420" s="125"/>
      <c r="AV420" s="125"/>
      <c r="AW420" s="125"/>
      <c r="AX420" s="125"/>
      <c r="AY420" s="125"/>
      <c r="AZ420" s="125"/>
      <c r="BA420" s="125"/>
      <c r="BB420" s="125"/>
      <c r="BC420" s="125"/>
      <c r="BD420" s="125"/>
      <c r="BE420" s="125"/>
      <c r="BF420" s="125"/>
    </row>
    <row r="421" spans="1:58" ht="15.75" customHeight="1">
      <c r="A421" s="125"/>
      <c r="B421" s="125"/>
      <c r="C421" s="125"/>
      <c r="D421" s="125"/>
      <c r="E421" s="125"/>
      <c r="F421" s="125"/>
      <c r="G421" s="125"/>
      <c r="H421" s="125"/>
      <c r="I421" s="125"/>
      <c r="J421" s="125"/>
      <c r="K421" s="125"/>
      <c r="L421" s="125"/>
      <c r="M421" s="125"/>
      <c r="N421" s="125"/>
      <c r="O421" s="125"/>
      <c r="P421" s="125"/>
      <c r="Q421" s="125"/>
      <c r="R421" s="125"/>
      <c r="S421" s="125"/>
      <c r="T421" s="125"/>
      <c r="U421" s="125"/>
      <c r="V421" s="125"/>
      <c r="W421" s="125"/>
      <c r="X421" s="125"/>
      <c r="Y421" s="125"/>
      <c r="Z421" s="125"/>
      <c r="AA421" s="125"/>
      <c r="AB421" s="125"/>
      <c r="AC421" s="125"/>
      <c r="AD421" s="125"/>
      <c r="AE421" s="125"/>
      <c r="AF421" s="125"/>
      <c r="AG421" s="125"/>
      <c r="AH421" s="125"/>
      <c r="AI421" s="125"/>
      <c r="AJ421" s="125"/>
      <c r="AK421" s="125"/>
      <c r="AL421" s="125"/>
      <c r="AM421" s="125"/>
      <c r="AN421" s="125"/>
      <c r="AO421" s="125"/>
      <c r="AP421" s="125"/>
      <c r="AQ421" s="125"/>
      <c r="AR421" s="125"/>
      <c r="AS421" s="125"/>
      <c r="AT421" s="125"/>
      <c r="AU421" s="125"/>
      <c r="AV421" s="125"/>
      <c r="AW421" s="125"/>
      <c r="AX421" s="125"/>
      <c r="AY421" s="125"/>
      <c r="AZ421" s="125"/>
      <c r="BA421" s="125"/>
      <c r="BB421" s="125"/>
      <c r="BC421" s="125"/>
      <c r="BD421" s="125"/>
      <c r="BE421" s="125"/>
      <c r="BF421" s="125"/>
    </row>
    <row r="422" spans="1:58" ht="15.75" customHeight="1">
      <c r="A422" s="125"/>
      <c r="B422" s="125"/>
      <c r="C422" s="125"/>
      <c r="D422" s="125"/>
      <c r="E422" s="125"/>
      <c r="F422" s="125"/>
      <c r="G422" s="125"/>
      <c r="H422" s="125"/>
      <c r="I422" s="125"/>
      <c r="J422" s="125"/>
      <c r="K422" s="125"/>
      <c r="L422" s="125"/>
      <c r="M422" s="125"/>
      <c r="N422" s="125"/>
      <c r="O422" s="125"/>
      <c r="P422" s="125"/>
      <c r="Q422" s="125"/>
      <c r="R422" s="125"/>
      <c r="S422" s="125"/>
      <c r="T422" s="125"/>
      <c r="U422" s="125"/>
      <c r="V422" s="125"/>
      <c r="W422" s="125"/>
      <c r="X422" s="125"/>
      <c r="Y422" s="125"/>
      <c r="Z422" s="125"/>
      <c r="AA422" s="125"/>
      <c r="AB422" s="125"/>
      <c r="AC422" s="125"/>
      <c r="AD422" s="125"/>
      <c r="AE422" s="125"/>
      <c r="AF422" s="125"/>
      <c r="AG422" s="125"/>
      <c r="AH422" s="125"/>
      <c r="AI422" s="125"/>
      <c r="AJ422" s="125"/>
      <c r="AK422" s="125"/>
      <c r="AL422" s="125"/>
      <c r="AM422" s="125"/>
      <c r="AN422" s="125"/>
      <c r="AO422" s="125"/>
      <c r="AP422" s="125"/>
      <c r="AQ422" s="125"/>
      <c r="AR422" s="125"/>
      <c r="AS422" s="125"/>
      <c r="AT422" s="125"/>
      <c r="AU422" s="125"/>
      <c r="AV422" s="125"/>
      <c r="AW422" s="125"/>
      <c r="AX422" s="125"/>
      <c r="AY422" s="125"/>
      <c r="AZ422" s="125"/>
      <c r="BA422" s="125"/>
      <c r="BB422" s="125"/>
      <c r="BC422" s="125"/>
      <c r="BD422" s="125"/>
      <c r="BE422" s="125"/>
      <c r="BF422" s="125"/>
    </row>
    <row r="423" spans="1:58" ht="15.75" customHeight="1">
      <c r="A423" s="125"/>
      <c r="B423" s="125"/>
      <c r="C423" s="125"/>
      <c r="D423" s="125"/>
      <c r="E423" s="125"/>
      <c r="F423" s="125"/>
      <c r="G423" s="125"/>
      <c r="H423" s="125"/>
      <c r="I423" s="125"/>
      <c r="J423" s="125"/>
      <c r="K423" s="125"/>
      <c r="L423" s="125"/>
      <c r="M423" s="125"/>
      <c r="N423" s="125"/>
      <c r="O423" s="125"/>
      <c r="P423" s="125"/>
      <c r="Q423" s="125"/>
      <c r="R423" s="125"/>
      <c r="S423" s="125"/>
      <c r="T423" s="125"/>
      <c r="U423" s="125"/>
      <c r="V423" s="125"/>
      <c r="W423" s="125"/>
      <c r="X423" s="125"/>
      <c r="Y423" s="125"/>
      <c r="Z423" s="125"/>
      <c r="AA423" s="125"/>
      <c r="AB423" s="125"/>
      <c r="AC423" s="125"/>
      <c r="AD423" s="125"/>
      <c r="AE423" s="125"/>
      <c r="AF423" s="125"/>
      <c r="AG423" s="125"/>
      <c r="AH423" s="125"/>
      <c r="AI423" s="125"/>
      <c r="AJ423" s="125"/>
      <c r="AK423" s="125"/>
      <c r="AL423" s="125"/>
      <c r="AM423" s="125"/>
      <c r="AN423" s="125"/>
      <c r="AO423" s="125"/>
      <c r="AP423" s="125"/>
      <c r="AQ423" s="125"/>
      <c r="AR423" s="125"/>
      <c r="AS423" s="125"/>
      <c r="AT423" s="125"/>
      <c r="AU423" s="125"/>
      <c r="AV423" s="125"/>
      <c r="AW423" s="125"/>
      <c r="AX423" s="125"/>
      <c r="AY423" s="125"/>
      <c r="AZ423" s="125"/>
      <c r="BA423" s="125"/>
      <c r="BB423" s="125"/>
      <c r="BC423" s="125"/>
      <c r="BD423" s="125"/>
      <c r="BE423" s="125"/>
      <c r="BF423" s="125"/>
    </row>
    <row r="424" spans="1:58" ht="15.75" customHeight="1">
      <c r="A424" s="125"/>
      <c r="B424" s="125"/>
      <c r="C424" s="125"/>
      <c r="D424" s="125"/>
      <c r="E424" s="125"/>
      <c r="F424" s="125"/>
      <c r="G424" s="125"/>
      <c r="H424" s="125"/>
      <c r="I424" s="125"/>
      <c r="J424" s="125"/>
      <c r="K424" s="125"/>
      <c r="L424" s="125"/>
      <c r="M424" s="125"/>
      <c r="N424" s="125"/>
      <c r="O424" s="125"/>
      <c r="P424" s="125"/>
      <c r="Q424" s="125"/>
      <c r="R424" s="125"/>
      <c r="S424" s="125"/>
      <c r="T424" s="125"/>
      <c r="U424" s="125"/>
      <c r="V424" s="125"/>
      <c r="W424" s="125"/>
      <c r="X424" s="125"/>
      <c r="Y424" s="125"/>
      <c r="Z424" s="125"/>
      <c r="AA424" s="125"/>
      <c r="AB424" s="125"/>
      <c r="AC424" s="125"/>
      <c r="AD424" s="125"/>
      <c r="AE424" s="125"/>
      <c r="AF424" s="125"/>
      <c r="AG424" s="125"/>
      <c r="AH424" s="125"/>
      <c r="AI424" s="125"/>
      <c r="AJ424" s="125"/>
      <c r="AK424" s="125"/>
      <c r="AL424" s="125"/>
      <c r="AM424" s="125"/>
      <c r="AN424" s="125"/>
      <c r="AO424" s="125"/>
      <c r="AP424" s="125"/>
      <c r="AQ424" s="125"/>
      <c r="AR424" s="125"/>
      <c r="AS424" s="125"/>
      <c r="AT424" s="125"/>
      <c r="AU424" s="125"/>
      <c r="AV424" s="125"/>
      <c r="AW424" s="125"/>
      <c r="AX424" s="125"/>
      <c r="AY424" s="125"/>
      <c r="AZ424" s="125"/>
      <c r="BA424" s="125"/>
      <c r="BB424" s="125"/>
      <c r="BC424" s="125"/>
      <c r="BD424" s="125"/>
      <c r="BE424" s="125"/>
      <c r="BF424" s="125"/>
    </row>
    <row r="425" spans="1:58" ht="15.75" customHeight="1">
      <c r="A425" s="125"/>
      <c r="B425" s="125"/>
      <c r="C425" s="125"/>
      <c r="D425" s="125"/>
      <c r="E425" s="125"/>
      <c r="F425" s="125"/>
      <c r="G425" s="125"/>
      <c r="H425" s="125"/>
      <c r="I425" s="125"/>
      <c r="J425" s="125"/>
      <c r="K425" s="125"/>
      <c r="L425" s="125"/>
      <c r="M425" s="125"/>
      <c r="N425" s="125"/>
      <c r="O425" s="125"/>
      <c r="P425" s="125"/>
      <c r="Q425" s="125"/>
      <c r="R425" s="125"/>
      <c r="S425" s="125"/>
      <c r="T425" s="125"/>
      <c r="U425" s="125"/>
      <c r="V425" s="125"/>
      <c r="W425" s="125"/>
      <c r="X425" s="125"/>
      <c r="Y425" s="125"/>
      <c r="Z425" s="125"/>
      <c r="AA425" s="125"/>
      <c r="AB425" s="125"/>
      <c r="AC425" s="125"/>
      <c r="AD425" s="125"/>
      <c r="AE425" s="125"/>
      <c r="AF425" s="125"/>
      <c r="AG425" s="125"/>
      <c r="AH425" s="125"/>
      <c r="AI425" s="125"/>
      <c r="AJ425" s="125"/>
      <c r="AK425" s="125"/>
      <c r="AL425" s="125"/>
      <c r="AM425" s="125"/>
      <c r="AN425" s="125"/>
      <c r="AO425" s="125"/>
      <c r="AP425" s="125"/>
      <c r="AQ425" s="125"/>
      <c r="AR425" s="125"/>
      <c r="AS425" s="125"/>
      <c r="AT425" s="125"/>
      <c r="AU425" s="125"/>
      <c r="AV425" s="125"/>
      <c r="AW425" s="125"/>
      <c r="AX425" s="125"/>
      <c r="AY425" s="125"/>
      <c r="AZ425" s="125"/>
      <c r="BA425" s="125"/>
      <c r="BB425" s="125"/>
      <c r="BC425" s="125"/>
      <c r="BD425" s="125"/>
      <c r="BE425" s="125"/>
      <c r="BF425" s="125"/>
    </row>
    <row r="426" spans="1:58" ht="15.75" customHeight="1">
      <c r="A426" s="125"/>
      <c r="B426" s="125"/>
      <c r="C426" s="125"/>
      <c r="D426" s="125"/>
      <c r="E426" s="125"/>
      <c r="F426" s="125"/>
      <c r="G426" s="125"/>
      <c r="H426" s="125"/>
      <c r="I426" s="125"/>
      <c r="J426" s="125"/>
      <c r="K426" s="125"/>
      <c r="L426" s="125"/>
      <c r="M426" s="125"/>
      <c r="N426" s="125"/>
      <c r="O426" s="125"/>
      <c r="P426" s="125"/>
      <c r="Q426" s="125"/>
      <c r="R426" s="125"/>
      <c r="S426" s="125"/>
      <c r="T426" s="125"/>
      <c r="U426" s="125"/>
      <c r="V426" s="125"/>
      <c r="W426" s="125"/>
      <c r="X426" s="125"/>
      <c r="Y426" s="125"/>
      <c r="Z426" s="125"/>
      <c r="AA426" s="125"/>
      <c r="AB426" s="125"/>
      <c r="AC426" s="125"/>
      <c r="AD426" s="125"/>
      <c r="AE426" s="125"/>
      <c r="AF426" s="125"/>
      <c r="AG426" s="125"/>
      <c r="AH426" s="125"/>
      <c r="AI426" s="125"/>
      <c r="AJ426" s="125"/>
      <c r="AK426" s="125"/>
      <c r="AL426" s="125"/>
      <c r="AM426" s="125"/>
      <c r="AN426" s="125"/>
      <c r="AO426" s="125"/>
      <c r="AP426" s="125"/>
      <c r="AQ426" s="125"/>
      <c r="AR426" s="125"/>
      <c r="AS426" s="125"/>
      <c r="AT426" s="125"/>
      <c r="AU426" s="125"/>
      <c r="AV426" s="125"/>
      <c r="AW426" s="125"/>
      <c r="AX426" s="125"/>
      <c r="AY426" s="125"/>
      <c r="AZ426" s="125"/>
      <c r="BA426" s="125"/>
      <c r="BB426" s="125"/>
      <c r="BC426" s="125"/>
      <c r="BD426" s="125"/>
      <c r="BE426" s="125"/>
      <c r="BF426" s="125"/>
    </row>
    <row r="427" spans="1:58" ht="15.75" customHeight="1">
      <c r="A427" s="125"/>
      <c r="B427" s="125"/>
      <c r="C427" s="125"/>
      <c r="D427" s="125"/>
      <c r="E427" s="125"/>
      <c r="F427" s="125"/>
      <c r="G427" s="125"/>
      <c r="H427" s="125"/>
      <c r="I427" s="125"/>
      <c r="J427" s="125"/>
      <c r="K427" s="125"/>
      <c r="L427" s="125"/>
      <c r="M427" s="125"/>
      <c r="N427" s="125"/>
      <c r="O427" s="125"/>
      <c r="P427" s="125"/>
      <c r="Q427" s="125"/>
      <c r="R427" s="125"/>
      <c r="S427" s="125"/>
      <c r="T427" s="125"/>
      <c r="U427" s="125"/>
      <c r="V427" s="125"/>
      <c r="W427" s="125"/>
      <c r="X427" s="125"/>
      <c r="Y427" s="125"/>
      <c r="Z427" s="125"/>
      <c r="AA427" s="125"/>
      <c r="AB427" s="125"/>
      <c r="AC427" s="125"/>
      <c r="AD427" s="125"/>
      <c r="AE427" s="125"/>
      <c r="AF427" s="125"/>
      <c r="AG427" s="125"/>
      <c r="AH427" s="125"/>
      <c r="AI427" s="125"/>
      <c r="AJ427" s="125"/>
      <c r="AK427" s="125"/>
      <c r="AL427" s="125"/>
      <c r="AM427" s="125"/>
      <c r="AN427" s="125"/>
      <c r="AO427" s="125"/>
      <c r="AP427" s="125"/>
      <c r="AQ427" s="125"/>
      <c r="AR427" s="125"/>
      <c r="AS427" s="125"/>
      <c r="AT427" s="125"/>
      <c r="AU427" s="125"/>
      <c r="AV427" s="125"/>
      <c r="AW427" s="125"/>
      <c r="AX427" s="125"/>
      <c r="AY427" s="125"/>
      <c r="AZ427" s="125"/>
      <c r="BA427" s="125"/>
      <c r="BB427" s="125"/>
      <c r="BC427" s="125"/>
      <c r="BD427" s="125"/>
      <c r="BE427" s="125"/>
      <c r="BF427" s="125"/>
    </row>
    <row r="428" spans="1:58" ht="15.75" customHeight="1">
      <c r="A428" s="125"/>
      <c r="B428" s="125"/>
      <c r="C428" s="125"/>
      <c r="D428" s="125"/>
      <c r="E428" s="125"/>
      <c r="F428" s="125"/>
      <c r="G428" s="125"/>
      <c r="H428" s="125"/>
      <c r="I428" s="125"/>
      <c r="J428" s="125"/>
      <c r="K428" s="125"/>
      <c r="L428" s="125"/>
      <c r="M428" s="125"/>
      <c r="N428" s="125"/>
      <c r="O428" s="125"/>
      <c r="P428" s="125"/>
      <c r="Q428" s="125"/>
      <c r="R428" s="125"/>
      <c r="S428" s="125"/>
      <c r="T428" s="125"/>
      <c r="U428" s="125"/>
      <c r="V428" s="125"/>
      <c r="W428" s="125"/>
      <c r="X428" s="125"/>
      <c r="Y428" s="125"/>
      <c r="Z428" s="125"/>
      <c r="AA428" s="125"/>
      <c r="AB428" s="125"/>
      <c r="AC428" s="125"/>
      <c r="AD428" s="125"/>
      <c r="AE428" s="125"/>
      <c r="AF428" s="125"/>
      <c r="AG428" s="125"/>
      <c r="AH428" s="125"/>
      <c r="AI428" s="125"/>
      <c r="AJ428" s="125"/>
      <c r="AK428" s="125"/>
      <c r="AL428" s="125"/>
      <c r="AM428" s="125"/>
      <c r="AN428" s="125"/>
      <c r="AO428" s="125"/>
      <c r="AP428" s="125"/>
      <c r="AQ428" s="125"/>
      <c r="AR428" s="125"/>
      <c r="AS428" s="125"/>
      <c r="AT428" s="125"/>
      <c r="AU428" s="125"/>
      <c r="AV428" s="125"/>
      <c r="AW428" s="125"/>
      <c r="AX428" s="125"/>
      <c r="AY428" s="125"/>
      <c r="AZ428" s="125"/>
      <c r="BA428" s="125"/>
      <c r="BB428" s="125"/>
      <c r="BC428" s="125"/>
      <c r="BD428" s="125"/>
      <c r="BE428" s="125"/>
      <c r="BF428" s="125"/>
    </row>
    <row r="429" spans="1:58" ht="15.75" customHeight="1">
      <c r="A429" s="125"/>
      <c r="B429" s="125"/>
      <c r="C429" s="125"/>
      <c r="D429" s="125"/>
      <c r="E429" s="125"/>
      <c r="F429" s="125"/>
      <c r="G429" s="125"/>
      <c r="H429" s="125"/>
      <c r="I429" s="125"/>
      <c r="J429" s="125"/>
      <c r="K429" s="125"/>
      <c r="L429" s="125"/>
      <c r="M429" s="125"/>
      <c r="N429" s="125"/>
      <c r="O429" s="125"/>
      <c r="P429" s="125"/>
      <c r="Q429" s="125"/>
      <c r="R429" s="125"/>
      <c r="S429" s="125"/>
      <c r="T429" s="125"/>
      <c r="U429" s="125"/>
      <c r="V429" s="125"/>
      <c r="W429" s="125"/>
      <c r="X429" s="125"/>
      <c r="Y429" s="125"/>
      <c r="Z429" s="125"/>
      <c r="AA429" s="125"/>
      <c r="AB429" s="125"/>
      <c r="AC429" s="125"/>
      <c r="AD429" s="125"/>
      <c r="AE429" s="125"/>
      <c r="AF429" s="125"/>
      <c r="AG429" s="125"/>
      <c r="AH429" s="125"/>
      <c r="AI429" s="125"/>
      <c r="AJ429" s="125"/>
      <c r="AK429" s="125"/>
      <c r="AL429" s="125"/>
      <c r="AM429" s="125"/>
      <c r="AN429" s="125"/>
      <c r="AO429" s="125"/>
      <c r="AP429" s="125"/>
      <c r="AQ429" s="125"/>
      <c r="AR429" s="125"/>
      <c r="AS429" s="125"/>
      <c r="AT429" s="125"/>
      <c r="AU429" s="125"/>
      <c r="AV429" s="125"/>
      <c r="AW429" s="125"/>
      <c r="AX429" s="125"/>
      <c r="AY429" s="125"/>
      <c r="AZ429" s="125"/>
      <c r="BA429" s="125"/>
      <c r="BB429" s="125"/>
      <c r="BC429" s="125"/>
      <c r="BD429" s="125"/>
      <c r="BE429" s="125"/>
      <c r="BF429" s="125"/>
    </row>
    <row r="430" spans="1:58" ht="15.75" customHeight="1">
      <c r="A430" s="125"/>
      <c r="B430" s="125"/>
      <c r="C430" s="125"/>
      <c r="D430" s="125"/>
      <c r="E430" s="125"/>
      <c r="F430" s="125"/>
      <c r="G430" s="125"/>
      <c r="H430" s="125"/>
      <c r="I430" s="125"/>
      <c r="J430" s="125"/>
      <c r="K430" s="125"/>
      <c r="L430" s="125"/>
      <c r="M430" s="125"/>
      <c r="N430" s="125"/>
      <c r="O430" s="125"/>
      <c r="P430" s="125"/>
      <c r="Q430" s="125"/>
      <c r="R430" s="125"/>
      <c r="S430" s="125"/>
      <c r="T430" s="125"/>
      <c r="U430" s="125"/>
      <c r="V430" s="125"/>
      <c r="W430" s="125"/>
      <c r="X430" s="125"/>
      <c r="Y430" s="125"/>
      <c r="Z430" s="125"/>
      <c r="AA430" s="125"/>
      <c r="AB430" s="125"/>
      <c r="AC430" s="125"/>
      <c r="AD430" s="125"/>
      <c r="AE430" s="125"/>
      <c r="AF430" s="125"/>
      <c r="AG430" s="125"/>
      <c r="AH430" s="125"/>
      <c r="AI430" s="125"/>
      <c r="AJ430" s="125"/>
      <c r="AK430" s="125"/>
      <c r="AL430" s="125"/>
      <c r="AM430" s="125"/>
      <c r="AN430" s="125"/>
      <c r="AO430" s="125"/>
      <c r="AP430" s="125"/>
      <c r="AQ430" s="125"/>
      <c r="AR430" s="125"/>
      <c r="AS430" s="125"/>
      <c r="AT430" s="125"/>
      <c r="AU430" s="125"/>
      <c r="AV430" s="125"/>
      <c r="AW430" s="125"/>
      <c r="AX430" s="125"/>
      <c r="AY430" s="125"/>
      <c r="AZ430" s="125"/>
      <c r="BA430" s="125"/>
      <c r="BB430" s="125"/>
      <c r="BC430" s="125"/>
      <c r="BD430" s="125"/>
      <c r="BE430" s="125"/>
      <c r="BF430" s="125"/>
    </row>
    <row r="431" spans="1:58" ht="15.75" customHeight="1">
      <c r="A431" s="125"/>
      <c r="B431" s="125"/>
      <c r="C431" s="125"/>
      <c r="D431" s="125"/>
      <c r="E431" s="125"/>
      <c r="F431" s="125"/>
      <c r="G431" s="125"/>
      <c r="H431" s="125"/>
      <c r="I431" s="125"/>
      <c r="J431" s="125"/>
      <c r="K431" s="125"/>
      <c r="L431" s="125"/>
      <c r="M431" s="125"/>
      <c r="N431" s="125"/>
      <c r="O431" s="125"/>
      <c r="P431" s="125"/>
      <c r="Q431" s="125"/>
      <c r="R431" s="125"/>
      <c r="S431" s="125"/>
      <c r="T431" s="125"/>
      <c r="U431" s="125"/>
      <c r="V431" s="125"/>
      <c r="W431" s="125"/>
      <c r="X431" s="125"/>
      <c r="Y431" s="125"/>
      <c r="Z431" s="125"/>
      <c r="AA431" s="125"/>
      <c r="AB431" s="125"/>
      <c r="AC431" s="125"/>
      <c r="AD431" s="125"/>
      <c r="AE431" s="125"/>
      <c r="AF431" s="125"/>
      <c r="AG431" s="125"/>
      <c r="AH431" s="125"/>
      <c r="AI431" s="125"/>
      <c r="AJ431" s="125"/>
      <c r="AK431" s="125"/>
      <c r="AL431" s="125"/>
      <c r="AM431" s="125"/>
      <c r="AN431" s="125"/>
      <c r="AO431" s="125"/>
      <c r="AP431" s="125"/>
      <c r="AQ431" s="125"/>
      <c r="AR431" s="125"/>
      <c r="AS431" s="125"/>
      <c r="AT431" s="125"/>
      <c r="AU431" s="125"/>
      <c r="AV431" s="125"/>
      <c r="AW431" s="125"/>
      <c r="AX431" s="125"/>
      <c r="AY431" s="125"/>
      <c r="AZ431" s="125"/>
      <c r="BA431" s="125"/>
      <c r="BB431" s="125"/>
      <c r="BC431" s="125"/>
      <c r="BD431" s="125"/>
      <c r="BE431" s="125"/>
      <c r="BF431" s="125"/>
    </row>
    <row r="432" spans="1:58" ht="15.75" customHeight="1">
      <c r="A432" s="125"/>
      <c r="B432" s="125"/>
      <c r="C432" s="125"/>
      <c r="D432" s="125"/>
      <c r="E432" s="125"/>
      <c r="F432" s="125"/>
      <c r="G432" s="125"/>
      <c r="H432" s="125"/>
      <c r="I432" s="125"/>
      <c r="J432" s="125"/>
      <c r="K432" s="125"/>
      <c r="L432" s="125"/>
      <c r="M432" s="125"/>
      <c r="N432" s="125"/>
      <c r="O432" s="125"/>
      <c r="P432" s="125"/>
      <c r="Q432" s="125"/>
      <c r="R432" s="125"/>
      <c r="S432" s="125"/>
      <c r="T432" s="125"/>
      <c r="U432" s="125"/>
      <c r="V432" s="125"/>
      <c r="W432" s="125"/>
      <c r="X432" s="125"/>
      <c r="Y432" s="125"/>
      <c r="Z432" s="125"/>
      <c r="AA432" s="125"/>
      <c r="AB432" s="125"/>
      <c r="AC432" s="125"/>
      <c r="AD432" s="125"/>
      <c r="AE432" s="125"/>
      <c r="AF432" s="125"/>
      <c r="AG432" s="125"/>
      <c r="AH432" s="125"/>
      <c r="AI432" s="125"/>
      <c r="AJ432" s="125"/>
      <c r="AK432" s="125"/>
      <c r="AL432" s="125"/>
      <c r="AM432" s="125"/>
      <c r="AN432" s="125"/>
      <c r="AO432" s="125"/>
      <c r="AP432" s="125"/>
      <c r="AQ432" s="125"/>
      <c r="AR432" s="125"/>
      <c r="AS432" s="125"/>
      <c r="AT432" s="125"/>
      <c r="AU432" s="125"/>
      <c r="AV432" s="125"/>
      <c r="AW432" s="125"/>
      <c r="AX432" s="125"/>
      <c r="AY432" s="125"/>
      <c r="AZ432" s="125"/>
      <c r="BA432" s="125"/>
      <c r="BB432" s="125"/>
      <c r="BC432" s="125"/>
      <c r="BD432" s="125"/>
      <c r="BE432" s="125"/>
      <c r="BF432" s="125"/>
    </row>
    <row r="433" spans="1:58" ht="15.75" customHeight="1">
      <c r="A433" s="125"/>
      <c r="B433" s="125"/>
      <c r="C433" s="125"/>
      <c r="D433" s="125"/>
      <c r="E433" s="125"/>
      <c r="F433" s="125"/>
      <c r="G433" s="125"/>
      <c r="H433" s="125"/>
      <c r="I433" s="125"/>
      <c r="J433" s="125"/>
      <c r="K433" s="125"/>
      <c r="L433" s="125"/>
      <c r="M433" s="125"/>
      <c r="N433" s="125"/>
      <c r="O433" s="125"/>
      <c r="P433" s="125"/>
      <c r="Q433" s="125"/>
      <c r="R433" s="125"/>
      <c r="S433" s="125"/>
      <c r="T433" s="125"/>
      <c r="U433" s="125"/>
      <c r="V433" s="125"/>
      <c r="W433" s="125"/>
      <c r="X433" s="125"/>
      <c r="Y433" s="125"/>
      <c r="Z433" s="125"/>
      <c r="AA433" s="125"/>
      <c r="AB433" s="125"/>
      <c r="AC433" s="125"/>
      <c r="AD433" s="125"/>
      <c r="AE433" s="125"/>
      <c r="AF433" s="125"/>
      <c r="AG433" s="125"/>
      <c r="AH433" s="125"/>
      <c r="AI433" s="125"/>
      <c r="AJ433" s="125"/>
      <c r="AK433" s="125"/>
      <c r="AL433" s="125"/>
      <c r="AM433" s="125"/>
      <c r="AN433" s="125"/>
      <c r="AO433" s="125"/>
      <c r="AP433" s="125"/>
      <c r="AQ433" s="125"/>
      <c r="AR433" s="125"/>
      <c r="AS433" s="125"/>
      <c r="AT433" s="125"/>
      <c r="AU433" s="125"/>
      <c r="AV433" s="125"/>
      <c r="AW433" s="125"/>
      <c r="AX433" s="125"/>
      <c r="AY433" s="125"/>
      <c r="AZ433" s="125"/>
      <c r="BA433" s="125"/>
      <c r="BB433" s="125"/>
      <c r="BC433" s="125"/>
      <c r="BD433" s="125"/>
      <c r="BE433" s="125"/>
      <c r="BF433" s="125"/>
    </row>
    <row r="434" spans="1:58" ht="15.75" customHeight="1">
      <c r="A434" s="125"/>
      <c r="B434" s="125"/>
      <c r="C434" s="125"/>
      <c r="D434" s="125"/>
      <c r="E434" s="125"/>
      <c r="F434" s="125"/>
      <c r="G434" s="125"/>
      <c r="H434" s="125"/>
      <c r="I434" s="125"/>
      <c r="J434" s="125"/>
      <c r="K434" s="125"/>
      <c r="L434" s="125"/>
      <c r="M434" s="125"/>
      <c r="N434" s="125"/>
      <c r="O434" s="125"/>
      <c r="P434" s="125"/>
      <c r="Q434" s="125"/>
      <c r="R434" s="125"/>
      <c r="S434" s="125"/>
      <c r="T434" s="125"/>
      <c r="U434" s="125"/>
      <c r="V434" s="125"/>
      <c r="W434" s="125"/>
      <c r="X434" s="125"/>
      <c r="Y434" s="125"/>
      <c r="Z434" s="125"/>
      <c r="AA434" s="125"/>
      <c r="AB434" s="125"/>
      <c r="AC434" s="125"/>
      <c r="AD434" s="125"/>
      <c r="AE434" s="125"/>
      <c r="AF434" s="125"/>
      <c r="AG434" s="125"/>
      <c r="AH434" s="125"/>
      <c r="AI434" s="125"/>
      <c r="AJ434" s="125"/>
      <c r="AK434" s="125"/>
      <c r="AL434" s="125"/>
      <c r="AM434" s="125"/>
      <c r="AN434" s="125"/>
      <c r="AO434" s="125"/>
      <c r="AP434" s="125"/>
      <c r="AQ434" s="125"/>
      <c r="AR434" s="125"/>
      <c r="AS434" s="125"/>
      <c r="AT434" s="125"/>
      <c r="AU434" s="125"/>
      <c r="AV434" s="125"/>
      <c r="AW434" s="125"/>
      <c r="AX434" s="125"/>
      <c r="AY434" s="125"/>
      <c r="AZ434" s="125"/>
      <c r="BA434" s="125"/>
      <c r="BB434" s="125"/>
      <c r="BC434" s="125"/>
      <c r="BD434" s="125"/>
      <c r="BE434" s="125"/>
      <c r="BF434" s="125"/>
    </row>
    <row r="435" spans="1:58" ht="15.75" customHeight="1">
      <c r="A435" s="125"/>
      <c r="B435" s="125"/>
      <c r="C435" s="125"/>
      <c r="D435" s="125"/>
      <c r="E435" s="125"/>
      <c r="F435" s="125"/>
      <c r="G435" s="125"/>
      <c r="H435" s="125"/>
      <c r="I435" s="125"/>
      <c r="J435" s="125"/>
      <c r="K435" s="125"/>
      <c r="L435" s="125"/>
      <c r="M435" s="125"/>
      <c r="N435" s="125"/>
      <c r="O435" s="125"/>
      <c r="P435" s="125"/>
      <c r="Q435" s="125"/>
      <c r="R435" s="125"/>
      <c r="S435" s="125"/>
      <c r="T435" s="125"/>
      <c r="U435" s="125"/>
      <c r="V435" s="125"/>
      <c r="W435" s="125"/>
      <c r="X435" s="125"/>
      <c r="Y435" s="125"/>
      <c r="Z435" s="125"/>
      <c r="AA435" s="125"/>
      <c r="AB435" s="125"/>
      <c r="AC435" s="125"/>
      <c r="AD435" s="125"/>
      <c r="AE435" s="125"/>
      <c r="AF435" s="125"/>
      <c r="AG435" s="125"/>
      <c r="AH435" s="125"/>
      <c r="AI435" s="125"/>
      <c r="AJ435" s="125"/>
      <c r="AK435" s="125"/>
      <c r="AL435" s="125"/>
      <c r="AM435" s="125"/>
      <c r="AN435" s="125"/>
      <c r="AO435" s="125"/>
      <c r="AP435" s="125"/>
      <c r="AQ435" s="125"/>
      <c r="AR435" s="125"/>
      <c r="AS435" s="125"/>
      <c r="AT435" s="125"/>
      <c r="AU435" s="125"/>
      <c r="AV435" s="125"/>
      <c r="AW435" s="125"/>
      <c r="AX435" s="125"/>
      <c r="AY435" s="125"/>
      <c r="AZ435" s="125"/>
      <c r="BA435" s="125"/>
      <c r="BB435" s="125"/>
      <c r="BC435" s="125"/>
      <c r="BD435" s="125"/>
      <c r="BE435" s="125"/>
      <c r="BF435" s="125"/>
    </row>
    <row r="436" spans="1:58" ht="15.75" customHeight="1">
      <c r="A436" s="125"/>
      <c r="B436" s="125"/>
      <c r="C436" s="125"/>
      <c r="D436" s="125"/>
      <c r="E436" s="125"/>
      <c r="F436" s="125"/>
      <c r="G436" s="125"/>
      <c r="H436" s="125"/>
      <c r="I436" s="125"/>
      <c r="J436" s="125"/>
      <c r="K436" s="125"/>
      <c r="L436" s="125"/>
      <c r="M436" s="125"/>
      <c r="N436" s="125"/>
      <c r="O436" s="125"/>
      <c r="P436" s="125"/>
      <c r="Q436" s="125"/>
      <c r="R436" s="125"/>
      <c r="S436" s="125"/>
      <c r="T436" s="125"/>
      <c r="U436" s="125"/>
      <c r="V436" s="125"/>
      <c r="W436" s="125"/>
      <c r="X436" s="125"/>
      <c r="Y436" s="125"/>
      <c r="Z436" s="125"/>
      <c r="AA436" s="125"/>
      <c r="AB436" s="125"/>
      <c r="AC436" s="125"/>
      <c r="AD436" s="125"/>
      <c r="AE436" s="125"/>
      <c r="AF436" s="125"/>
      <c r="AG436" s="125"/>
      <c r="AH436" s="125"/>
      <c r="AI436" s="125"/>
      <c r="AJ436" s="125"/>
      <c r="AK436" s="125"/>
      <c r="AL436" s="125"/>
      <c r="AM436" s="125"/>
      <c r="AN436" s="125"/>
      <c r="AO436" s="125"/>
      <c r="AP436" s="125"/>
      <c r="AQ436" s="125"/>
      <c r="AR436" s="125"/>
      <c r="AS436" s="125"/>
      <c r="AT436" s="125"/>
      <c r="AU436" s="125"/>
      <c r="AV436" s="125"/>
      <c r="AW436" s="125"/>
      <c r="AX436" s="125"/>
      <c r="AY436" s="125"/>
      <c r="AZ436" s="125"/>
      <c r="BA436" s="125"/>
      <c r="BB436" s="125"/>
      <c r="BC436" s="125"/>
      <c r="BD436" s="125"/>
      <c r="BE436" s="125"/>
      <c r="BF436" s="125"/>
    </row>
    <row r="437" spans="1:58" ht="15.75" customHeight="1">
      <c r="A437" s="125"/>
      <c r="B437" s="125"/>
      <c r="C437" s="125"/>
      <c r="D437" s="125"/>
      <c r="E437" s="125"/>
      <c r="F437" s="125"/>
      <c r="G437" s="125"/>
      <c r="H437" s="125"/>
      <c r="I437" s="125"/>
      <c r="J437" s="125"/>
      <c r="K437" s="125"/>
      <c r="L437" s="125"/>
      <c r="M437" s="125"/>
      <c r="N437" s="125"/>
      <c r="O437" s="125"/>
      <c r="P437" s="125"/>
      <c r="Q437" s="125"/>
      <c r="R437" s="125"/>
      <c r="S437" s="125"/>
      <c r="T437" s="125"/>
      <c r="U437" s="125"/>
      <c r="V437" s="125"/>
      <c r="W437" s="125"/>
      <c r="X437" s="125"/>
      <c r="Y437" s="125"/>
      <c r="Z437" s="125"/>
      <c r="AA437" s="125"/>
      <c r="AB437" s="125"/>
      <c r="AC437" s="125"/>
      <c r="AD437" s="125"/>
      <c r="AE437" s="125"/>
      <c r="AF437" s="125"/>
      <c r="AG437" s="125"/>
      <c r="AH437" s="125"/>
      <c r="AI437" s="125"/>
      <c r="AJ437" s="125"/>
      <c r="AK437" s="125"/>
      <c r="AL437" s="125"/>
      <c r="AM437" s="125"/>
      <c r="AN437" s="125"/>
      <c r="AO437" s="125"/>
      <c r="AP437" s="125"/>
      <c r="AQ437" s="125"/>
      <c r="AR437" s="125"/>
      <c r="AS437" s="125"/>
      <c r="AT437" s="125"/>
      <c r="AU437" s="125"/>
      <c r="AV437" s="125"/>
      <c r="AW437" s="125"/>
      <c r="AX437" s="125"/>
      <c r="AY437" s="125"/>
      <c r="AZ437" s="125"/>
      <c r="BA437" s="125"/>
      <c r="BB437" s="125"/>
      <c r="BC437" s="125"/>
      <c r="BD437" s="125"/>
      <c r="BE437" s="125"/>
      <c r="BF437" s="125"/>
    </row>
    <row r="438" spans="1:58" ht="15.75" customHeight="1">
      <c r="A438" s="125"/>
      <c r="B438" s="125"/>
      <c r="C438" s="125"/>
      <c r="D438" s="125"/>
      <c r="E438" s="125"/>
      <c r="F438" s="125"/>
      <c r="G438" s="125"/>
      <c r="H438" s="125"/>
      <c r="I438" s="125"/>
      <c r="J438" s="125"/>
      <c r="K438" s="125"/>
      <c r="L438" s="125"/>
      <c r="M438" s="125"/>
      <c r="N438" s="125"/>
      <c r="O438" s="125"/>
      <c r="P438" s="125"/>
      <c r="Q438" s="125"/>
      <c r="R438" s="125"/>
      <c r="S438" s="125"/>
      <c r="T438" s="125"/>
      <c r="U438" s="125"/>
      <c r="V438" s="125"/>
      <c r="W438" s="125"/>
      <c r="X438" s="125"/>
      <c r="Y438" s="125"/>
      <c r="Z438" s="125"/>
      <c r="AA438" s="125"/>
      <c r="AB438" s="125"/>
      <c r="AC438" s="125"/>
      <c r="AD438" s="125"/>
      <c r="AE438" s="125"/>
      <c r="AF438" s="125"/>
      <c r="AG438" s="125"/>
      <c r="AH438" s="125"/>
      <c r="AI438" s="125"/>
      <c r="AJ438" s="125"/>
      <c r="AK438" s="125"/>
      <c r="AL438" s="125"/>
      <c r="AM438" s="125"/>
      <c r="AN438" s="125"/>
      <c r="AO438" s="125"/>
      <c r="AP438" s="125"/>
      <c r="AQ438" s="125"/>
      <c r="AR438" s="125"/>
      <c r="AS438" s="125"/>
      <c r="AT438" s="125"/>
      <c r="AU438" s="125"/>
      <c r="AV438" s="125"/>
      <c r="AW438" s="125"/>
      <c r="AX438" s="125"/>
      <c r="AY438" s="125"/>
      <c r="AZ438" s="125"/>
      <c r="BA438" s="125"/>
      <c r="BB438" s="125"/>
      <c r="BC438" s="125"/>
      <c r="BD438" s="125"/>
      <c r="BE438" s="125"/>
      <c r="BF438" s="125"/>
    </row>
    <row r="439" spans="1:58" ht="15.75" customHeight="1">
      <c r="A439" s="125"/>
      <c r="B439" s="125"/>
      <c r="C439" s="125"/>
      <c r="D439" s="125"/>
      <c r="E439" s="125"/>
      <c r="F439" s="125"/>
      <c r="G439" s="125"/>
      <c r="H439" s="125"/>
      <c r="I439" s="125"/>
      <c r="J439" s="125"/>
      <c r="K439" s="125"/>
      <c r="L439" s="125"/>
      <c r="M439" s="125"/>
      <c r="N439" s="125"/>
      <c r="O439" s="125"/>
      <c r="P439" s="125"/>
      <c r="Q439" s="125"/>
      <c r="R439" s="125"/>
      <c r="S439" s="125"/>
      <c r="T439" s="125"/>
      <c r="U439" s="125"/>
      <c r="V439" s="125"/>
      <c r="W439" s="125"/>
      <c r="X439" s="125"/>
      <c r="Y439" s="125"/>
      <c r="Z439" s="125"/>
      <c r="AA439" s="125"/>
      <c r="AB439" s="125"/>
      <c r="AC439" s="125"/>
      <c r="AD439" s="125"/>
      <c r="AE439" s="125"/>
      <c r="AF439" s="125"/>
      <c r="AG439" s="125"/>
      <c r="AH439" s="125"/>
      <c r="AI439" s="125"/>
      <c r="AJ439" s="125"/>
      <c r="AK439" s="125"/>
      <c r="AL439" s="125"/>
      <c r="AM439" s="125"/>
      <c r="AN439" s="125"/>
      <c r="AO439" s="125"/>
      <c r="AP439" s="125"/>
      <c r="AQ439" s="125"/>
      <c r="AR439" s="125"/>
      <c r="AS439" s="125"/>
      <c r="AT439" s="125"/>
      <c r="AU439" s="125"/>
      <c r="AV439" s="125"/>
      <c r="AW439" s="125"/>
      <c r="AX439" s="125"/>
      <c r="AY439" s="125"/>
      <c r="AZ439" s="125"/>
      <c r="BA439" s="125"/>
      <c r="BB439" s="125"/>
      <c r="BC439" s="125"/>
      <c r="BD439" s="125"/>
      <c r="BE439" s="125"/>
      <c r="BF439" s="125"/>
    </row>
    <row r="440" spans="1:58" ht="15.75" customHeight="1">
      <c r="A440" s="125"/>
      <c r="B440" s="125"/>
      <c r="C440" s="125"/>
      <c r="D440" s="125"/>
      <c r="E440" s="125"/>
      <c r="F440" s="125"/>
      <c r="G440" s="125"/>
      <c r="H440" s="125"/>
      <c r="I440" s="125"/>
      <c r="J440" s="125"/>
      <c r="K440" s="125"/>
      <c r="L440" s="125"/>
      <c r="M440" s="125"/>
      <c r="N440" s="125"/>
      <c r="O440" s="125"/>
      <c r="P440" s="125"/>
      <c r="Q440" s="125"/>
      <c r="R440" s="125"/>
      <c r="S440" s="125"/>
      <c r="T440" s="125"/>
      <c r="U440" s="125"/>
      <c r="V440" s="125"/>
      <c r="W440" s="125"/>
      <c r="X440" s="125"/>
      <c r="Y440" s="125"/>
      <c r="Z440" s="125"/>
      <c r="AA440" s="125"/>
      <c r="AB440" s="125"/>
      <c r="AC440" s="125"/>
      <c r="AD440" s="125"/>
      <c r="AE440" s="125"/>
      <c r="AF440" s="125"/>
      <c r="AG440" s="125"/>
      <c r="AH440" s="125"/>
      <c r="AI440" s="125"/>
      <c r="AJ440" s="125"/>
      <c r="AK440" s="125"/>
      <c r="AL440" s="125"/>
      <c r="AM440" s="125"/>
      <c r="AN440" s="125"/>
      <c r="AO440" s="125"/>
      <c r="AP440" s="125"/>
      <c r="AQ440" s="125"/>
      <c r="AR440" s="125"/>
      <c r="AS440" s="125"/>
      <c r="AT440" s="125"/>
      <c r="AU440" s="125"/>
      <c r="AV440" s="125"/>
      <c r="AW440" s="125"/>
      <c r="AX440" s="125"/>
      <c r="AY440" s="125"/>
      <c r="AZ440" s="125"/>
      <c r="BA440" s="125"/>
      <c r="BB440" s="125"/>
      <c r="BC440" s="125"/>
      <c r="BD440" s="125"/>
      <c r="BE440" s="125"/>
      <c r="BF440" s="125"/>
    </row>
    <row r="441" spans="1:58" ht="15.75" customHeight="1">
      <c r="A441" s="125"/>
      <c r="B441" s="125"/>
      <c r="C441" s="125"/>
      <c r="D441" s="125"/>
      <c r="E441" s="125"/>
      <c r="F441" s="125"/>
      <c r="G441" s="125"/>
      <c r="H441" s="125"/>
      <c r="I441" s="125"/>
      <c r="J441" s="125"/>
      <c r="K441" s="125"/>
      <c r="L441" s="125"/>
      <c r="M441" s="125"/>
      <c r="N441" s="125"/>
      <c r="O441" s="125"/>
      <c r="P441" s="125"/>
      <c r="Q441" s="125"/>
      <c r="R441" s="125"/>
      <c r="S441" s="125"/>
      <c r="T441" s="125"/>
      <c r="U441" s="125"/>
      <c r="V441" s="125"/>
      <c r="W441" s="125"/>
      <c r="X441" s="125"/>
      <c r="Y441" s="125"/>
      <c r="Z441" s="125"/>
      <c r="AA441" s="125"/>
      <c r="AB441" s="125"/>
      <c r="AC441" s="125"/>
      <c r="AD441" s="125"/>
      <c r="AE441" s="125"/>
      <c r="AF441" s="125"/>
      <c r="AG441" s="125"/>
      <c r="AH441" s="125"/>
      <c r="AI441" s="125"/>
      <c r="AJ441" s="125"/>
      <c r="AK441" s="125"/>
      <c r="AL441" s="125"/>
      <c r="AM441" s="125"/>
      <c r="AN441" s="125"/>
      <c r="AO441" s="125"/>
      <c r="AP441" s="125"/>
      <c r="AQ441" s="125"/>
      <c r="AR441" s="125"/>
      <c r="AS441" s="125"/>
      <c r="AT441" s="125"/>
      <c r="AU441" s="125"/>
      <c r="AV441" s="125"/>
      <c r="AW441" s="125"/>
      <c r="AX441" s="125"/>
      <c r="AY441" s="125"/>
      <c r="AZ441" s="125"/>
      <c r="BA441" s="125"/>
      <c r="BB441" s="125"/>
      <c r="BC441" s="125"/>
      <c r="BD441" s="125"/>
      <c r="BE441" s="125"/>
      <c r="BF441" s="125"/>
    </row>
    <row r="442" spans="1:58" ht="15.75" customHeight="1">
      <c r="A442" s="125"/>
      <c r="B442" s="125"/>
      <c r="C442" s="125"/>
      <c r="D442" s="125"/>
      <c r="E442" s="125"/>
      <c r="F442" s="125"/>
      <c r="G442" s="125"/>
      <c r="H442" s="125"/>
      <c r="I442" s="125"/>
      <c r="J442" s="125"/>
      <c r="K442" s="125"/>
      <c r="L442" s="125"/>
      <c r="M442" s="125"/>
      <c r="N442" s="125"/>
      <c r="O442" s="125"/>
      <c r="P442" s="125"/>
      <c r="Q442" s="125"/>
      <c r="R442" s="125"/>
      <c r="S442" s="125"/>
      <c r="T442" s="125"/>
      <c r="U442" s="125"/>
      <c r="V442" s="125"/>
      <c r="W442" s="125"/>
      <c r="X442" s="125"/>
      <c r="Y442" s="125"/>
      <c r="Z442" s="125"/>
      <c r="AA442" s="125"/>
      <c r="AB442" s="125"/>
      <c r="AC442" s="125"/>
      <c r="AD442" s="125"/>
      <c r="AE442" s="125"/>
      <c r="AF442" s="125"/>
      <c r="AG442" s="125"/>
      <c r="AH442" s="125"/>
      <c r="AI442" s="125"/>
      <c r="AJ442" s="125"/>
      <c r="AK442" s="125"/>
      <c r="AL442" s="125"/>
      <c r="AM442" s="125"/>
      <c r="AN442" s="125"/>
      <c r="AO442" s="125"/>
      <c r="AP442" s="125"/>
      <c r="AQ442" s="125"/>
      <c r="AR442" s="125"/>
      <c r="AS442" s="125"/>
      <c r="AT442" s="125"/>
      <c r="AU442" s="125"/>
      <c r="AV442" s="125"/>
      <c r="AW442" s="125"/>
      <c r="AX442" s="125"/>
      <c r="AY442" s="125"/>
      <c r="AZ442" s="125"/>
      <c r="BA442" s="125"/>
      <c r="BB442" s="125"/>
      <c r="BC442" s="125"/>
      <c r="BD442" s="125"/>
      <c r="BE442" s="125"/>
      <c r="BF442" s="125"/>
    </row>
    <row r="443" spans="1:58" ht="15.75" customHeight="1">
      <c r="A443" s="125"/>
      <c r="B443" s="125"/>
      <c r="C443" s="125"/>
      <c r="D443" s="125"/>
      <c r="E443" s="125"/>
      <c r="F443" s="125"/>
      <c r="G443" s="125"/>
      <c r="H443" s="125"/>
      <c r="I443" s="125"/>
      <c r="J443" s="125"/>
      <c r="K443" s="125"/>
      <c r="L443" s="125"/>
      <c r="M443" s="125"/>
      <c r="N443" s="125"/>
      <c r="O443" s="125"/>
      <c r="P443" s="125"/>
      <c r="Q443" s="125"/>
      <c r="R443" s="125"/>
      <c r="S443" s="125"/>
      <c r="T443" s="125"/>
      <c r="U443" s="125"/>
      <c r="V443" s="125"/>
      <c r="W443" s="125"/>
      <c r="X443" s="125"/>
      <c r="Y443" s="125"/>
      <c r="Z443" s="125"/>
      <c r="AA443" s="125"/>
      <c r="AB443" s="125"/>
      <c r="AC443" s="125"/>
      <c r="AD443" s="125"/>
      <c r="AE443" s="125"/>
      <c r="AF443" s="125"/>
      <c r="AG443" s="125"/>
      <c r="AH443" s="125"/>
      <c r="AI443" s="125"/>
      <c r="AJ443" s="125"/>
      <c r="AK443" s="125"/>
      <c r="AL443" s="125"/>
      <c r="AM443" s="125"/>
      <c r="AN443" s="125"/>
      <c r="AO443" s="125"/>
      <c r="AP443" s="125"/>
      <c r="AQ443" s="125"/>
      <c r="AR443" s="125"/>
      <c r="AS443" s="125"/>
      <c r="AT443" s="125"/>
      <c r="AU443" s="125"/>
      <c r="AV443" s="125"/>
      <c r="AW443" s="125"/>
      <c r="AX443" s="125"/>
      <c r="AY443" s="125"/>
      <c r="AZ443" s="125"/>
      <c r="BA443" s="125"/>
      <c r="BB443" s="125"/>
      <c r="BC443" s="125"/>
      <c r="BD443" s="125"/>
      <c r="BE443" s="125"/>
      <c r="BF443" s="125"/>
    </row>
    <row r="444" spans="1:58" ht="15.75" customHeight="1">
      <c r="A444" s="125"/>
      <c r="B444" s="125"/>
      <c r="C444" s="125"/>
      <c r="D444" s="125"/>
      <c r="E444" s="125"/>
      <c r="F444" s="125"/>
      <c r="G444" s="125"/>
      <c r="H444" s="125"/>
      <c r="I444" s="125"/>
      <c r="J444" s="125"/>
      <c r="K444" s="125"/>
      <c r="L444" s="125"/>
      <c r="M444" s="125"/>
      <c r="N444" s="125"/>
      <c r="O444" s="125"/>
      <c r="P444" s="125"/>
      <c r="Q444" s="125"/>
      <c r="R444" s="125"/>
      <c r="S444" s="125"/>
      <c r="T444" s="125"/>
      <c r="U444" s="125"/>
      <c r="V444" s="125"/>
      <c r="W444" s="125"/>
      <c r="X444" s="125"/>
      <c r="Y444" s="125"/>
      <c r="Z444" s="125"/>
      <c r="AA444" s="125"/>
      <c r="AB444" s="125"/>
      <c r="AC444" s="125"/>
      <c r="AD444" s="125"/>
      <c r="AE444" s="125"/>
      <c r="AF444" s="125"/>
      <c r="AG444" s="125"/>
      <c r="AH444" s="125"/>
      <c r="AI444" s="125"/>
      <c r="AJ444" s="125"/>
      <c r="AK444" s="125"/>
      <c r="AL444" s="125"/>
      <c r="AM444" s="125"/>
      <c r="AN444" s="125"/>
      <c r="AO444" s="125"/>
      <c r="AP444" s="125"/>
      <c r="AQ444" s="125"/>
      <c r="AR444" s="125"/>
      <c r="AS444" s="125"/>
      <c r="AT444" s="125"/>
      <c r="AU444" s="125"/>
      <c r="AV444" s="125"/>
      <c r="AW444" s="125"/>
      <c r="AX444" s="125"/>
      <c r="AY444" s="125"/>
      <c r="AZ444" s="125"/>
      <c r="BA444" s="125"/>
      <c r="BB444" s="125"/>
      <c r="BC444" s="125"/>
      <c r="BD444" s="125"/>
      <c r="BE444" s="125"/>
      <c r="BF444" s="125"/>
    </row>
    <row r="445" spans="1:58" ht="15.75" customHeight="1">
      <c r="A445" s="125"/>
      <c r="B445" s="125"/>
      <c r="C445" s="125"/>
      <c r="D445" s="125"/>
      <c r="E445" s="125"/>
      <c r="F445" s="125"/>
      <c r="G445" s="125"/>
      <c r="H445" s="125"/>
      <c r="I445" s="125"/>
      <c r="J445" s="125"/>
      <c r="K445" s="125"/>
      <c r="L445" s="125"/>
      <c r="M445" s="125"/>
      <c r="N445" s="125"/>
      <c r="O445" s="125"/>
      <c r="P445" s="125"/>
      <c r="Q445" s="125"/>
      <c r="R445" s="125"/>
      <c r="S445" s="125"/>
      <c r="T445" s="125"/>
      <c r="U445" s="125"/>
      <c r="V445" s="125"/>
      <c r="W445" s="125"/>
      <c r="X445" s="125"/>
      <c r="Y445" s="125"/>
      <c r="Z445" s="125"/>
      <c r="AA445" s="125"/>
      <c r="AB445" s="125"/>
      <c r="AC445" s="125"/>
      <c r="AD445" s="125"/>
      <c r="AE445" s="125"/>
      <c r="AF445" s="125"/>
      <c r="AG445" s="125"/>
      <c r="AH445" s="125"/>
      <c r="AI445" s="125"/>
      <c r="AJ445" s="125"/>
      <c r="AK445" s="125"/>
      <c r="AL445" s="125"/>
      <c r="AM445" s="125"/>
      <c r="AN445" s="125"/>
      <c r="AO445" s="125"/>
      <c r="AP445" s="125"/>
      <c r="AQ445" s="125"/>
      <c r="AR445" s="125"/>
      <c r="AS445" s="125"/>
      <c r="AT445" s="125"/>
      <c r="AU445" s="125"/>
      <c r="AV445" s="125"/>
      <c r="AW445" s="125"/>
      <c r="AX445" s="125"/>
      <c r="AY445" s="125"/>
      <c r="AZ445" s="125"/>
      <c r="BA445" s="125"/>
      <c r="BB445" s="125"/>
      <c r="BC445" s="125"/>
      <c r="BD445" s="125"/>
      <c r="BE445" s="125"/>
      <c r="BF445" s="125"/>
    </row>
    <row r="446" spans="1:58" ht="15.75" customHeight="1">
      <c r="A446" s="125"/>
      <c r="B446" s="125"/>
      <c r="C446" s="125"/>
      <c r="D446" s="125"/>
      <c r="E446" s="125"/>
      <c r="F446" s="125"/>
      <c r="G446" s="125"/>
      <c r="H446" s="125"/>
      <c r="I446" s="125"/>
      <c r="J446" s="125"/>
      <c r="K446" s="125"/>
      <c r="L446" s="125"/>
      <c r="M446" s="125"/>
      <c r="N446" s="125"/>
      <c r="O446" s="125"/>
      <c r="P446" s="125"/>
      <c r="Q446" s="125"/>
      <c r="R446" s="125"/>
      <c r="S446" s="125"/>
      <c r="T446" s="125"/>
      <c r="U446" s="125"/>
      <c r="V446" s="125"/>
      <c r="W446" s="125"/>
      <c r="X446" s="125"/>
      <c r="Y446" s="125"/>
      <c r="Z446" s="125"/>
      <c r="AA446" s="125"/>
      <c r="AB446" s="125"/>
      <c r="AC446" s="125"/>
      <c r="AD446" s="125"/>
      <c r="AE446" s="125"/>
      <c r="AF446" s="125"/>
      <c r="AG446" s="125"/>
      <c r="AH446" s="125"/>
      <c r="AI446" s="125"/>
      <c r="AJ446" s="125"/>
      <c r="AK446" s="125"/>
      <c r="AL446" s="125"/>
      <c r="AM446" s="125"/>
      <c r="AN446" s="125"/>
      <c r="AO446" s="125"/>
      <c r="AP446" s="125"/>
      <c r="AQ446" s="125"/>
      <c r="AR446" s="125"/>
      <c r="AS446" s="125"/>
      <c r="AT446" s="125"/>
      <c r="AU446" s="125"/>
      <c r="AV446" s="125"/>
      <c r="AW446" s="125"/>
      <c r="AX446" s="125"/>
      <c r="AY446" s="125"/>
      <c r="AZ446" s="125"/>
      <c r="BA446" s="125"/>
      <c r="BB446" s="125"/>
      <c r="BC446" s="125"/>
      <c r="BD446" s="125"/>
      <c r="BE446" s="125"/>
      <c r="BF446" s="125"/>
    </row>
    <row r="447" spans="1:58" ht="15.75" customHeight="1">
      <c r="A447" s="125"/>
      <c r="B447" s="125"/>
      <c r="C447" s="125"/>
      <c r="D447" s="125"/>
      <c r="E447" s="125"/>
      <c r="F447" s="125"/>
      <c r="G447" s="125"/>
      <c r="H447" s="125"/>
      <c r="I447" s="125"/>
      <c r="J447" s="125"/>
      <c r="K447" s="125"/>
      <c r="L447" s="125"/>
      <c r="M447" s="125"/>
      <c r="N447" s="125"/>
      <c r="O447" s="125"/>
      <c r="P447" s="125"/>
      <c r="Q447" s="125"/>
      <c r="R447" s="125"/>
      <c r="S447" s="125"/>
      <c r="T447" s="125"/>
      <c r="U447" s="125"/>
      <c r="V447" s="125"/>
      <c r="W447" s="125"/>
      <c r="X447" s="125"/>
      <c r="Y447" s="125"/>
      <c r="Z447" s="125"/>
      <c r="AA447" s="125"/>
      <c r="AB447" s="125"/>
      <c r="AC447" s="125"/>
      <c r="AD447" s="125"/>
      <c r="AE447" s="125"/>
      <c r="AF447" s="125"/>
      <c r="AG447" s="125"/>
      <c r="AH447" s="125"/>
      <c r="AI447" s="125"/>
      <c r="AJ447" s="125"/>
      <c r="AK447" s="125"/>
      <c r="AL447" s="125"/>
      <c r="AM447" s="125"/>
      <c r="AN447" s="125"/>
      <c r="AO447" s="125"/>
      <c r="AP447" s="125"/>
      <c r="AQ447" s="125"/>
      <c r="AR447" s="125"/>
      <c r="AS447" s="125"/>
      <c r="AT447" s="125"/>
      <c r="AU447" s="125"/>
      <c r="AV447" s="125"/>
      <c r="AW447" s="125"/>
      <c r="AX447" s="125"/>
      <c r="AY447" s="125"/>
      <c r="AZ447" s="125"/>
      <c r="BA447" s="125"/>
      <c r="BB447" s="125"/>
      <c r="BC447" s="125"/>
      <c r="BD447" s="125"/>
      <c r="BE447" s="125"/>
      <c r="BF447" s="125"/>
    </row>
    <row r="448" spans="1:58" ht="15.75" customHeight="1">
      <c r="A448" s="125"/>
      <c r="B448" s="125"/>
      <c r="C448" s="125"/>
      <c r="D448" s="125"/>
      <c r="E448" s="125"/>
      <c r="F448" s="125"/>
      <c r="G448" s="125"/>
      <c r="H448" s="125"/>
      <c r="I448" s="125"/>
      <c r="J448" s="125"/>
      <c r="K448" s="125"/>
      <c r="L448" s="125"/>
      <c r="M448" s="125"/>
      <c r="N448" s="125"/>
      <c r="O448" s="125"/>
      <c r="P448" s="125"/>
      <c r="Q448" s="125"/>
      <c r="R448" s="125"/>
      <c r="S448" s="125"/>
      <c r="T448" s="125"/>
      <c r="U448" s="125"/>
      <c r="V448" s="125"/>
      <c r="W448" s="125"/>
      <c r="X448" s="125"/>
      <c r="Y448" s="125"/>
      <c r="Z448" s="125"/>
      <c r="AA448" s="125"/>
      <c r="AB448" s="125"/>
      <c r="AC448" s="125"/>
      <c r="AD448" s="125"/>
      <c r="AE448" s="125"/>
      <c r="AF448" s="125"/>
      <c r="AG448" s="125"/>
      <c r="AH448" s="125"/>
      <c r="AI448" s="125"/>
      <c r="AJ448" s="125"/>
      <c r="AK448" s="125"/>
      <c r="AL448" s="125"/>
      <c r="AM448" s="125"/>
      <c r="AN448" s="125"/>
      <c r="AO448" s="125"/>
      <c r="AP448" s="125"/>
      <c r="AQ448" s="125"/>
      <c r="AR448" s="125"/>
      <c r="AS448" s="125"/>
      <c r="AT448" s="125"/>
      <c r="AU448" s="125"/>
      <c r="AV448" s="125"/>
      <c r="AW448" s="125"/>
      <c r="AX448" s="125"/>
      <c r="AY448" s="125"/>
      <c r="AZ448" s="125"/>
      <c r="BA448" s="125"/>
      <c r="BB448" s="125"/>
      <c r="BC448" s="125"/>
      <c r="BD448" s="125"/>
      <c r="BE448" s="125"/>
      <c r="BF448" s="125"/>
    </row>
    <row r="449" spans="1:58" ht="15.75" customHeight="1">
      <c r="A449" s="125"/>
      <c r="B449" s="125"/>
      <c r="C449" s="125"/>
      <c r="D449" s="125"/>
      <c r="E449" s="125"/>
      <c r="F449" s="125"/>
      <c r="G449" s="125"/>
      <c r="H449" s="125"/>
      <c r="I449" s="125"/>
      <c r="J449" s="125"/>
      <c r="K449" s="125"/>
      <c r="L449" s="125"/>
      <c r="M449" s="125"/>
      <c r="N449" s="125"/>
      <c r="O449" s="125"/>
      <c r="P449" s="125"/>
      <c r="Q449" s="125"/>
      <c r="R449" s="125"/>
      <c r="S449" s="125"/>
      <c r="T449" s="125"/>
      <c r="U449" s="125"/>
      <c r="V449" s="125"/>
      <c r="W449" s="125"/>
      <c r="X449" s="125"/>
      <c r="Y449" s="125"/>
      <c r="Z449" s="125"/>
      <c r="AA449" s="125"/>
      <c r="AB449" s="125"/>
      <c r="AC449" s="125"/>
      <c r="AD449" s="125"/>
      <c r="AE449" s="125"/>
      <c r="AF449" s="125"/>
      <c r="AG449" s="125"/>
      <c r="AH449" s="125"/>
      <c r="AI449" s="125"/>
      <c r="AJ449" s="125"/>
      <c r="AK449" s="125"/>
      <c r="AL449" s="125"/>
      <c r="AM449" s="125"/>
      <c r="AN449" s="125"/>
      <c r="AO449" s="125"/>
      <c r="AP449" s="125"/>
      <c r="AQ449" s="125"/>
      <c r="AR449" s="125"/>
      <c r="AS449" s="125"/>
      <c r="AT449" s="125"/>
      <c r="AU449" s="125"/>
      <c r="AV449" s="125"/>
      <c r="AW449" s="125"/>
      <c r="AX449" s="125"/>
      <c r="AY449" s="125"/>
      <c r="AZ449" s="125"/>
      <c r="BA449" s="125"/>
      <c r="BB449" s="125"/>
      <c r="BC449" s="125"/>
      <c r="BD449" s="125"/>
      <c r="BE449" s="125"/>
      <c r="BF449" s="125"/>
    </row>
    <row r="450" spans="1:58" ht="15.75" customHeight="1">
      <c r="A450" s="125"/>
      <c r="B450" s="125"/>
      <c r="C450" s="125"/>
      <c r="D450" s="125"/>
      <c r="E450" s="125"/>
      <c r="F450" s="125"/>
      <c r="G450" s="125"/>
      <c r="H450" s="125"/>
      <c r="I450" s="125"/>
      <c r="J450" s="125"/>
      <c r="K450" s="125"/>
      <c r="L450" s="125"/>
      <c r="M450" s="125"/>
      <c r="N450" s="125"/>
      <c r="O450" s="125"/>
      <c r="P450" s="125"/>
      <c r="Q450" s="125"/>
      <c r="R450" s="125"/>
      <c r="S450" s="125"/>
      <c r="T450" s="125"/>
      <c r="U450" s="125"/>
      <c r="V450" s="125"/>
      <c r="W450" s="125"/>
      <c r="X450" s="125"/>
      <c r="Y450" s="125"/>
      <c r="Z450" s="125"/>
      <c r="AA450" s="125"/>
      <c r="AB450" s="125"/>
      <c r="AC450" s="125"/>
      <c r="AD450" s="125"/>
      <c r="AE450" s="125"/>
      <c r="AF450" s="125"/>
      <c r="AG450" s="125"/>
      <c r="AH450" s="125"/>
      <c r="AI450" s="125"/>
      <c r="AJ450" s="125"/>
      <c r="AK450" s="125"/>
      <c r="AL450" s="125"/>
      <c r="AM450" s="125"/>
      <c r="AN450" s="125"/>
      <c r="AO450" s="125"/>
      <c r="AP450" s="125"/>
      <c r="AQ450" s="125"/>
      <c r="AR450" s="125"/>
      <c r="AS450" s="125"/>
      <c r="AT450" s="125"/>
      <c r="AU450" s="125"/>
      <c r="AV450" s="125"/>
      <c r="AW450" s="125"/>
      <c r="AX450" s="125"/>
      <c r="AY450" s="125"/>
      <c r="AZ450" s="125"/>
      <c r="BA450" s="125"/>
      <c r="BB450" s="125"/>
      <c r="BC450" s="125"/>
      <c r="BD450" s="125"/>
      <c r="BE450" s="125"/>
      <c r="BF450" s="125"/>
    </row>
    <row r="451" spans="1:58" ht="15.75" customHeight="1">
      <c r="A451" s="125"/>
      <c r="B451" s="125"/>
      <c r="C451" s="125"/>
      <c r="D451" s="125"/>
      <c r="E451" s="125"/>
      <c r="F451" s="125"/>
      <c r="G451" s="125"/>
      <c r="H451" s="125"/>
      <c r="I451" s="125"/>
      <c r="J451" s="125"/>
      <c r="K451" s="125"/>
      <c r="L451" s="125"/>
      <c r="M451" s="125"/>
      <c r="N451" s="125"/>
      <c r="O451" s="125"/>
      <c r="P451" s="125"/>
      <c r="Q451" s="125"/>
      <c r="R451" s="125"/>
      <c r="S451" s="125"/>
      <c r="T451" s="125"/>
      <c r="U451" s="125"/>
      <c r="V451" s="125"/>
      <c r="W451" s="125"/>
      <c r="X451" s="125"/>
      <c r="Y451" s="125"/>
      <c r="Z451" s="125"/>
      <c r="AA451" s="125"/>
      <c r="AB451" s="125"/>
      <c r="AC451" s="125"/>
      <c r="AD451" s="125"/>
      <c r="AE451" s="125"/>
      <c r="AF451" s="125"/>
      <c r="AG451" s="125"/>
      <c r="AH451" s="125"/>
      <c r="AI451" s="125"/>
      <c r="AJ451" s="125"/>
      <c r="AK451" s="125"/>
      <c r="AL451" s="125"/>
      <c r="AM451" s="125"/>
      <c r="AN451" s="125"/>
      <c r="AO451" s="125"/>
      <c r="AP451" s="125"/>
      <c r="AQ451" s="125"/>
      <c r="AR451" s="125"/>
      <c r="AS451" s="125"/>
      <c r="AT451" s="125"/>
      <c r="AU451" s="125"/>
      <c r="AV451" s="125"/>
      <c r="AW451" s="125"/>
      <c r="AX451" s="125"/>
      <c r="AY451" s="125"/>
      <c r="AZ451" s="125"/>
      <c r="BA451" s="125"/>
      <c r="BB451" s="125"/>
      <c r="BC451" s="125"/>
      <c r="BD451" s="125"/>
      <c r="BE451" s="125"/>
      <c r="BF451" s="125"/>
    </row>
    <row r="452" spans="1:58" ht="15.75" customHeight="1">
      <c r="A452" s="125"/>
      <c r="B452" s="125"/>
      <c r="C452" s="125"/>
      <c r="D452" s="125"/>
      <c r="E452" s="125"/>
      <c r="F452" s="125"/>
      <c r="G452" s="125"/>
      <c r="H452" s="125"/>
      <c r="I452" s="125"/>
      <c r="J452" s="125"/>
      <c r="K452" s="125"/>
      <c r="L452" s="125"/>
      <c r="M452" s="125"/>
      <c r="N452" s="125"/>
      <c r="O452" s="125"/>
      <c r="P452" s="125"/>
      <c r="Q452" s="125"/>
      <c r="R452" s="125"/>
      <c r="S452" s="125"/>
      <c r="T452" s="125"/>
      <c r="U452" s="125"/>
      <c r="V452" s="125"/>
      <c r="W452" s="125"/>
      <c r="X452" s="125"/>
      <c r="Y452" s="125"/>
      <c r="Z452" s="125"/>
      <c r="AA452" s="125"/>
      <c r="AB452" s="125"/>
      <c r="AC452" s="125"/>
      <c r="AD452" s="125"/>
      <c r="AE452" s="125"/>
      <c r="AF452" s="125"/>
      <c r="AG452" s="125"/>
      <c r="AH452" s="125"/>
      <c r="AI452" s="125"/>
      <c r="AJ452" s="125"/>
      <c r="AK452" s="125"/>
      <c r="AL452" s="125"/>
      <c r="AM452" s="125"/>
      <c r="AN452" s="125"/>
      <c r="AO452" s="125"/>
      <c r="AP452" s="125"/>
      <c r="AQ452" s="125"/>
      <c r="AR452" s="125"/>
      <c r="AS452" s="125"/>
      <c r="AT452" s="125"/>
      <c r="AU452" s="125"/>
      <c r="AV452" s="125"/>
      <c r="AW452" s="125"/>
      <c r="AX452" s="125"/>
      <c r="AY452" s="125"/>
      <c r="AZ452" s="125"/>
      <c r="BA452" s="125"/>
      <c r="BB452" s="125"/>
      <c r="BC452" s="125"/>
      <c r="BD452" s="125"/>
      <c r="BE452" s="125"/>
      <c r="BF452" s="125"/>
    </row>
    <row r="453" spans="1:58" ht="15.75" customHeight="1">
      <c r="A453" s="125"/>
      <c r="B453" s="125"/>
      <c r="C453" s="125"/>
      <c r="D453" s="125"/>
      <c r="E453" s="125"/>
      <c r="F453" s="125"/>
      <c r="G453" s="125"/>
      <c r="H453" s="125"/>
      <c r="I453" s="125"/>
      <c r="J453" s="125"/>
      <c r="K453" s="125"/>
      <c r="L453" s="125"/>
      <c r="M453" s="125"/>
      <c r="N453" s="125"/>
      <c r="O453" s="125"/>
      <c r="P453" s="125"/>
      <c r="Q453" s="125"/>
      <c r="R453" s="125"/>
      <c r="S453" s="125"/>
      <c r="T453" s="125"/>
      <c r="U453" s="125"/>
      <c r="V453" s="125"/>
      <c r="W453" s="125"/>
      <c r="X453" s="125"/>
      <c r="Y453" s="125"/>
      <c r="Z453" s="125"/>
      <c r="AA453" s="125"/>
      <c r="AB453" s="125"/>
      <c r="AC453" s="125"/>
      <c r="AD453" s="125"/>
      <c r="AE453" s="125"/>
      <c r="AF453" s="125"/>
      <c r="AG453" s="125"/>
      <c r="AH453" s="125"/>
      <c r="AI453" s="125"/>
      <c r="AJ453" s="125"/>
      <c r="AK453" s="125"/>
      <c r="AL453" s="125"/>
      <c r="AM453" s="125"/>
      <c r="AN453" s="125"/>
      <c r="AO453" s="125"/>
      <c r="AP453" s="125"/>
      <c r="AQ453" s="125"/>
      <c r="AR453" s="125"/>
      <c r="AS453" s="125"/>
      <c r="AT453" s="125"/>
      <c r="AU453" s="125"/>
      <c r="AV453" s="125"/>
      <c r="AW453" s="125"/>
      <c r="AX453" s="125"/>
      <c r="AY453" s="125"/>
      <c r="AZ453" s="125"/>
      <c r="BA453" s="125"/>
      <c r="BB453" s="125"/>
      <c r="BC453" s="125"/>
      <c r="BD453" s="125"/>
      <c r="BE453" s="125"/>
      <c r="BF453" s="125"/>
    </row>
    <row r="454" spans="1:58" ht="15.75" customHeight="1">
      <c r="A454" s="125"/>
      <c r="B454" s="125"/>
      <c r="C454" s="125"/>
      <c r="D454" s="125"/>
      <c r="E454" s="125"/>
      <c r="F454" s="125"/>
      <c r="G454" s="125"/>
      <c r="H454" s="125"/>
      <c r="I454" s="125"/>
      <c r="J454" s="125"/>
      <c r="K454" s="125"/>
      <c r="L454" s="125"/>
      <c r="M454" s="125"/>
      <c r="N454" s="125"/>
      <c r="O454" s="125"/>
      <c r="P454" s="125"/>
      <c r="Q454" s="125"/>
      <c r="R454" s="125"/>
      <c r="S454" s="125"/>
      <c r="T454" s="125"/>
      <c r="U454" s="125"/>
      <c r="V454" s="125"/>
      <c r="W454" s="125"/>
      <c r="X454" s="125"/>
      <c r="Y454" s="125"/>
      <c r="Z454" s="125"/>
      <c r="AA454" s="125"/>
      <c r="AB454" s="125"/>
      <c r="AC454" s="125"/>
      <c r="AD454" s="125"/>
      <c r="AE454" s="125"/>
      <c r="AF454" s="125"/>
      <c r="AG454" s="125"/>
      <c r="AH454" s="125"/>
      <c r="AI454" s="125"/>
      <c r="AJ454" s="125"/>
      <c r="AK454" s="125"/>
      <c r="AL454" s="125"/>
      <c r="AM454" s="125"/>
      <c r="AN454" s="125"/>
      <c r="AO454" s="125"/>
      <c r="AP454" s="125"/>
      <c r="AQ454" s="125"/>
      <c r="AR454" s="125"/>
      <c r="AS454" s="125"/>
      <c r="AT454" s="125"/>
      <c r="AU454" s="125"/>
      <c r="AV454" s="125"/>
      <c r="AW454" s="125"/>
      <c r="AX454" s="125"/>
      <c r="AY454" s="125"/>
      <c r="AZ454" s="125"/>
      <c r="BA454" s="125"/>
      <c r="BB454" s="125"/>
      <c r="BC454" s="125"/>
      <c r="BD454" s="125"/>
      <c r="BE454" s="125"/>
      <c r="BF454" s="125"/>
    </row>
    <row r="455" spans="1:58" ht="15.75" customHeight="1">
      <c r="A455" s="125"/>
      <c r="B455" s="125"/>
      <c r="C455" s="125"/>
      <c r="D455" s="125"/>
      <c r="E455" s="125"/>
      <c r="F455" s="125"/>
      <c r="G455" s="125"/>
      <c r="H455" s="125"/>
      <c r="I455" s="125"/>
      <c r="J455" s="125"/>
      <c r="K455" s="125"/>
      <c r="L455" s="125"/>
      <c r="M455" s="125"/>
      <c r="N455" s="125"/>
      <c r="O455" s="125"/>
      <c r="P455" s="125"/>
      <c r="Q455" s="125"/>
      <c r="R455" s="125"/>
      <c r="S455" s="125"/>
      <c r="T455" s="125"/>
      <c r="U455" s="125"/>
      <c r="V455" s="125"/>
      <c r="W455" s="125"/>
      <c r="X455" s="125"/>
      <c r="Y455" s="125"/>
      <c r="Z455" s="125"/>
      <c r="AA455" s="125"/>
      <c r="AB455" s="125"/>
      <c r="AC455" s="125"/>
      <c r="AD455" s="125"/>
      <c r="AE455" s="125"/>
      <c r="AF455" s="125"/>
      <c r="AG455" s="125"/>
      <c r="AH455" s="125"/>
      <c r="AI455" s="125"/>
      <c r="AJ455" s="125"/>
      <c r="AK455" s="125"/>
      <c r="AL455" s="125"/>
      <c r="AM455" s="125"/>
      <c r="AN455" s="125"/>
      <c r="AO455" s="125"/>
      <c r="AP455" s="125"/>
      <c r="AQ455" s="125"/>
      <c r="AR455" s="125"/>
      <c r="AS455" s="125"/>
      <c r="AT455" s="125"/>
      <c r="AU455" s="125"/>
      <c r="AV455" s="125"/>
      <c r="AW455" s="125"/>
      <c r="AX455" s="125"/>
      <c r="AY455" s="125"/>
      <c r="AZ455" s="125"/>
      <c r="BA455" s="125"/>
      <c r="BB455" s="125"/>
      <c r="BC455" s="125"/>
      <c r="BD455" s="125"/>
      <c r="BE455" s="125"/>
      <c r="BF455" s="125"/>
    </row>
    <row r="456" spans="1:58" ht="15.75" customHeight="1">
      <c r="A456" s="125"/>
      <c r="B456" s="125"/>
      <c r="C456" s="125"/>
      <c r="D456" s="125"/>
      <c r="E456" s="125"/>
      <c r="F456" s="125"/>
      <c r="G456" s="125"/>
      <c r="H456" s="125"/>
      <c r="I456" s="125"/>
      <c r="J456" s="125"/>
      <c r="K456" s="125"/>
      <c r="L456" s="125"/>
      <c r="M456" s="125"/>
      <c r="N456" s="125"/>
      <c r="O456" s="125"/>
      <c r="P456" s="125"/>
      <c r="Q456" s="125"/>
      <c r="R456" s="125"/>
      <c r="S456" s="125"/>
      <c r="T456" s="125"/>
      <c r="U456" s="125"/>
      <c r="V456" s="125"/>
      <c r="W456" s="125"/>
      <c r="X456" s="125"/>
      <c r="Y456" s="125"/>
      <c r="Z456" s="125"/>
      <c r="AA456" s="125"/>
      <c r="AB456" s="125"/>
      <c r="AC456" s="125"/>
      <c r="AD456" s="125"/>
      <c r="AE456" s="125"/>
      <c r="AF456" s="125"/>
      <c r="AG456" s="125"/>
      <c r="AH456" s="125"/>
      <c r="AI456" s="125"/>
      <c r="AJ456" s="125"/>
      <c r="AK456" s="125"/>
      <c r="AL456" s="125"/>
      <c r="AM456" s="125"/>
      <c r="AN456" s="125"/>
      <c r="AO456" s="125"/>
      <c r="AP456" s="125"/>
      <c r="AQ456" s="125"/>
      <c r="AR456" s="125"/>
      <c r="AS456" s="125"/>
      <c r="AT456" s="125"/>
      <c r="AU456" s="125"/>
      <c r="AV456" s="125"/>
      <c r="AW456" s="125"/>
      <c r="AX456" s="125"/>
      <c r="AY456" s="125"/>
      <c r="AZ456" s="125"/>
      <c r="BA456" s="125"/>
      <c r="BB456" s="125"/>
      <c r="BC456" s="125"/>
      <c r="BD456" s="125"/>
      <c r="BE456" s="125"/>
      <c r="BF456" s="125"/>
    </row>
    <row r="457" spans="1:58" ht="15.75" customHeight="1">
      <c r="A457" s="125"/>
      <c r="B457" s="125"/>
      <c r="C457" s="125"/>
      <c r="D457" s="125"/>
      <c r="E457" s="125"/>
      <c r="F457" s="125"/>
      <c r="G457" s="125"/>
      <c r="H457" s="125"/>
      <c r="I457" s="125"/>
      <c r="J457" s="125"/>
      <c r="K457" s="125"/>
      <c r="L457" s="125"/>
      <c r="M457" s="125"/>
      <c r="N457" s="125"/>
      <c r="O457" s="125"/>
      <c r="P457" s="125"/>
      <c r="Q457" s="125"/>
      <c r="R457" s="125"/>
      <c r="S457" s="125"/>
      <c r="T457" s="125"/>
      <c r="U457" s="125"/>
      <c r="V457" s="125"/>
      <c r="W457" s="125"/>
      <c r="X457" s="125"/>
      <c r="Y457" s="125"/>
      <c r="Z457" s="125"/>
      <c r="AA457" s="125"/>
      <c r="AB457" s="125"/>
      <c r="AC457" s="125"/>
      <c r="AD457" s="125"/>
      <c r="AE457" s="125"/>
      <c r="AF457" s="125"/>
      <c r="AG457" s="125"/>
      <c r="AH457" s="125"/>
      <c r="AI457" s="125"/>
      <c r="AJ457" s="125"/>
      <c r="AK457" s="125"/>
      <c r="AL457" s="125"/>
      <c r="AM457" s="125"/>
      <c r="AN457" s="125"/>
      <c r="AO457" s="125"/>
      <c r="AP457" s="125"/>
      <c r="AQ457" s="125"/>
      <c r="AR457" s="125"/>
      <c r="AS457" s="125"/>
      <c r="AT457" s="125"/>
      <c r="AU457" s="125"/>
      <c r="AV457" s="125"/>
      <c r="AW457" s="125"/>
      <c r="AX457" s="125"/>
      <c r="AY457" s="125"/>
      <c r="AZ457" s="125"/>
      <c r="BA457" s="125"/>
      <c r="BB457" s="125"/>
      <c r="BC457" s="125"/>
      <c r="BD457" s="125"/>
      <c r="BE457" s="125"/>
      <c r="BF457" s="125"/>
    </row>
    <row r="458" spans="1:58" ht="15.75" customHeight="1">
      <c r="A458" s="125"/>
      <c r="B458" s="125"/>
      <c r="C458" s="125"/>
      <c r="D458" s="125"/>
      <c r="E458" s="125"/>
      <c r="F458" s="125"/>
      <c r="G458" s="125"/>
      <c r="H458" s="125"/>
      <c r="I458" s="125"/>
      <c r="J458" s="125"/>
      <c r="K458" s="125"/>
      <c r="L458" s="125"/>
      <c r="M458" s="125"/>
      <c r="N458" s="125"/>
      <c r="O458" s="125"/>
      <c r="P458" s="125"/>
      <c r="Q458" s="125"/>
      <c r="R458" s="125"/>
      <c r="S458" s="125"/>
      <c r="T458" s="125"/>
      <c r="U458" s="125"/>
      <c r="V458" s="125"/>
      <c r="W458" s="125"/>
      <c r="X458" s="125"/>
      <c r="Y458" s="125"/>
      <c r="Z458" s="125"/>
      <c r="AA458" s="125"/>
      <c r="AB458" s="125"/>
      <c r="AC458" s="125"/>
      <c r="AD458" s="125"/>
      <c r="AE458" s="125"/>
      <c r="AF458" s="125"/>
      <c r="AG458" s="125"/>
      <c r="AH458" s="125"/>
      <c r="AI458" s="125"/>
      <c r="AJ458" s="125"/>
      <c r="AK458" s="125"/>
      <c r="AL458" s="125"/>
      <c r="AM458" s="125"/>
      <c r="AN458" s="125"/>
      <c r="AO458" s="125"/>
      <c r="AP458" s="125"/>
      <c r="AQ458" s="125"/>
      <c r="AR458" s="125"/>
      <c r="AS458" s="125"/>
      <c r="AT458" s="125"/>
      <c r="AU458" s="125"/>
      <c r="AV458" s="125"/>
      <c r="AW458" s="125"/>
      <c r="AX458" s="125"/>
      <c r="AY458" s="125"/>
      <c r="AZ458" s="125"/>
      <c r="BA458" s="125"/>
      <c r="BB458" s="125"/>
      <c r="BC458" s="125"/>
      <c r="BD458" s="125"/>
      <c r="BE458" s="125"/>
      <c r="BF458" s="125"/>
    </row>
    <row r="459" spans="1:58" ht="15.75" customHeight="1">
      <c r="A459" s="125"/>
      <c r="B459" s="125"/>
      <c r="C459" s="125"/>
      <c r="D459" s="125"/>
      <c r="E459" s="125"/>
      <c r="F459" s="125"/>
      <c r="G459" s="125"/>
      <c r="H459" s="125"/>
      <c r="I459" s="125"/>
      <c r="J459" s="125"/>
      <c r="K459" s="125"/>
      <c r="L459" s="125"/>
      <c r="M459" s="125"/>
      <c r="N459" s="125"/>
      <c r="O459" s="125"/>
      <c r="P459" s="125"/>
      <c r="Q459" s="125"/>
      <c r="R459" s="125"/>
      <c r="S459" s="125"/>
      <c r="T459" s="125"/>
      <c r="U459" s="125"/>
      <c r="V459" s="125"/>
      <c r="W459" s="125"/>
      <c r="X459" s="125"/>
      <c r="Y459" s="125"/>
      <c r="Z459" s="125"/>
      <c r="AA459" s="125"/>
      <c r="AB459" s="125"/>
      <c r="AC459" s="125"/>
      <c r="AD459" s="125"/>
      <c r="AE459" s="125"/>
      <c r="AF459" s="125"/>
      <c r="AG459" s="125"/>
      <c r="AH459" s="125"/>
      <c r="AI459" s="125"/>
      <c r="AJ459" s="125"/>
      <c r="AK459" s="125"/>
      <c r="AL459" s="125"/>
      <c r="AM459" s="125"/>
      <c r="AN459" s="125"/>
      <c r="AO459" s="125"/>
      <c r="AP459" s="125"/>
      <c r="AQ459" s="125"/>
      <c r="AR459" s="125"/>
      <c r="AS459" s="125"/>
      <c r="AT459" s="125"/>
      <c r="AU459" s="125"/>
      <c r="AV459" s="125"/>
      <c r="AW459" s="125"/>
      <c r="AX459" s="125"/>
      <c r="AY459" s="125"/>
      <c r="AZ459" s="125"/>
      <c r="BA459" s="125"/>
      <c r="BB459" s="125"/>
      <c r="BC459" s="125"/>
      <c r="BD459" s="125"/>
      <c r="BE459" s="125"/>
      <c r="BF459" s="125"/>
    </row>
    <row r="460" spans="1:58" ht="15.75" customHeight="1">
      <c r="A460" s="125"/>
      <c r="B460" s="125"/>
      <c r="C460" s="125"/>
      <c r="D460" s="125"/>
      <c r="E460" s="125"/>
      <c r="F460" s="125"/>
      <c r="G460" s="125"/>
      <c r="H460" s="125"/>
      <c r="I460" s="125"/>
      <c r="J460" s="125"/>
      <c r="K460" s="125"/>
      <c r="L460" s="125"/>
      <c r="M460" s="125"/>
      <c r="N460" s="125"/>
      <c r="O460" s="125"/>
      <c r="P460" s="125"/>
      <c r="Q460" s="125"/>
      <c r="R460" s="125"/>
      <c r="S460" s="125"/>
      <c r="T460" s="125"/>
      <c r="U460" s="125"/>
      <c r="V460" s="125"/>
      <c r="W460" s="125"/>
      <c r="X460" s="125"/>
      <c r="Y460" s="125"/>
      <c r="Z460" s="125"/>
      <c r="AA460" s="125"/>
      <c r="AB460" s="125"/>
      <c r="AC460" s="125"/>
      <c r="AD460" s="125"/>
      <c r="AE460" s="125"/>
      <c r="AF460" s="125"/>
      <c r="AG460" s="125"/>
      <c r="AH460" s="125"/>
      <c r="AI460" s="125"/>
      <c r="AJ460" s="125"/>
      <c r="AK460" s="125"/>
      <c r="AL460" s="125"/>
      <c r="AM460" s="125"/>
      <c r="AN460" s="125"/>
      <c r="AO460" s="125"/>
      <c r="AP460" s="125"/>
      <c r="AQ460" s="125"/>
      <c r="AR460" s="125"/>
      <c r="AS460" s="125"/>
      <c r="AT460" s="125"/>
      <c r="AU460" s="125"/>
      <c r="AV460" s="125"/>
      <c r="AW460" s="125"/>
      <c r="AX460" s="125"/>
      <c r="AY460" s="125"/>
      <c r="AZ460" s="125"/>
      <c r="BA460" s="125"/>
      <c r="BB460" s="125"/>
      <c r="BC460" s="125"/>
      <c r="BD460" s="125"/>
      <c r="BE460" s="125"/>
      <c r="BF460" s="125"/>
    </row>
    <row r="461" spans="1:58" ht="15.75" customHeight="1">
      <c r="A461" s="125"/>
      <c r="B461" s="125"/>
      <c r="C461" s="125"/>
      <c r="D461" s="125"/>
      <c r="E461" s="125"/>
      <c r="F461" s="125"/>
      <c r="G461" s="125"/>
      <c r="H461" s="125"/>
      <c r="I461" s="125"/>
      <c r="J461" s="125"/>
      <c r="K461" s="125"/>
      <c r="L461" s="125"/>
      <c r="M461" s="125"/>
      <c r="N461" s="125"/>
      <c r="O461" s="125"/>
      <c r="P461" s="125"/>
      <c r="Q461" s="125"/>
      <c r="R461" s="125"/>
      <c r="S461" s="125"/>
      <c r="T461" s="125"/>
      <c r="U461" s="125"/>
      <c r="V461" s="125"/>
      <c r="W461" s="125"/>
      <c r="X461" s="125"/>
      <c r="Y461" s="125"/>
      <c r="Z461" s="125"/>
      <c r="AA461" s="125"/>
      <c r="AB461" s="125"/>
      <c r="AC461" s="125"/>
      <c r="AD461" s="125"/>
      <c r="AE461" s="125"/>
      <c r="AF461" s="125"/>
      <c r="AG461" s="125"/>
      <c r="AH461" s="125"/>
      <c r="AI461" s="125"/>
      <c r="AJ461" s="125"/>
      <c r="AK461" s="125"/>
      <c r="AL461" s="125"/>
      <c r="AM461" s="125"/>
      <c r="AN461" s="125"/>
      <c r="AO461" s="125"/>
      <c r="AP461" s="125"/>
      <c r="AQ461" s="125"/>
      <c r="AR461" s="125"/>
      <c r="AS461" s="125"/>
      <c r="AT461" s="125"/>
      <c r="AU461" s="125"/>
      <c r="AV461" s="125"/>
      <c r="AW461" s="125"/>
      <c r="AX461" s="125"/>
      <c r="AY461" s="125"/>
      <c r="AZ461" s="125"/>
      <c r="BA461" s="125"/>
      <c r="BB461" s="125"/>
      <c r="BC461" s="125"/>
      <c r="BD461" s="125"/>
      <c r="BE461" s="125"/>
      <c r="BF461" s="125"/>
    </row>
    <row r="462" spans="1:58" ht="15.75" customHeight="1">
      <c r="A462" s="125"/>
      <c r="B462" s="125"/>
      <c r="C462" s="125"/>
      <c r="D462" s="125"/>
      <c r="E462" s="125"/>
      <c r="F462" s="125"/>
      <c r="G462" s="125"/>
      <c r="H462" s="125"/>
      <c r="I462" s="125"/>
      <c r="J462" s="125"/>
      <c r="K462" s="125"/>
      <c r="L462" s="125"/>
      <c r="M462" s="125"/>
      <c r="N462" s="125"/>
      <c r="O462" s="125"/>
      <c r="P462" s="125"/>
      <c r="Q462" s="125"/>
      <c r="R462" s="125"/>
      <c r="S462" s="125"/>
      <c r="T462" s="125"/>
      <c r="U462" s="125"/>
      <c r="V462" s="125"/>
      <c r="W462" s="125"/>
      <c r="X462" s="125"/>
      <c r="Y462" s="125"/>
      <c r="Z462" s="125"/>
      <c r="AA462" s="125"/>
      <c r="AB462" s="125"/>
      <c r="AC462" s="125"/>
      <c r="AD462" s="125"/>
      <c r="AE462" s="125"/>
      <c r="AF462" s="125"/>
      <c r="AG462" s="125"/>
      <c r="AH462" s="125"/>
      <c r="AI462" s="125"/>
      <c r="AJ462" s="125"/>
      <c r="AK462" s="125"/>
      <c r="AL462" s="125"/>
      <c r="AM462" s="125"/>
      <c r="AN462" s="125"/>
      <c r="AO462" s="125"/>
      <c r="AP462" s="125"/>
      <c r="AQ462" s="125"/>
      <c r="AR462" s="125"/>
      <c r="AS462" s="125"/>
      <c r="AT462" s="125"/>
      <c r="AU462" s="125"/>
      <c r="AV462" s="125"/>
      <c r="AW462" s="125"/>
      <c r="AX462" s="125"/>
      <c r="AY462" s="125"/>
      <c r="AZ462" s="125"/>
      <c r="BA462" s="125"/>
      <c r="BB462" s="125"/>
      <c r="BC462" s="125"/>
      <c r="BD462" s="125"/>
      <c r="BE462" s="125"/>
      <c r="BF462" s="125"/>
    </row>
    <row r="463" spans="1:58" ht="15.75" customHeight="1">
      <c r="A463" s="125"/>
      <c r="B463" s="125"/>
      <c r="C463" s="125"/>
      <c r="D463" s="125"/>
      <c r="E463" s="125"/>
      <c r="F463" s="125"/>
      <c r="G463" s="125"/>
      <c r="H463" s="125"/>
      <c r="I463" s="125"/>
      <c r="J463" s="125"/>
      <c r="K463" s="125"/>
      <c r="L463" s="125"/>
      <c r="M463" s="125"/>
      <c r="N463" s="125"/>
      <c r="O463" s="125"/>
      <c r="P463" s="125"/>
      <c r="Q463" s="125"/>
      <c r="R463" s="125"/>
      <c r="S463" s="125"/>
      <c r="T463" s="125"/>
      <c r="U463" s="125"/>
      <c r="V463" s="125"/>
      <c r="W463" s="125"/>
      <c r="X463" s="125"/>
      <c r="Y463" s="125"/>
      <c r="Z463" s="125"/>
      <c r="AA463" s="125"/>
      <c r="AB463" s="125"/>
      <c r="AC463" s="125"/>
      <c r="AD463" s="125"/>
      <c r="AE463" s="125"/>
      <c r="AF463" s="125"/>
      <c r="AG463" s="125"/>
      <c r="AH463" s="125"/>
      <c r="AI463" s="125"/>
      <c r="AJ463" s="125"/>
      <c r="AK463" s="125"/>
      <c r="AL463" s="125"/>
      <c r="AM463" s="125"/>
      <c r="AN463" s="125"/>
      <c r="AO463" s="125"/>
      <c r="AP463" s="125"/>
      <c r="AQ463" s="125"/>
      <c r="AR463" s="125"/>
      <c r="AS463" s="125"/>
      <c r="AT463" s="125"/>
      <c r="AU463" s="125"/>
      <c r="AV463" s="125"/>
      <c r="AW463" s="125"/>
      <c r="AX463" s="125"/>
      <c r="AY463" s="125"/>
      <c r="AZ463" s="125"/>
      <c r="BA463" s="125"/>
      <c r="BB463" s="125"/>
      <c r="BC463" s="125"/>
      <c r="BD463" s="125"/>
      <c r="BE463" s="125"/>
      <c r="BF463" s="125"/>
    </row>
    <row r="464" spans="1:58" ht="15.75" customHeight="1">
      <c r="A464" s="125"/>
      <c r="B464" s="125"/>
      <c r="C464" s="125"/>
      <c r="D464" s="125"/>
      <c r="E464" s="125"/>
      <c r="F464" s="125"/>
      <c r="G464" s="125"/>
      <c r="H464" s="125"/>
      <c r="I464" s="125"/>
      <c r="J464" s="125"/>
      <c r="K464" s="125"/>
      <c r="L464" s="125"/>
      <c r="M464" s="125"/>
      <c r="N464" s="125"/>
      <c r="O464" s="125"/>
      <c r="P464" s="125"/>
      <c r="Q464" s="125"/>
      <c r="R464" s="125"/>
      <c r="S464" s="125"/>
      <c r="T464" s="125"/>
      <c r="U464" s="125"/>
      <c r="V464" s="125"/>
      <c r="W464" s="125"/>
      <c r="X464" s="125"/>
      <c r="Y464" s="125"/>
      <c r="Z464" s="125"/>
      <c r="AA464" s="125"/>
      <c r="AB464" s="125"/>
      <c r="AC464" s="125"/>
      <c r="AD464" s="125"/>
      <c r="AE464" s="125"/>
      <c r="AF464" s="125"/>
      <c r="AG464" s="125"/>
      <c r="AH464" s="125"/>
      <c r="AI464" s="125"/>
      <c r="AJ464" s="125"/>
      <c r="AK464" s="125"/>
      <c r="AL464" s="125"/>
      <c r="AM464" s="125"/>
      <c r="AN464" s="125"/>
      <c r="AO464" s="125"/>
      <c r="AP464" s="125"/>
      <c r="AQ464" s="125"/>
      <c r="AR464" s="125"/>
      <c r="AS464" s="125"/>
      <c r="AT464" s="125"/>
      <c r="AU464" s="125"/>
      <c r="AV464" s="125"/>
      <c r="AW464" s="125"/>
      <c r="AX464" s="125"/>
      <c r="AY464" s="125"/>
      <c r="AZ464" s="125"/>
      <c r="BA464" s="125"/>
      <c r="BB464" s="125"/>
      <c r="BC464" s="125"/>
      <c r="BD464" s="125"/>
      <c r="BE464" s="125"/>
      <c r="BF464" s="125"/>
    </row>
    <row r="465" spans="1:58" ht="15.75" customHeight="1">
      <c r="A465" s="125"/>
      <c r="B465" s="125"/>
      <c r="C465" s="125"/>
      <c r="D465" s="125"/>
      <c r="E465" s="125"/>
      <c r="F465" s="125"/>
      <c r="G465" s="125"/>
      <c r="H465" s="125"/>
      <c r="I465" s="125"/>
      <c r="J465" s="125"/>
      <c r="K465" s="125"/>
      <c r="L465" s="125"/>
      <c r="M465" s="125"/>
      <c r="N465" s="125"/>
      <c r="O465" s="125"/>
      <c r="P465" s="125"/>
      <c r="Q465" s="125"/>
      <c r="R465" s="125"/>
      <c r="S465" s="125"/>
      <c r="T465" s="125"/>
      <c r="U465" s="125"/>
      <c r="V465" s="125"/>
      <c r="W465" s="125"/>
      <c r="X465" s="125"/>
      <c r="Y465" s="125"/>
      <c r="Z465" s="125"/>
      <c r="AA465" s="125"/>
      <c r="AB465" s="125"/>
      <c r="AC465" s="125"/>
      <c r="AD465" s="125"/>
      <c r="AE465" s="125"/>
      <c r="AF465" s="125"/>
      <c r="AG465" s="125"/>
      <c r="AH465" s="125"/>
      <c r="AI465" s="125"/>
      <c r="AJ465" s="125"/>
      <c r="AK465" s="125"/>
      <c r="AL465" s="125"/>
      <c r="AM465" s="125"/>
      <c r="AN465" s="125"/>
      <c r="AO465" s="125"/>
      <c r="AP465" s="125"/>
      <c r="AQ465" s="125"/>
      <c r="AR465" s="125"/>
      <c r="AS465" s="125"/>
      <c r="AT465" s="125"/>
      <c r="AU465" s="125"/>
      <c r="AV465" s="125"/>
      <c r="AW465" s="125"/>
      <c r="AX465" s="125"/>
      <c r="AY465" s="125"/>
      <c r="AZ465" s="125"/>
      <c r="BA465" s="125"/>
      <c r="BB465" s="125"/>
      <c r="BC465" s="125"/>
      <c r="BD465" s="125"/>
      <c r="BE465" s="125"/>
      <c r="BF465" s="125"/>
    </row>
    <row r="466" spans="1:58" ht="15.75" customHeight="1">
      <c r="A466" s="125"/>
      <c r="B466" s="125"/>
      <c r="C466" s="125"/>
      <c r="D466" s="125"/>
      <c r="E466" s="125"/>
      <c r="F466" s="125"/>
      <c r="G466" s="125"/>
      <c r="H466" s="125"/>
      <c r="I466" s="125"/>
      <c r="J466" s="125"/>
      <c r="K466" s="125"/>
      <c r="L466" s="125"/>
      <c r="M466" s="125"/>
      <c r="N466" s="125"/>
      <c r="O466" s="125"/>
      <c r="P466" s="125"/>
      <c r="Q466" s="125"/>
      <c r="R466" s="125"/>
      <c r="S466" s="125"/>
      <c r="T466" s="125"/>
      <c r="U466" s="125"/>
      <c r="V466" s="125"/>
      <c r="W466" s="125"/>
      <c r="X466" s="125"/>
      <c r="Y466" s="125"/>
      <c r="Z466" s="125"/>
      <c r="AA466" s="125"/>
      <c r="AB466" s="125"/>
      <c r="AC466" s="125"/>
      <c r="AD466" s="125"/>
      <c r="AE466" s="125"/>
      <c r="AF466" s="125"/>
      <c r="AG466" s="125"/>
      <c r="AH466" s="125"/>
      <c r="AI466" s="125"/>
      <c r="AJ466" s="125"/>
      <c r="AK466" s="125"/>
      <c r="AL466" s="125"/>
      <c r="AM466" s="125"/>
      <c r="AN466" s="125"/>
      <c r="AO466" s="125"/>
      <c r="AP466" s="125"/>
      <c r="AQ466" s="125"/>
      <c r="AR466" s="125"/>
      <c r="AS466" s="125"/>
      <c r="AT466" s="125"/>
      <c r="AU466" s="125"/>
      <c r="AV466" s="125"/>
      <c r="AW466" s="125"/>
      <c r="AX466" s="125"/>
      <c r="AY466" s="125"/>
      <c r="AZ466" s="125"/>
      <c r="BA466" s="125"/>
      <c r="BB466" s="125"/>
      <c r="BC466" s="125"/>
      <c r="BD466" s="125"/>
      <c r="BE466" s="125"/>
      <c r="BF466" s="125"/>
    </row>
    <row r="467" spans="1:58" ht="15.75" customHeight="1">
      <c r="A467" s="125"/>
      <c r="B467" s="125"/>
      <c r="C467" s="125"/>
      <c r="D467" s="125"/>
      <c r="E467" s="125"/>
      <c r="F467" s="125"/>
      <c r="G467" s="125"/>
      <c r="H467" s="125"/>
      <c r="I467" s="125"/>
      <c r="J467" s="125"/>
      <c r="K467" s="125"/>
      <c r="L467" s="125"/>
      <c r="M467" s="125"/>
      <c r="N467" s="125"/>
      <c r="O467" s="125"/>
      <c r="P467" s="125"/>
      <c r="Q467" s="125"/>
      <c r="R467" s="125"/>
      <c r="S467" s="125"/>
      <c r="T467" s="125"/>
      <c r="U467" s="125"/>
      <c r="V467" s="125"/>
      <c r="W467" s="125"/>
      <c r="X467" s="125"/>
      <c r="Y467" s="125"/>
      <c r="Z467" s="125"/>
      <c r="AA467" s="125"/>
      <c r="AB467" s="125"/>
      <c r="AC467" s="125"/>
      <c r="AD467" s="125"/>
      <c r="AE467" s="125"/>
      <c r="AF467" s="125"/>
      <c r="AG467" s="125"/>
      <c r="AH467" s="125"/>
      <c r="AI467" s="125"/>
      <c r="AJ467" s="125"/>
      <c r="AK467" s="125"/>
      <c r="AL467" s="125"/>
      <c r="AM467" s="125"/>
      <c r="AN467" s="125"/>
      <c r="AO467" s="125"/>
      <c r="AP467" s="125"/>
      <c r="AQ467" s="125"/>
      <c r="AR467" s="125"/>
      <c r="AS467" s="125"/>
      <c r="AT467" s="125"/>
      <c r="AU467" s="125"/>
      <c r="AV467" s="125"/>
      <c r="AW467" s="125"/>
      <c r="AX467" s="125"/>
      <c r="AY467" s="125"/>
      <c r="AZ467" s="125"/>
      <c r="BA467" s="125"/>
      <c r="BB467" s="125"/>
      <c r="BC467" s="125"/>
      <c r="BD467" s="125"/>
      <c r="BE467" s="125"/>
      <c r="BF467" s="125"/>
    </row>
    <row r="468" spans="1:58" ht="15.75" customHeight="1">
      <c r="A468" s="125"/>
      <c r="B468" s="125"/>
      <c r="C468" s="125"/>
      <c r="D468" s="125"/>
      <c r="E468" s="125"/>
      <c r="F468" s="125"/>
      <c r="G468" s="125"/>
      <c r="H468" s="125"/>
      <c r="I468" s="125"/>
      <c r="J468" s="125"/>
      <c r="K468" s="125"/>
      <c r="L468" s="125"/>
      <c r="M468" s="125"/>
      <c r="N468" s="125"/>
      <c r="O468" s="125"/>
      <c r="P468" s="125"/>
      <c r="Q468" s="125"/>
      <c r="R468" s="125"/>
      <c r="S468" s="125"/>
      <c r="T468" s="125"/>
      <c r="U468" s="125"/>
      <c r="V468" s="125"/>
      <c r="W468" s="125"/>
      <c r="X468" s="125"/>
      <c r="Y468" s="125"/>
      <c r="Z468" s="125"/>
      <c r="AA468" s="125"/>
      <c r="AB468" s="125"/>
      <c r="AC468" s="125"/>
      <c r="AD468" s="125"/>
      <c r="AE468" s="125"/>
      <c r="AF468" s="125"/>
      <c r="AG468" s="125"/>
      <c r="AH468" s="125"/>
      <c r="AI468" s="125"/>
      <c r="AJ468" s="125"/>
      <c r="AK468" s="125"/>
      <c r="AL468" s="125"/>
      <c r="AM468" s="125"/>
      <c r="AN468" s="125"/>
      <c r="AO468" s="125"/>
      <c r="AP468" s="125"/>
      <c r="AQ468" s="125"/>
      <c r="AR468" s="125"/>
      <c r="AS468" s="125"/>
      <c r="AT468" s="125"/>
      <c r="AU468" s="125"/>
      <c r="AV468" s="125"/>
      <c r="AW468" s="125"/>
      <c r="AX468" s="125"/>
      <c r="AY468" s="125"/>
      <c r="AZ468" s="125"/>
      <c r="BA468" s="125"/>
      <c r="BB468" s="125"/>
      <c r="BC468" s="125"/>
      <c r="BD468" s="125"/>
      <c r="BE468" s="125"/>
      <c r="BF468" s="125"/>
    </row>
    <row r="469" spans="1:58" ht="15.75" customHeight="1">
      <c r="A469" s="125"/>
      <c r="B469" s="125"/>
      <c r="C469" s="125"/>
      <c r="D469" s="125"/>
      <c r="E469" s="125"/>
      <c r="F469" s="125"/>
      <c r="G469" s="125"/>
      <c r="H469" s="125"/>
      <c r="I469" s="125"/>
      <c r="J469" s="125"/>
      <c r="K469" s="125"/>
      <c r="L469" s="125"/>
      <c r="M469" s="125"/>
      <c r="N469" s="125"/>
      <c r="O469" s="125"/>
      <c r="P469" s="125"/>
      <c r="Q469" s="125"/>
      <c r="R469" s="125"/>
      <c r="S469" s="125"/>
      <c r="T469" s="125"/>
      <c r="U469" s="125"/>
      <c r="V469" s="125"/>
      <c r="W469" s="125"/>
      <c r="X469" s="125"/>
      <c r="Y469" s="125"/>
      <c r="Z469" s="125"/>
      <c r="AA469" s="125"/>
      <c r="AB469" s="125"/>
      <c r="AC469" s="125"/>
      <c r="AD469" s="125"/>
      <c r="AE469" s="125"/>
      <c r="AF469" s="125"/>
      <c r="AG469" s="125"/>
      <c r="AH469" s="125"/>
      <c r="AI469" s="125"/>
      <c r="AJ469" s="125"/>
      <c r="AK469" s="125"/>
      <c r="AL469" s="125"/>
      <c r="AM469" s="125"/>
      <c r="AN469" s="125"/>
      <c r="AO469" s="125"/>
      <c r="AP469" s="125"/>
      <c r="AQ469" s="125"/>
      <c r="AR469" s="125"/>
      <c r="AS469" s="125"/>
      <c r="AT469" s="125"/>
      <c r="AU469" s="125"/>
      <c r="AV469" s="125"/>
      <c r="AW469" s="125"/>
      <c r="AX469" s="125"/>
      <c r="AY469" s="125"/>
      <c r="AZ469" s="125"/>
      <c r="BA469" s="125"/>
      <c r="BB469" s="125"/>
      <c r="BC469" s="125"/>
      <c r="BD469" s="125"/>
      <c r="BE469" s="125"/>
      <c r="BF469" s="125"/>
    </row>
    <row r="470" spans="1:58" ht="15.75" customHeight="1">
      <c r="A470" s="125"/>
      <c r="B470" s="125"/>
      <c r="C470" s="125"/>
      <c r="D470" s="125"/>
      <c r="E470" s="125"/>
      <c r="F470" s="125"/>
      <c r="G470" s="125"/>
      <c r="H470" s="125"/>
      <c r="I470" s="125"/>
      <c r="J470" s="125"/>
      <c r="K470" s="125"/>
      <c r="L470" s="125"/>
      <c r="M470" s="125"/>
      <c r="N470" s="125"/>
      <c r="O470" s="125"/>
      <c r="P470" s="125"/>
      <c r="Q470" s="125"/>
      <c r="R470" s="125"/>
      <c r="S470" s="125"/>
      <c r="T470" s="125"/>
      <c r="U470" s="125"/>
      <c r="V470" s="125"/>
      <c r="W470" s="125"/>
      <c r="X470" s="125"/>
      <c r="Y470" s="125"/>
      <c r="Z470" s="125"/>
      <c r="AA470" s="125"/>
      <c r="AB470" s="125"/>
      <c r="AC470" s="125"/>
      <c r="AD470" s="125"/>
      <c r="AE470" s="125"/>
      <c r="AF470" s="125"/>
      <c r="AG470" s="125"/>
      <c r="AH470" s="125"/>
      <c r="AI470" s="125"/>
      <c r="AJ470" s="125"/>
      <c r="AK470" s="125"/>
      <c r="AL470" s="125"/>
      <c r="AM470" s="125"/>
      <c r="AN470" s="125"/>
      <c r="AO470" s="125"/>
      <c r="AP470" s="125"/>
      <c r="AQ470" s="125"/>
      <c r="AR470" s="125"/>
      <c r="AS470" s="125"/>
      <c r="AT470" s="125"/>
      <c r="AU470" s="125"/>
      <c r="AV470" s="125"/>
      <c r="AW470" s="125"/>
      <c r="AX470" s="125"/>
      <c r="AY470" s="125"/>
      <c r="AZ470" s="125"/>
      <c r="BA470" s="125"/>
      <c r="BB470" s="125"/>
      <c r="BC470" s="125"/>
      <c r="BD470" s="125"/>
      <c r="BE470" s="125"/>
      <c r="BF470" s="125"/>
    </row>
    <row r="471" spans="1:58" ht="15.75" customHeight="1">
      <c r="A471" s="125"/>
      <c r="B471" s="125"/>
      <c r="C471" s="125"/>
      <c r="D471" s="125"/>
      <c r="E471" s="125"/>
      <c r="F471" s="125"/>
      <c r="G471" s="125"/>
      <c r="H471" s="125"/>
      <c r="I471" s="125"/>
      <c r="J471" s="125"/>
      <c r="K471" s="125"/>
      <c r="L471" s="125"/>
      <c r="M471" s="125"/>
      <c r="N471" s="125"/>
      <c r="O471" s="125"/>
      <c r="P471" s="125"/>
      <c r="Q471" s="125"/>
      <c r="R471" s="125"/>
      <c r="S471" s="125"/>
      <c r="T471" s="125"/>
      <c r="U471" s="125"/>
      <c r="V471" s="125"/>
      <c r="W471" s="125"/>
      <c r="X471" s="125"/>
      <c r="Y471" s="125"/>
      <c r="Z471" s="125"/>
      <c r="AA471" s="125"/>
      <c r="AB471" s="125"/>
      <c r="AC471" s="125"/>
      <c r="AD471" s="125"/>
      <c r="AE471" s="125"/>
      <c r="AF471" s="125"/>
      <c r="AG471" s="125"/>
      <c r="AH471" s="125"/>
      <c r="AI471" s="125"/>
      <c r="AJ471" s="125"/>
      <c r="AK471" s="125"/>
      <c r="AL471" s="125"/>
      <c r="AM471" s="125"/>
      <c r="AN471" s="125"/>
      <c r="AO471" s="125"/>
      <c r="AP471" s="125"/>
      <c r="AQ471" s="125"/>
      <c r="AR471" s="125"/>
      <c r="AS471" s="125"/>
      <c r="AT471" s="125"/>
      <c r="AU471" s="125"/>
      <c r="AV471" s="125"/>
      <c r="AW471" s="125"/>
      <c r="AX471" s="125"/>
      <c r="AY471" s="125"/>
      <c r="AZ471" s="125"/>
      <c r="BA471" s="125"/>
      <c r="BB471" s="125"/>
      <c r="BC471" s="125"/>
      <c r="BD471" s="125"/>
      <c r="BE471" s="125"/>
      <c r="BF471" s="125"/>
    </row>
    <row r="472" spans="1:58" ht="15.75" customHeight="1">
      <c r="A472" s="125"/>
      <c r="B472" s="125"/>
      <c r="C472" s="125"/>
      <c r="D472" s="125"/>
      <c r="E472" s="125"/>
      <c r="F472" s="125"/>
      <c r="G472" s="125"/>
      <c r="H472" s="125"/>
      <c r="I472" s="125"/>
      <c r="J472" s="125"/>
      <c r="K472" s="125"/>
      <c r="L472" s="125"/>
      <c r="M472" s="125"/>
      <c r="N472" s="125"/>
      <c r="O472" s="125"/>
      <c r="P472" s="125"/>
      <c r="Q472" s="125"/>
      <c r="R472" s="125"/>
      <c r="S472" s="125"/>
      <c r="T472" s="125"/>
      <c r="U472" s="125"/>
      <c r="V472" s="125"/>
      <c r="W472" s="125"/>
      <c r="X472" s="125"/>
      <c r="Y472" s="125"/>
      <c r="Z472" s="125"/>
      <c r="AA472" s="125"/>
      <c r="AB472" s="125"/>
      <c r="AC472" s="125"/>
      <c r="AD472" s="125"/>
      <c r="AE472" s="125"/>
      <c r="AF472" s="125"/>
      <c r="AG472" s="125"/>
      <c r="AH472" s="125"/>
      <c r="AI472" s="125"/>
      <c r="AJ472" s="125"/>
      <c r="AK472" s="125"/>
      <c r="AL472" s="125"/>
      <c r="AM472" s="125"/>
      <c r="AN472" s="125"/>
      <c r="AO472" s="125"/>
      <c r="AP472" s="125"/>
      <c r="AQ472" s="125"/>
      <c r="AR472" s="125"/>
      <c r="AS472" s="125"/>
      <c r="AT472" s="125"/>
      <c r="AU472" s="125"/>
      <c r="AV472" s="125"/>
      <c r="AW472" s="125"/>
      <c r="AX472" s="125"/>
      <c r="AY472" s="125"/>
      <c r="AZ472" s="125"/>
      <c r="BA472" s="125"/>
      <c r="BB472" s="125"/>
      <c r="BC472" s="125"/>
      <c r="BD472" s="125"/>
      <c r="BE472" s="125"/>
      <c r="BF472" s="125"/>
    </row>
    <row r="473" spans="1:58" ht="15.75" customHeight="1">
      <c r="A473" s="125"/>
      <c r="B473" s="125"/>
      <c r="C473" s="125"/>
      <c r="D473" s="125"/>
      <c r="E473" s="125"/>
      <c r="F473" s="125"/>
      <c r="G473" s="125"/>
      <c r="H473" s="125"/>
      <c r="I473" s="125"/>
      <c r="J473" s="125"/>
      <c r="K473" s="125"/>
      <c r="L473" s="125"/>
      <c r="M473" s="125"/>
      <c r="N473" s="125"/>
      <c r="O473" s="125"/>
      <c r="P473" s="125"/>
      <c r="Q473" s="125"/>
      <c r="R473" s="125"/>
      <c r="S473" s="125"/>
      <c r="T473" s="125"/>
      <c r="U473" s="125"/>
      <c r="V473" s="125"/>
      <c r="W473" s="125"/>
      <c r="X473" s="125"/>
      <c r="Y473" s="125"/>
      <c r="Z473" s="125"/>
      <c r="AA473" s="125"/>
      <c r="AB473" s="125"/>
      <c r="AC473" s="125"/>
      <c r="AD473" s="125"/>
      <c r="AE473" s="125"/>
      <c r="AF473" s="125"/>
      <c r="AG473" s="125"/>
      <c r="AH473" s="125"/>
      <c r="AI473" s="125"/>
      <c r="AJ473" s="125"/>
      <c r="AK473" s="125"/>
      <c r="AL473" s="125"/>
      <c r="AM473" s="125"/>
      <c r="AN473" s="125"/>
      <c r="AO473" s="125"/>
      <c r="AP473" s="125"/>
      <c r="AQ473" s="125"/>
      <c r="AR473" s="125"/>
      <c r="AS473" s="125"/>
      <c r="AT473" s="125"/>
      <c r="AU473" s="125"/>
      <c r="AV473" s="125"/>
      <c r="AW473" s="125"/>
      <c r="AX473" s="125"/>
      <c r="AY473" s="125"/>
      <c r="AZ473" s="125"/>
      <c r="BA473" s="125"/>
      <c r="BB473" s="125"/>
      <c r="BC473" s="125"/>
      <c r="BD473" s="125"/>
      <c r="BE473" s="125"/>
      <c r="BF473" s="125"/>
    </row>
    <row r="474" spans="1:58" ht="15.75" customHeight="1">
      <c r="A474" s="125"/>
      <c r="B474" s="125"/>
      <c r="C474" s="125"/>
      <c r="D474" s="125"/>
      <c r="E474" s="125"/>
      <c r="F474" s="125"/>
      <c r="G474" s="125"/>
      <c r="H474" s="125"/>
      <c r="I474" s="125"/>
      <c r="J474" s="125"/>
      <c r="K474" s="125"/>
      <c r="L474" s="125"/>
      <c r="M474" s="125"/>
      <c r="N474" s="125"/>
      <c r="O474" s="125"/>
      <c r="P474" s="125"/>
      <c r="Q474" s="125"/>
      <c r="R474" s="125"/>
      <c r="S474" s="125"/>
      <c r="T474" s="125"/>
      <c r="U474" s="125"/>
      <c r="V474" s="125"/>
      <c r="W474" s="125"/>
      <c r="X474" s="125"/>
      <c r="Y474" s="125"/>
      <c r="Z474" s="125"/>
      <c r="AA474" s="125"/>
      <c r="AB474" s="125"/>
      <c r="AC474" s="125"/>
      <c r="AD474" s="125"/>
      <c r="AE474" s="125"/>
      <c r="AF474" s="125"/>
      <c r="AG474" s="125"/>
      <c r="AH474" s="125"/>
      <c r="AI474" s="125"/>
      <c r="AJ474" s="125"/>
      <c r="AK474" s="125"/>
      <c r="AL474" s="125"/>
      <c r="AM474" s="125"/>
      <c r="AN474" s="125"/>
      <c r="AO474" s="125"/>
      <c r="AP474" s="125"/>
      <c r="AQ474" s="125"/>
      <c r="AR474" s="125"/>
      <c r="AS474" s="125"/>
      <c r="AT474" s="125"/>
      <c r="AU474" s="125"/>
      <c r="AV474" s="125"/>
      <c r="AW474" s="125"/>
      <c r="AX474" s="125"/>
      <c r="AY474" s="125"/>
      <c r="AZ474" s="125"/>
      <c r="BA474" s="125"/>
      <c r="BB474" s="125"/>
      <c r="BC474" s="125"/>
      <c r="BD474" s="125"/>
      <c r="BE474" s="125"/>
      <c r="BF474" s="125"/>
    </row>
    <row r="475" spans="1:58" ht="15.75" customHeight="1">
      <c r="A475" s="125"/>
      <c r="B475" s="125"/>
      <c r="C475" s="125"/>
      <c r="D475" s="125"/>
      <c r="E475" s="125"/>
      <c r="F475" s="125"/>
      <c r="G475" s="125"/>
      <c r="H475" s="125"/>
      <c r="I475" s="125"/>
      <c r="J475" s="125"/>
      <c r="K475" s="125"/>
      <c r="L475" s="125"/>
      <c r="M475" s="125"/>
      <c r="N475" s="125"/>
      <c r="O475" s="125"/>
      <c r="P475" s="125"/>
      <c r="Q475" s="125"/>
      <c r="R475" s="125"/>
      <c r="S475" s="125"/>
      <c r="T475" s="125"/>
      <c r="U475" s="125"/>
      <c r="V475" s="125"/>
      <c r="W475" s="125"/>
      <c r="X475" s="125"/>
      <c r="Y475" s="125"/>
      <c r="Z475" s="125"/>
      <c r="AA475" s="125"/>
      <c r="AB475" s="125"/>
      <c r="AC475" s="125"/>
      <c r="AD475" s="125"/>
      <c r="AE475" s="125"/>
      <c r="AF475" s="125"/>
      <c r="AG475" s="125"/>
      <c r="AH475" s="125"/>
      <c r="AI475" s="125"/>
      <c r="AJ475" s="125"/>
      <c r="AK475" s="125"/>
      <c r="AL475" s="125"/>
      <c r="AM475" s="125"/>
      <c r="AN475" s="125"/>
      <c r="AO475" s="125"/>
      <c r="AP475" s="125"/>
      <c r="AQ475" s="125"/>
      <c r="AR475" s="125"/>
      <c r="AS475" s="125"/>
      <c r="AT475" s="125"/>
      <c r="AU475" s="125"/>
      <c r="AV475" s="125"/>
      <c r="AW475" s="125"/>
      <c r="AX475" s="125"/>
      <c r="AY475" s="125"/>
      <c r="AZ475" s="125"/>
      <c r="BA475" s="125"/>
      <c r="BB475" s="125"/>
      <c r="BC475" s="125"/>
      <c r="BD475" s="125"/>
      <c r="BE475" s="125"/>
      <c r="BF475" s="125"/>
    </row>
    <row r="476" spans="1:58" ht="15.75" customHeight="1">
      <c r="A476" s="125"/>
      <c r="B476" s="125"/>
      <c r="C476" s="125"/>
      <c r="D476" s="125"/>
      <c r="E476" s="125"/>
      <c r="F476" s="125"/>
      <c r="G476" s="125"/>
      <c r="H476" s="125"/>
      <c r="I476" s="125"/>
      <c r="J476" s="125"/>
      <c r="K476" s="125"/>
      <c r="L476" s="125"/>
      <c r="M476" s="125"/>
      <c r="N476" s="125"/>
      <c r="O476" s="125"/>
      <c r="P476" s="125"/>
      <c r="Q476" s="125"/>
      <c r="R476" s="125"/>
      <c r="S476" s="125"/>
      <c r="T476" s="125"/>
      <c r="U476" s="125"/>
      <c r="V476" s="125"/>
      <c r="W476" s="125"/>
      <c r="X476" s="125"/>
      <c r="Y476" s="125"/>
      <c r="Z476" s="125"/>
      <c r="AA476" s="125"/>
      <c r="AB476" s="125"/>
      <c r="AC476" s="125"/>
      <c r="AD476" s="125"/>
      <c r="AE476" s="125"/>
      <c r="AF476" s="125"/>
      <c r="AG476" s="125"/>
      <c r="AH476" s="125"/>
      <c r="AI476" s="125"/>
      <c r="AJ476" s="125"/>
      <c r="AK476" s="125"/>
      <c r="AL476" s="125"/>
      <c r="AM476" s="125"/>
      <c r="AN476" s="125"/>
      <c r="AO476" s="125"/>
      <c r="AP476" s="125"/>
      <c r="AQ476" s="125"/>
      <c r="AR476" s="125"/>
      <c r="AS476" s="125"/>
      <c r="AT476" s="125"/>
      <c r="AU476" s="125"/>
      <c r="AV476" s="125"/>
      <c r="AW476" s="125"/>
      <c r="AX476" s="125"/>
      <c r="AY476" s="125"/>
      <c r="AZ476" s="125"/>
      <c r="BA476" s="125"/>
      <c r="BB476" s="125"/>
      <c r="BC476" s="125"/>
      <c r="BD476" s="125"/>
      <c r="BE476" s="125"/>
      <c r="BF476" s="125"/>
    </row>
    <row r="477" spans="1:58" ht="15.75" customHeight="1">
      <c r="A477" s="125"/>
      <c r="B477" s="125"/>
      <c r="C477" s="125"/>
      <c r="D477" s="125"/>
      <c r="E477" s="125"/>
      <c r="F477" s="125"/>
      <c r="G477" s="125"/>
      <c r="H477" s="125"/>
      <c r="I477" s="125"/>
      <c r="J477" s="125"/>
      <c r="K477" s="125"/>
      <c r="L477" s="125"/>
      <c r="M477" s="125"/>
      <c r="N477" s="125"/>
      <c r="O477" s="125"/>
      <c r="P477" s="125"/>
      <c r="Q477" s="125"/>
      <c r="R477" s="125"/>
      <c r="S477" s="125"/>
      <c r="T477" s="125"/>
      <c r="U477" s="125"/>
      <c r="V477" s="125"/>
      <c r="W477" s="125"/>
      <c r="X477" s="125"/>
      <c r="Y477" s="125"/>
      <c r="Z477" s="125"/>
      <c r="AA477" s="125"/>
      <c r="AB477" s="125"/>
      <c r="AC477" s="125"/>
      <c r="AD477" s="125"/>
      <c r="AE477" s="125"/>
      <c r="AF477" s="125"/>
      <c r="AG477" s="125"/>
      <c r="AH477" s="125"/>
      <c r="AI477" s="125"/>
      <c r="AJ477" s="125"/>
      <c r="AK477" s="125"/>
      <c r="AL477" s="125"/>
      <c r="AM477" s="125"/>
      <c r="AN477" s="125"/>
      <c r="AO477" s="125"/>
      <c r="AP477" s="125"/>
      <c r="AQ477" s="125"/>
      <c r="AR477" s="125"/>
      <c r="AS477" s="125"/>
      <c r="AT477" s="125"/>
      <c r="AU477" s="125"/>
      <c r="AV477" s="125"/>
      <c r="AW477" s="125"/>
      <c r="AX477" s="125"/>
      <c r="AY477" s="125"/>
      <c r="AZ477" s="125"/>
      <c r="BA477" s="125"/>
      <c r="BB477" s="125"/>
      <c r="BC477" s="125"/>
      <c r="BD477" s="125"/>
      <c r="BE477" s="125"/>
      <c r="BF477" s="125"/>
    </row>
    <row r="478" spans="1:58" ht="15.75" customHeight="1">
      <c r="A478" s="125"/>
      <c r="B478" s="125"/>
      <c r="C478" s="125"/>
      <c r="D478" s="125"/>
      <c r="E478" s="125"/>
      <c r="F478" s="125"/>
      <c r="G478" s="125"/>
      <c r="H478" s="125"/>
      <c r="I478" s="125"/>
      <c r="J478" s="125"/>
      <c r="K478" s="125"/>
      <c r="L478" s="125"/>
      <c r="M478" s="125"/>
      <c r="N478" s="125"/>
      <c r="O478" s="125"/>
      <c r="P478" s="125"/>
      <c r="Q478" s="125"/>
      <c r="R478" s="125"/>
      <c r="S478" s="125"/>
      <c r="T478" s="125"/>
      <c r="U478" s="125"/>
      <c r="V478" s="125"/>
      <c r="W478" s="125"/>
      <c r="X478" s="125"/>
      <c r="Y478" s="125"/>
      <c r="Z478" s="125"/>
      <c r="AA478" s="125"/>
      <c r="AB478" s="125"/>
      <c r="AC478" s="125"/>
      <c r="AD478" s="125"/>
      <c r="AE478" s="125"/>
      <c r="AF478" s="125"/>
      <c r="AG478" s="125"/>
      <c r="AH478" s="125"/>
      <c r="AI478" s="125"/>
      <c r="AJ478" s="125"/>
      <c r="AK478" s="125"/>
      <c r="AL478" s="125"/>
      <c r="AM478" s="125"/>
      <c r="AN478" s="125"/>
      <c r="AO478" s="125"/>
      <c r="AP478" s="125"/>
      <c r="AQ478" s="125"/>
      <c r="AR478" s="125"/>
      <c r="AS478" s="125"/>
      <c r="AT478" s="125"/>
      <c r="AU478" s="125"/>
      <c r="AV478" s="125"/>
      <c r="AW478" s="125"/>
      <c r="AX478" s="125"/>
      <c r="AY478" s="125"/>
      <c r="AZ478" s="125"/>
      <c r="BA478" s="125"/>
      <c r="BB478" s="125"/>
      <c r="BC478" s="125"/>
      <c r="BD478" s="125"/>
      <c r="BE478" s="125"/>
      <c r="BF478" s="125"/>
    </row>
    <row r="479" spans="1:58" ht="15.75" customHeight="1">
      <c r="A479" s="125"/>
      <c r="B479" s="125"/>
      <c r="C479" s="125"/>
      <c r="D479" s="125"/>
      <c r="E479" s="125"/>
      <c r="F479" s="125"/>
      <c r="G479" s="125"/>
      <c r="H479" s="125"/>
      <c r="I479" s="125"/>
      <c r="J479" s="125"/>
      <c r="K479" s="125"/>
      <c r="L479" s="125"/>
      <c r="M479" s="125"/>
      <c r="N479" s="125"/>
      <c r="O479" s="125"/>
      <c r="P479" s="125"/>
      <c r="Q479" s="125"/>
      <c r="R479" s="125"/>
      <c r="S479" s="125"/>
      <c r="T479" s="125"/>
      <c r="U479" s="125"/>
      <c r="V479" s="125"/>
      <c r="W479" s="125"/>
      <c r="X479" s="125"/>
      <c r="Y479" s="125"/>
      <c r="Z479" s="125"/>
      <c r="AA479" s="125"/>
      <c r="AB479" s="125"/>
      <c r="AC479" s="125"/>
      <c r="AD479" s="125"/>
      <c r="AE479" s="125"/>
      <c r="AF479" s="125"/>
      <c r="AG479" s="125"/>
      <c r="AH479" s="125"/>
      <c r="AI479" s="125"/>
      <c r="AJ479" s="125"/>
      <c r="AK479" s="125"/>
      <c r="AL479" s="125"/>
      <c r="AM479" s="125"/>
      <c r="AN479" s="125"/>
      <c r="AO479" s="125"/>
      <c r="AP479" s="125"/>
      <c r="AQ479" s="125"/>
      <c r="AR479" s="125"/>
      <c r="AS479" s="125"/>
      <c r="AT479" s="125"/>
      <c r="AU479" s="125"/>
      <c r="AV479" s="125"/>
      <c r="AW479" s="125"/>
      <c r="AX479" s="125"/>
      <c r="AY479" s="125"/>
      <c r="AZ479" s="125"/>
      <c r="BA479" s="125"/>
      <c r="BB479" s="125"/>
      <c r="BC479" s="125"/>
      <c r="BD479" s="125"/>
      <c r="BE479" s="125"/>
      <c r="BF479" s="125"/>
    </row>
    <row r="480" spans="1:58" ht="15.75" customHeight="1">
      <c r="A480" s="125"/>
      <c r="B480" s="125"/>
      <c r="C480" s="125"/>
      <c r="D480" s="125"/>
      <c r="E480" s="125"/>
      <c r="F480" s="125"/>
      <c r="G480" s="125"/>
      <c r="H480" s="125"/>
      <c r="I480" s="125"/>
      <c r="J480" s="125"/>
      <c r="K480" s="125"/>
      <c r="L480" s="125"/>
      <c r="M480" s="125"/>
      <c r="N480" s="125"/>
      <c r="O480" s="125"/>
      <c r="P480" s="125"/>
      <c r="Q480" s="125"/>
      <c r="R480" s="125"/>
      <c r="S480" s="125"/>
      <c r="T480" s="125"/>
      <c r="U480" s="125"/>
      <c r="V480" s="125"/>
      <c r="W480" s="125"/>
      <c r="X480" s="125"/>
      <c r="Y480" s="125"/>
      <c r="Z480" s="125"/>
      <c r="AA480" s="125"/>
      <c r="AB480" s="125"/>
      <c r="AC480" s="125"/>
      <c r="AD480" s="125"/>
      <c r="AE480" s="125"/>
      <c r="AF480" s="125"/>
      <c r="AG480" s="125"/>
      <c r="AH480" s="125"/>
      <c r="AI480" s="125"/>
      <c r="AJ480" s="125"/>
      <c r="AK480" s="125"/>
      <c r="AL480" s="125"/>
      <c r="AM480" s="125"/>
      <c r="AN480" s="125"/>
      <c r="AO480" s="125"/>
      <c r="AP480" s="125"/>
      <c r="AQ480" s="125"/>
      <c r="AR480" s="125"/>
      <c r="AS480" s="125"/>
      <c r="AT480" s="125"/>
      <c r="AU480" s="125"/>
      <c r="AV480" s="125"/>
      <c r="AW480" s="125"/>
      <c r="AX480" s="125"/>
      <c r="AY480" s="125"/>
      <c r="AZ480" s="125"/>
      <c r="BA480" s="125"/>
      <c r="BB480" s="125"/>
      <c r="BC480" s="125"/>
      <c r="BD480" s="125"/>
      <c r="BE480" s="125"/>
      <c r="BF480" s="125"/>
    </row>
    <row r="481" spans="1:58" ht="15.75" customHeight="1">
      <c r="A481" s="125"/>
      <c r="B481" s="125"/>
      <c r="C481" s="125"/>
      <c r="D481" s="125"/>
      <c r="E481" s="125"/>
      <c r="F481" s="125"/>
      <c r="G481" s="125"/>
      <c r="H481" s="125"/>
      <c r="I481" s="125"/>
      <c r="J481" s="125"/>
      <c r="K481" s="125"/>
      <c r="L481" s="125"/>
      <c r="M481" s="125"/>
      <c r="N481" s="125"/>
      <c r="O481" s="125"/>
      <c r="P481" s="125"/>
      <c r="Q481" s="125"/>
      <c r="R481" s="125"/>
      <c r="S481" s="125"/>
      <c r="T481" s="125"/>
      <c r="U481" s="125"/>
      <c r="V481" s="125"/>
      <c r="W481" s="125"/>
      <c r="X481" s="125"/>
      <c r="Y481" s="125"/>
      <c r="Z481" s="125"/>
      <c r="AA481" s="125"/>
      <c r="AB481" s="125"/>
      <c r="AC481" s="125"/>
      <c r="AD481" s="125"/>
      <c r="AE481" s="125"/>
      <c r="AF481" s="125"/>
      <c r="AG481" s="125"/>
      <c r="AH481" s="125"/>
      <c r="AI481" s="125"/>
      <c r="AJ481" s="125"/>
      <c r="AK481" s="125"/>
      <c r="AL481" s="125"/>
      <c r="AM481" s="125"/>
      <c r="AN481" s="125"/>
      <c r="AO481" s="125"/>
      <c r="AP481" s="125"/>
      <c r="AQ481" s="125"/>
      <c r="AR481" s="125"/>
      <c r="AS481" s="125"/>
      <c r="AT481" s="125"/>
      <c r="AU481" s="125"/>
      <c r="AV481" s="125"/>
      <c r="AW481" s="125"/>
      <c r="AX481" s="125"/>
      <c r="AY481" s="125"/>
      <c r="AZ481" s="125"/>
      <c r="BA481" s="125"/>
      <c r="BB481" s="125"/>
      <c r="BC481" s="125"/>
      <c r="BD481" s="125"/>
      <c r="BE481" s="125"/>
      <c r="BF481" s="125"/>
    </row>
    <row r="482" spans="1:58" ht="15.75" customHeight="1">
      <c r="A482" s="125"/>
      <c r="B482" s="125"/>
      <c r="C482" s="125"/>
      <c r="D482" s="125"/>
      <c r="E482" s="125"/>
      <c r="F482" s="125"/>
      <c r="G482" s="125"/>
      <c r="H482" s="125"/>
      <c r="I482" s="125"/>
      <c r="J482" s="125"/>
      <c r="K482" s="125"/>
      <c r="L482" s="125"/>
      <c r="M482" s="125"/>
      <c r="N482" s="125"/>
      <c r="O482" s="125"/>
      <c r="P482" s="125"/>
      <c r="Q482" s="125"/>
      <c r="R482" s="125"/>
      <c r="S482" s="125"/>
      <c r="T482" s="125"/>
      <c r="U482" s="125"/>
      <c r="V482" s="125"/>
      <c r="W482" s="125"/>
      <c r="X482" s="125"/>
      <c r="Y482" s="125"/>
      <c r="Z482" s="125"/>
      <c r="AA482" s="125"/>
      <c r="AB482" s="125"/>
      <c r="AC482" s="125"/>
      <c r="AD482" s="125"/>
      <c r="AE482" s="125"/>
      <c r="AF482" s="125"/>
      <c r="AG482" s="125"/>
      <c r="AH482" s="125"/>
      <c r="AI482" s="125"/>
      <c r="AJ482" s="125"/>
      <c r="AK482" s="125"/>
      <c r="AL482" s="125"/>
      <c r="AM482" s="125"/>
      <c r="AN482" s="125"/>
      <c r="AO482" s="125"/>
      <c r="AP482" s="125"/>
      <c r="AQ482" s="125"/>
      <c r="AR482" s="125"/>
      <c r="AS482" s="125"/>
      <c r="AT482" s="125"/>
      <c r="AU482" s="125"/>
      <c r="AV482" s="125"/>
      <c r="AW482" s="125"/>
      <c r="AX482" s="125"/>
      <c r="AY482" s="125"/>
      <c r="AZ482" s="125"/>
      <c r="BA482" s="125"/>
      <c r="BB482" s="125"/>
      <c r="BC482" s="125"/>
      <c r="BD482" s="125"/>
      <c r="BE482" s="125"/>
      <c r="BF482" s="125"/>
    </row>
    <row r="483" spans="1:58" ht="15.75" customHeight="1">
      <c r="A483" s="125"/>
      <c r="B483" s="125"/>
      <c r="C483" s="125"/>
      <c r="D483" s="125"/>
      <c r="E483" s="125"/>
      <c r="F483" s="125"/>
      <c r="G483" s="125"/>
      <c r="H483" s="125"/>
      <c r="I483" s="125"/>
      <c r="J483" s="125"/>
      <c r="K483" s="125"/>
      <c r="L483" s="125"/>
      <c r="M483" s="125"/>
      <c r="N483" s="125"/>
      <c r="O483" s="125"/>
      <c r="P483" s="125"/>
      <c r="Q483" s="125"/>
      <c r="R483" s="125"/>
      <c r="S483" s="125"/>
      <c r="T483" s="125"/>
      <c r="U483" s="125"/>
      <c r="V483" s="125"/>
      <c r="W483" s="125"/>
      <c r="X483" s="125"/>
      <c r="Y483" s="125"/>
      <c r="Z483" s="125"/>
      <c r="AA483" s="125"/>
      <c r="AB483" s="125"/>
      <c r="AC483" s="125"/>
      <c r="AD483" s="125"/>
      <c r="AE483" s="125"/>
      <c r="AF483" s="125"/>
      <c r="AG483" s="125"/>
      <c r="AH483" s="125"/>
      <c r="AI483" s="125"/>
      <c r="AJ483" s="125"/>
      <c r="AK483" s="125"/>
      <c r="AL483" s="125"/>
      <c r="AM483" s="125"/>
      <c r="AN483" s="125"/>
      <c r="AO483" s="125"/>
      <c r="AP483" s="125"/>
      <c r="AQ483" s="125"/>
      <c r="AR483" s="125"/>
      <c r="AS483" s="125"/>
      <c r="AT483" s="125"/>
      <c r="AU483" s="125"/>
      <c r="AV483" s="125"/>
      <c r="AW483" s="125"/>
      <c r="AX483" s="125"/>
      <c r="AY483" s="125"/>
      <c r="AZ483" s="125"/>
      <c r="BA483" s="125"/>
      <c r="BB483" s="125"/>
      <c r="BC483" s="125"/>
      <c r="BD483" s="125"/>
      <c r="BE483" s="125"/>
      <c r="BF483" s="125"/>
    </row>
    <row r="484" spans="1:58" ht="15.75" customHeight="1">
      <c r="A484" s="125"/>
      <c r="B484" s="125"/>
      <c r="C484" s="125"/>
      <c r="D484" s="125"/>
      <c r="E484" s="125"/>
      <c r="F484" s="125"/>
      <c r="G484" s="125"/>
      <c r="H484" s="125"/>
      <c r="I484" s="125"/>
      <c r="J484" s="125"/>
      <c r="K484" s="125"/>
      <c r="L484" s="125"/>
      <c r="M484" s="125"/>
      <c r="N484" s="125"/>
      <c r="O484" s="125"/>
      <c r="P484" s="125"/>
      <c r="Q484" s="125"/>
      <c r="R484" s="125"/>
      <c r="S484" s="125"/>
      <c r="T484" s="125"/>
      <c r="U484" s="125"/>
      <c r="V484" s="125"/>
      <c r="W484" s="125"/>
      <c r="X484" s="125"/>
      <c r="Y484" s="125"/>
      <c r="Z484" s="125"/>
      <c r="AA484" s="125"/>
      <c r="AB484" s="125"/>
      <c r="AC484" s="125"/>
      <c r="AD484" s="125"/>
      <c r="AE484" s="125"/>
      <c r="AF484" s="125"/>
      <c r="AG484" s="125"/>
      <c r="AH484" s="125"/>
      <c r="AI484" s="125"/>
      <c r="AJ484" s="125"/>
      <c r="AK484" s="125"/>
      <c r="AL484" s="125"/>
      <c r="AM484" s="125"/>
      <c r="AN484" s="125"/>
      <c r="AO484" s="125"/>
      <c r="AP484" s="125"/>
      <c r="AQ484" s="125"/>
      <c r="AR484" s="125"/>
      <c r="AS484" s="125"/>
      <c r="AT484" s="125"/>
      <c r="AU484" s="125"/>
      <c r="AV484" s="125"/>
      <c r="AW484" s="125"/>
      <c r="AX484" s="125"/>
      <c r="AY484" s="125"/>
      <c r="AZ484" s="125"/>
      <c r="BA484" s="125"/>
      <c r="BB484" s="125"/>
      <c r="BC484" s="125"/>
      <c r="BD484" s="125"/>
      <c r="BE484" s="125"/>
      <c r="BF484" s="125"/>
    </row>
    <row r="485" spans="1:58" ht="15.75" customHeight="1">
      <c r="A485" s="125"/>
      <c r="B485" s="125"/>
      <c r="C485" s="125"/>
      <c r="D485" s="125"/>
      <c r="E485" s="125"/>
      <c r="F485" s="125"/>
      <c r="G485" s="125"/>
      <c r="H485" s="125"/>
      <c r="I485" s="125"/>
      <c r="J485" s="125"/>
      <c r="K485" s="125"/>
      <c r="L485" s="125"/>
      <c r="M485" s="125"/>
      <c r="N485" s="125"/>
      <c r="O485" s="125"/>
      <c r="P485" s="125"/>
      <c r="Q485" s="125"/>
      <c r="R485" s="125"/>
      <c r="S485" s="125"/>
      <c r="T485" s="125"/>
      <c r="U485" s="125"/>
      <c r="V485" s="125"/>
      <c r="W485" s="125"/>
      <c r="X485" s="125"/>
      <c r="Y485" s="125"/>
      <c r="Z485" s="125"/>
      <c r="AA485" s="125"/>
      <c r="AB485" s="125"/>
      <c r="AC485" s="125"/>
      <c r="AD485" s="125"/>
      <c r="AE485" s="125"/>
      <c r="AF485" s="125"/>
      <c r="AG485" s="125"/>
      <c r="AH485" s="125"/>
      <c r="AI485" s="125"/>
      <c r="AJ485" s="125"/>
      <c r="AK485" s="125"/>
      <c r="AL485" s="125"/>
      <c r="AM485" s="125"/>
      <c r="AN485" s="125"/>
      <c r="AO485" s="125"/>
      <c r="AP485" s="125"/>
      <c r="AQ485" s="125"/>
      <c r="AR485" s="125"/>
      <c r="AS485" s="125"/>
      <c r="AT485" s="125"/>
      <c r="AU485" s="125"/>
      <c r="AV485" s="125"/>
      <c r="AW485" s="125"/>
      <c r="AX485" s="125"/>
      <c r="AY485" s="125"/>
      <c r="AZ485" s="125"/>
      <c r="BA485" s="125"/>
      <c r="BB485" s="125"/>
      <c r="BC485" s="125"/>
      <c r="BD485" s="125"/>
      <c r="BE485" s="125"/>
      <c r="BF485" s="125"/>
    </row>
    <row r="486" spans="1:58" ht="15.75" customHeight="1">
      <c r="A486" s="125"/>
      <c r="B486" s="125"/>
      <c r="C486" s="125"/>
      <c r="D486" s="125"/>
      <c r="E486" s="125"/>
      <c r="F486" s="125"/>
      <c r="G486" s="125"/>
      <c r="H486" s="125"/>
      <c r="I486" s="125"/>
      <c r="J486" s="125"/>
      <c r="K486" s="125"/>
      <c r="L486" s="125"/>
      <c r="M486" s="125"/>
      <c r="N486" s="125"/>
      <c r="O486" s="125"/>
      <c r="P486" s="125"/>
      <c r="Q486" s="125"/>
      <c r="R486" s="125"/>
      <c r="S486" s="125"/>
      <c r="T486" s="125"/>
      <c r="U486" s="125"/>
      <c r="V486" s="125"/>
      <c r="W486" s="125"/>
      <c r="X486" s="125"/>
      <c r="Y486" s="125"/>
      <c r="Z486" s="125"/>
      <c r="AA486" s="125"/>
      <c r="AB486" s="125"/>
      <c r="AC486" s="125"/>
      <c r="AD486" s="125"/>
      <c r="AE486" s="125"/>
      <c r="AF486" s="125"/>
      <c r="AG486" s="125"/>
      <c r="AH486" s="125"/>
      <c r="AI486" s="125"/>
      <c r="AJ486" s="125"/>
      <c r="AK486" s="125"/>
      <c r="AL486" s="125"/>
      <c r="AM486" s="125"/>
      <c r="AN486" s="125"/>
      <c r="AO486" s="125"/>
      <c r="AP486" s="125"/>
      <c r="AQ486" s="125"/>
      <c r="AR486" s="125"/>
      <c r="AS486" s="125"/>
      <c r="AT486" s="125"/>
      <c r="AU486" s="125"/>
      <c r="AV486" s="125"/>
      <c r="AW486" s="125"/>
      <c r="AX486" s="125"/>
      <c r="AY486" s="125"/>
      <c r="AZ486" s="125"/>
      <c r="BA486" s="125"/>
      <c r="BB486" s="125"/>
      <c r="BC486" s="125"/>
      <c r="BD486" s="125"/>
      <c r="BE486" s="125"/>
      <c r="BF486" s="125"/>
    </row>
    <row r="487" spans="1:58" ht="15.75" customHeight="1">
      <c r="A487" s="125"/>
      <c r="B487" s="125"/>
      <c r="C487" s="125"/>
      <c r="D487" s="125"/>
      <c r="E487" s="125"/>
      <c r="F487" s="125"/>
      <c r="G487" s="125"/>
      <c r="H487" s="125"/>
      <c r="I487" s="125"/>
      <c r="J487" s="125"/>
      <c r="K487" s="125"/>
      <c r="L487" s="125"/>
      <c r="M487" s="125"/>
      <c r="N487" s="125"/>
      <c r="O487" s="125"/>
      <c r="P487" s="125"/>
      <c r="Q487" s="125"/>
      <c r="R487" s="125"/>
      <c r="S487" s="125"/>
      <c r="T487" s="125"/>
      <c r="U487" s="125"/>
      <c r="V487" s="125"/>
      <c r="W487" s="125"/>
      <c r="X487" s="125"/>
      <c r="Y487" s="125"/>
      <c r="Z487" s="125"/>
      <c r="AA487" s="125"/>
      <c r="AB487" s="125"/>
      <c r="AC487" s="125"/>
      <c r="AD487" s="125"/>
      <c r="AE487" s="125"/>
      <c r="AF487" s="125"/>
      <c r="AG487" s="125"/>
      <c r="AH487" s="125"/>
      <c r="AI487" s="125"/>
      <c r="AJ487" s="125"/>
      <c r="AK487" s="125"/>
      <c r="AL487" s="125"/>
      <c r="AM487" s="125"/>
      <c r="AN487" s="125"/>
      <c r="AO487" s="125"/>
      <c r="AP487" s="125"/>
      <c r="AQ487" s="125"/>
      <c r="AR487" s="125"/>
      <c r="AS487" s="125"/>
      <c r="AT487" s="125"/>
      <c r="AU487" s="125"/>
      <c r="AV487" s="125"/>
      <c r="AW487" s="125"/>
      <c r="AX487" s="125"/>
      <c r="AY487" s="125"/>
      <c r="AZ487" s="125"/>
      <c r="BA487" s="125"/>
      <c r="BB487" s="125"/>
      <c r="BC487" s="125"/>
      <c r="BD487" s="125"/>
      <c r="BE487" s="125"/>
      <c r="BF487" s="125"/>
    </row>
    <row r="488" spans="1:58" ht="15.75" customHeight="1">
      <c r="A488" s="125"/>
      <c r="B488" s="125"/>
      <c r="C488" s="125"/>
      <c r="D488" s="125"/>
      <c r="E488" s="125"/>
      <c r="F488" s="125"/>
      <c r="G488" s="125"/>
      <c r="H488" s="125"/>
      <c r="I488" s="125"/>
      <c r="J488" s="125"/>
      <c r="K488" s="125"/>
      <c r="L488" s="125"/>
      <c r="M488" s="125"/>
      <c r="N488" s="125"/>
      <c r="O488" s="125"/>
      <c r="P488" s="125"/>
      <c r="Q488" s="125"/>
      <c r="R488" s="125"/>
      <c r="S488" s="125"/>
      <c r="T488" s="125"/>
      <c r="U488" s="125"/>
      <c r="V488" s="125"/>
      <c r="W488" s="125"/>
      <c r="X488" s="125"/>
      <c r="Y488" s="125"/>
      <c r="Z488" s="125"/>
      <c r="AA488" s="125"/>
      <c r="AB488" s="125"/>
      <c r="AC488" s="125"/>
      <c r="AD488" s="125"/>
      <c r="AE488" s="125"/>
      <c r="AF488" s="125"/>
      <c r="AG488" s="125"/>
      <c r="AH488" s="125"/>
      <c r="AI488" s="125"/>
      <c r="AJ488" s="125"/>
      <c r="AK488" s="125"/>
      <c r="AL488" s="125"/>
      <c r="AM488" s="125"/>
      <c r="AN488" s="125"/>
      <c r="AO488" s="125"/>
      <c r="AP488" s="125"/>
      <c r="AQ488" s="125"/>
      <c r="AR488" s="125"/>
      <c r="AS488" s="125"/>
      <c r="AT488" s="125"/>
      <c r="AU488" s="125"/>
      <c r="AV488" s="125"/>
      <c r="AW488" s="125"/>
      <c r="AX488" s="125"/>
      <c r="AY488" s="125"/>
      <c r="AZ488" s="125"/>
      <c r="BA488" s="125"/>
      <c r="BB488" s="125"/>
      <c r="BC488" s="125"/>
      <c r="BD488" s="125"/>
      <c r="BE488" s="125"/>
      <c r="BF488" s="125"/>
    </row>
    <row r="489" spans="1:58" ht="15.75" customHeight="1">
      <c r="A489" s="125"/>
      <c r="B489" s="125"/>
      <c r="C489" s="125"/>
      <c r="D489" s="125"/>
      <c r="E489" s="125"/>
      <c r="F489" s="125"/>
      <c r="G489" s="125"/>
      <c r="H489" s="125"/>
      <c r="I489" s="125"/>
      <c r="J489" s="125"/>
      <c r="K489" s="125"/>
      <c r="L489" s="125"/>
      <c r="M489" s="125"/>
      <c r="N489" s="125"/>
      <c r="O489" s="125"/>
      <c r="P489" s="125"/>
      <c r="Q489" s="125"/>
      <c r="R489" s="125"/>
      <c r="S489" s="125"/>
      <c r="T489" s="125"/>
      <c r="U489" s="125"/>
      <c r="V489" s="125"/>
      <c r="W489" s="125"/>
      <c r="X489" s="125"/>
      <c r="Y489" s="125"/>
      <c r="Z489" s="125"/>
      <c r="AA489" s="125"/>
      <c r="AB489" s="125"/>
      <c r="AC489" s="125"/>
      <c r="AD489" s="125"/>
      <c r="AE489" s="125"/>
      <c r="AF489" s="125"/>
      <c r="AG489" s="125"/>
      <c r="AH489" s="125"/>
      <c r="AI489" s="125"/>
      <c r="AJ489" s="125"/>
      <c r="AK489" s="125"/>
      <c r="AL489" s="125"/>
      <c r="AM489" s="125"/>
      <c r="AN489" s="125"/>
      <c r="AO489" s="125"/>
      <c r="AP489" s="125"/>
      <c r="AQ489" s="125"/>
      <c r="AR489" s="125"/>
      <c r="AS489" s="125"/>
      <c r="AT489" s="125"/>
      <c r="AU489" s="125"/>
      <c r="AV489" s="125"/>
      <c r="AW489" s="125"/>
      <c r="AX489" s="125"/>
      <c r="AY489" s="125"/>
      <c r="AZ489" s="125"/>
      <c r="BA489" s="125"/>
      <c r="BB489" s="125"/>
      <c r="BC489" s="125"/>
      <c r="BD489" s="125"/>
      <c r="BE489" s="125"/>
      <c r="BF489" s="125"/>
    </row>
    <row r="490" spans="1:58" ht="15.75" customHeight="1">
      <c r="A490" s="125"/>
      <c r="B490" s="125"/>
      <c r="C490" s="125"/>
      <c r="D490" s="125"/>
      <c r="E490" s="125"/>
      <c r="F490" s="125"/>
      <c r="G490" s="125"/>
      <c r="H490" s="125"/>
      <c r="I490" s="125"/>
      <c r="J490" s="125"/>
      <c r="K490" s="125"/>
      <c r="L490" s="125"/>
      <c r="M490" s="125"/>
      <c r="N490" s="125"/>
      <c r="O490" s="125"/>
      <c r="P490" s="125"/>
      <c r="Q490" s="125"/>
      <c r="R490" s="125"/>
      <c r="S490" s="125"/>
      <c r="T490" s="125"/>
      <c r="U490" s="125"/>
      <c r="V490" s="125"/>
      <c r="W490" s="125"/>
      <c r="X490" s="125"/>
      <c r="Y490" s="125"/>
      <c r="Z490" s="125"/>
      <c r="AA490" s="125"/>
      <c r="AB490" s="125"/>
      <c r="AC490" s="125"/>
      <c r="AD490" s="125"/>
      <c r="AE490" s="125"/>
      <c r="AF490" s="125"/>
      <c r="AG490" s="125"/>
      <c r="AH490" s="125"/>
      <c r="AI490" s="125"/>
      <c r="AJ490" s="125"/>
      <c r="AK490" s="125"/>
      <c r="AL490" s="125"/>
      <c r="AM490" s="125"/>
      <c r="AN490" s="125"/>
      <c r="AO490" s="125"/>
      <c r="AP490" s="125"/>
      <c r="AQ490" s="125"/>
      <c r="AR490" s="125"/>
      <c r="AS490" s="125"/>
      <c r="AT490" s="125"/>
      <c r="AU490" s="125"/>
      <c r="AV490" s="125"/>
      <c r="AW490" s="125"/>
      <c r="AX490" s="125"/>
      <c r="AY490" s="125"/>
      <c r="AZ490" s="125"/>
      <c r="BA490" s="125"/>
      <c r="BB490" s="125"/>
      <c r="BC490" s="125"/>
      <c r="BD490" s="125"/>
      <c r="BE490" s="125"/>
      <c r="BF490" s="125"/>
    </row>
    <row r="491" spans="1:58" ht="15.75" customHeight="1">
      <c r="A491" s="125"/>
      <c r="B491" s="125"/>
      <c r="C491" s="125"/>
      <c r="D491" s="125"/>
      <c r="E491" s="125"/>
      <c r="F491" s="125"/>
      <c r="G491" s="125"/>
      <c r="H491" s="125"/>
      <c r="I491" s="125"/>
      <c r="J491" s="125"/>
      <c r="K491" s="125"/>
      <c r="L491" s="125"/>
      <c r="M491" s="125"/>
      <c r="N491" s="125"/>
      <c r="O491" s="125"/>
      <c r="P491" s="125"/>
      <c r="Q491" s="125"/>
      <c r="R491" s="125"/>
      <c r="S491" s="125"/>
      <c r="T491" s="125"/>
      <c r="U491" s="125"/>
      <c r="V491" s="125"/>
      <c r="W491" s="125"/>
      <c r="X491" s="125"/>
      <c r="Y491" s="125"/>
      <c r="Z491" s="125"/>
      <c r="AA491" s="125"/>
      <c r="AB491" s="125"/>
      <c r="AC491" s="125"/>
      <c r="AD491" s="125"/>
      <c r="AE491" s="125"/>
      <c r="AF491" s="125"/>
      <c r="AG491" s="125"/>
      <c r="AH491" s="125"/>
      <c r="AI491" s="125"/>
      <c r="AJ491" s="125"/>
      <c r="AK491" s="125"/>
      <c r="AL491" s="125"/>
      <c r="AM491" s="125"/>
      <c r="AN491" s="125"/>
      <c r="AO491" s="125"/>
      <c r="AP491" s="125"/>
      <c r="AQ491" s="125"/>
      <c r="AR491" s="125"/>
      <c r="AS491" s="125"/>
      <c r="AT491" s="125"/>
      <c r="AU491" s="125"/>
      <c r="AV491" s="125"/>
      <c r="AW491" s="125"/>
      <c r="AX491" s="125"/>
      <c r="AY491" s="125"/>
      <c r="AZ491" s="125"/>
      <c r="BA491" s="125"/>
      <c r="BB491" s="125"/>
      <c r="BC491" s="125"/>
      <c r="BD491" s="125"/>
      <c r="BE491" s="125"/>
      <c r="BF491" s="125"/>
    </row>
    <row r="492" spans="1:58" ht="15.75" customHeight="1">
      <c r="A492" s="125"/>
      <c r="B492" s="125"/>
      <c r="C492" s="125"/>
      <c r="D492" s="125"/>
      <c r="E492" s="125"/>
      <c r="F492" s="125"/>
      <c r="G492" s="125"/>
      <c r="H492" s="125"/>
      <c r="I492" s="125"/>
      <c r="J492" s="125"/>
      <c r="K492" s="125"/>
      <c r="L492" s="125"/>
      <c r="M492" s="125"/>
      <c r="N492" s="125"/>
      <c r="O492" s="125"/>
      <c r="P492" s="125"/>
      <c r="Q492" s="125"/>
      <c r="R492" s="125"/>
      <c r="S492" s="125"/>
      <c r="T492" s="125"/>
      <c r="U492" s="125"/>
      <c r="V492" s="125"/>
      <c r="W492" s="125"/>
      <c r="X492" s="125"/>
      <c r="Y492" s="125"/>
      <c r="Z492" s="125"/>
      <c r="AA492" s="125"/>
      <c r="AB492" s="125"/>
      <c r="AC492" s="125"/>
      <c r="AD492" s="125"/>
      <c r="AE492" s="125"/>
      <c r="AF492" s="125"/>
      <c r="AG492" s="125"/>
      <c r="AH492" s="125"/>
      <c r="AI492" s="125"/>
      <c r="AJ492" s="125"/>
      <c r="AK492" s="125"/>
      <c r="AL492" s="125"/>
      <c r="AM492" s="125"/>
      <c r="AN492" s="125"/>
      <c r="AO492" s="125"/>
      <c r="AP492" s="125"/>
      <c r="AQ492" s="125"/>
      <c r="AR492" s="125"/>
      <c r="AS492" s="125"/>
      <c r="AT492" s="125"/>
      <c r="AU492" s="125"/>
      <c r="AV492" s="125"/>
      <c r="AW492" s="125"/>
      <c r="AX492" s="125"/>
      <c r="AY492" s="125"/>
      <c r="AZ492" s="125"/>
      <c r="BA492" s="125"/>
      <c r="BB492" s="125"/>
      <c r="BC492" s="125"/>
      <c r="BD492" s="125"/>
      <c r="BE492" s="125"/>
      <c r="BF492" s="125"/>
    </row>
    <row r="493" spans="1:58" ht="15.75" customHeight="1">
      <c r="A493" s="125"/>
      <c r="B493" s="125"/>
      <c r="C493" s="125"/>
      <c r="D493" s="125"/>
      <c r="E493" s="125"/>
      <c r="F493" s="125"/>
      <c r="G493" s="125"/>
      <c r="H493" s="125"/>
      <c r="I493" s="125"/>
      <c r="J493" s="125"/>
      <c r="K493" s="125"/>
      <c r="L493" s="125"/>
      <c r="M493" s="125"/>
      <c r="N493" s="125"/>
      <c r="O493" s="125"/>
      <c r="P493" s="125"/>
      <c r="Q493" s="125"/>
      <c r="R493" s="125"/>
      <c r="S493" s="125"/>
      <c r="T493" s="125"/>
      <c r="U493" s="125"/>
      <c r="V493" s="125"/>
      <c r="W493" s="125"/>
      <c r="X493" s="125"/>
      <c r="Y493" s="125"/>
      <c r="Z493" s="125"/>
      <c r="AA493" s="125"/>
      <c r="AB493" s="125"/>
      <c r="AC493" s="125"/>
      <c r="AD493" s="125"/>
      <c r="AE493" s="125"/>
      <c r="AF493" s="125"/>
      <c r="AG493" s="125"/>
      <c r="AH493" s="125"/>
      <c r="AI493" s="125"/>
      <c r="AJ493" s="125"/>
      <c r="AK493" s="125"/>
      <c r="AL493" s="125"/>
      <c r="AM493" s="125"/>
      <c r="AN493" s="125"/>
      <c r="AO493" s="125"/>
      <c r="AP493" s="125"/>
      <c r="AQ493" s="125"/>
      <c r="AR493" s="125"/>
      <c r="AS493" s="125"/>
      <c r="AT493" s="125"/>
      <c r="AU493" s="125"/>
      <c r="AV493" s="125"/>
      <c r="AW493" s="125"/>
      <c r="AX493" s="125"/>
      <c r="AY493" s="125"/>
      <c r="AZ493" s="125"/>
      <c r="BA493" s="125"/>
      <c r="BB493" s="125"/>
      <c r="BC493" s="125"/>
      <c r="BD493" s="125"/>
      <c r="BE493" s="125"/>
      <c r="BF493" s="125"/>
    </row>
    <row r="494" spans="1:58" ht="15.75" customHeight="1">
      <c r="A494" s="125"/>
      <c r="B494" s="125"/>
      <c r="C494" s="125"/>
      <c r="D494" s="125"/>
      <c r="E494" s="125"/>
      <c r="F494" s="125"/>
      <c r="G494" s="125"/>
      <c r="H494" s="125"/>
      <c r="I494" s="125"/>
      <c r="J494" s="125"/>
      <c r="K494" s="125"/>
      <c r="L494" s="125"/>
      <c r="M494" s="125"/>
      <c r="N494" s="125"/>
      <c r="O494" s="125"/>
      <c r="P494" s="125"/>
      <c r="Q494" s="125"/>
      <c r="R494" s="125"/>
      <c r="S494" s="125"/>
      <c r="T494" s="125"/>
      <c r="U494" s="125"/>
      <c r="V494" s="125"/>
      <c r="W494" s="125"/>
      <c r="X494" s="125"/>
      <c r="Y494" s="125"/>
      <c r="Z494" s="125"/>
      <c r="AA494" s="125"/>
      <c r="AB494" s="125"/>
      <c r="AC494" s="125"/>
      <c r="AD494" s="125"/>
      <c r="AE494" s="125"/>
      <c r="AF494" s="125"/>
      <c r="AG494" s="125"/>
      <c r="AH494" s="125"/>
      <c r="AI494" s="125"/>
      <c r="AJ494" s="125"/>
      <c r="AK494" s="125"/>
      <c r="AL494" s="125"/>
      <c r="AM494" s="125"/>
      <c r="AN494" s="125"/>
      <c r="AO494" s="125"/>
      <c r="AP494" s="125"/>
      <c r="AQ494" s="125"/>
      <c r="AR494" s="125"/>
      <c r="AS494" s="125"/>
      <c r="AT494" s="125"/>
      <c r="AU494" s="125"/>
      <c r="AV494" s="125"/>
      <c r="AW494" s="125"/>
      <c r="AX494" s="125"/>
      <c r="AY494" s="125"/>
      <c r="AZ494" s="125"/>
      <c r="BA494" s="125"/>
      <c r="BB494" s="125"/>
      <c r="BC494" s="125"/>
      <c r="BD494" s="125"/>
      <c r="BE494" s="125"/>
      <c r="BF494" s="125"/>
    </row>
    <row r="495" spans="1:58" ht="15.75" customHeight="1">
      <c r="A495" s="125"/>
      <c r="B495" s="125"/>
      <c r="C495" s="125"/>
      <c r="D495" s="125"/>
      <c r="E495" s="125"/>
      <c r="F495" s="125"/>
      <c r="G495" s="125"/>
      <c r="H495" s="125"/>
      <c r="I495" s="125"/>
      <c r="J495" s="125"/>
      <c r="K495" s="125"/>
      <c r="L495" s="125"/>
      <c r="M495" s="125"/>
      <c r="N495" s="125"/>
      <c r="O495" s="125"/>
      <c r="P495" s="125"/>
      <c r="Q495" s="125"/>
      <c r="R495" s="125"/>
      <c r="S495" s="125"/>
      <c r="T495" s="125"/>
      <c r="U495" s="125"/>
      <c r="V495" s="125"/>
      <c r="W495" s="125"/>
      <c r="X495" s="125"/>
      <c r="Y495" s="125"/>
      <c r="Z495" s="125"/>
      <c r="AA495" s="125"/>
      <c r="AB495" s="125"/>
      <c r="AC495" s="125"/>
      <c r="AD495" s="125"/>
      <c r="AE495" s="125"/>
      <c r="AF495" s="125"/>
      <c r="AG495" s="125"/>
      <c r="AH495" s="125"/>
      <c r="AI495" s="125"/>
      <c r="AJ495" s="125"/>
      <c r="AK495" s="125"/>
      <c r="AL495" s="125"/>
      <c r="AM495" s="125"/>
      <c r="AN495" s="125"/>
      <c r="AO495" s="125"/>
      <c r="AP495" s="125"/>
      <c r="AQ495" s="125"/>
      <c r="AR495" s="125"/>
      <c r="AS495" s="125"/>
      <c r="AT495" s="125"/>
      <c r="AU495" s="125"/>
      <c r="AV495" s="125"/>
      <c r="AW495" s="125"/>
      <c r="AX495" s="125"/>
      <c r="AY495" s="125"/>
      <c r="AZ495" s="125"/>
      <c r="BA495" s="125"/>
      <c r="BB495" s="125"/>
      <c r="BC495" s="125"/>
      <c r="BD495" s="125"/>
      <c r="BE495" s="125"/>
      <c r="BF495" s="125"/>
    </row>
    <row r="496" spans="1:58" ht="15.75" customHeight="1">
      <c r="A496" s="125"/>
      <c r="B496" s="125"/>
      <c r="C496" s="125"/>
      <c r="D496" s="125"/>
      <c r="E496" s="125"/>
      <c r="F496" s="125"/>
      <c r="G496" s="125"/>
      <c r="H496" s="125"/>
      <c r="I496" s="125"/>
      <c r="J496" s="125"/>
      <c r="K496" s="125"/>
      <c r="L496" s="125"/>
      <c r="M496" s="125"/>
      <c r="N496" s="125"/>
      <c r="O496" s="125"/>
      <c r="P496" s="125"/>
      <c r="Q496" s="125"/>
      <c r="R496" s="125"/>
      <c r="S496" s="125"/>
      <c r="T496" s="125"/>
      <c r="U496" s="125"/>
      <c r="V496" s="125"/>
      <c r="W496" s="125"/>
      <c r="X496" s="125"/>
      <c r="Y496" s="125"/>
      <c r="Z496" s="125"/>
      <c r="AA496" s="125"/>
      <c r="AB496" s="125"/>
      <c r="AC496" s="125"/>
      <c r="AD496" s="125"/>
      <c r="AE496" s="125"/>
      <c r="AF496" s="125"/>
      <c r="AG496" s="125"/>
      <c r="AH496" s="125"/>
      <c r="AI496" s="125"/>
      <c r="AJ496" s="125"/>
      <c r="AK496" s="125"/>
      <c r="AL496" s="125"/>
      <c r="AM496" s="125"/>
      <c r="AN496" s="125"/>
      <c r="AO496" s="125"/>
      <c r="AP496" s="125"/>
      <c r="AQ496" s="125"/>
      <c r="AR496" s="125"/>
      <c r="AS496" s="125"/>
      <c r="AT496" s="125"/>
      <c r="AU496" s="125"/>
      <c r="AV496" s="125"/>
      <c r="AW496" s="125"/>
      <c r="AX496" s="125"/>
      <c r="AY496" s="125"/>
      <c r="AZ496" s="125"/>
      <c r="BA496" s="125"/>
      <c r="BB496" s="125"/>
      <c r="BC496" s="125"/>
      <c r="BD496" s="125"/>
      <c r="BE496" s="125"/>
      <c r="BF496" s="125"/>
    </row>
    <row r="497" spans="1:58" ht="15.75" customHeight="1">
      <c r="A497" s="125"/>
      <c r="B497" s="125"/>
      <c r="C497" s="125"/>
      <c r="D497" s="125"/>
      <c r="E497" s="125"/>
      <c r="F497" s="125"/>
      <c r="G497" s="125"/>
      <c r="H497" s="125"/>
      <c r="I497" s="125"/>
      <c r="J497" s="125"/>
      <c r="K497" s="125"/>
      <c r="L497" s="125"/>
      <c r="M497" s="125"/>
      <c r="N497" s="125"/>
      <c r="O497" s="125"/>
      <c r="P497" s="125"/>
      <c r="Q497" s="125"/>
      <c r="R497" s="125"/>
      <c r="S497" s="125"/>
      <c r="T497" s="125"/>
      <c r="U497" s="125"/>
      <c r="V497" s="125"/>
      <c r="W497" s="125"/>
      <c r="X497" s="125"/>
      <c r="Y497" s="125"/>
      <c r="Z497" s="125"/>
      <c r="AA497" s="125"/>
      <c r="AB497" s="125"/>
      <c r="AC497" s="125"/>
      <c r="AD497" s="125"/>
      <c r="AE497" s="125"/>
      <c r="AF497" s="125"/>
      <c r="AG497" s="125"/>
      <c r="AH497" s="125"/>
      <c r="AI497" s="125"/>
      <c r="AJ497" s="125"/>
      <c r="AK497" s="125"/>
      <c r="AL497" s="125"/>
      <c r="AM497" s="125"/>
      <c r="AN497" s="125"/>
      <c r="AO497" s="125"/>
      <c r="AP497" s="125"/>
      <c r="AQ497" s="125"/>
      <c r="AR497" s="125"/>
      <c r="AS497" s="125"/>
      <c r="AT497" s="125"/>
      <c r="AU497" s="125"/>
      <c r="AV497" s="125"/>
      <c r="AW497" s="125"/>
      <c r="AX497" s="125"/>
      <c r="AY497" s="125"/>
      <c r="AZ497" s="125"/>
      <c r="BA497" s="125"/>
      <c r="BB497" s="125"/>
      <c r="BC497" s="125"/>
      <c r="BD497" s="125"/>
      <c r="BE497" s="125"/>
      <c r="BF497" s="125"/>
    </row>
    <row r="498" spans="1:58" ht="15.75" customHeight="1">
      <c r="A498" s="125"/>
      <c r="B498" s="125"/>
      <c r="C498" s="125"/>
      <c r="D498" s="125"/>
      <c r="E498" s="125"/>
      <c r="F498" s="125"/>
      <c r="G498" s="125"/>
      <c r="H498" s="125"/>
      <c r="I498" s="125"/>
      <c r="J498" s="125"/>
      <c r="K498" s="125"/>
      <c r="L498" s="125"/>
      <c r="M498" s="125"/>
      <c r="N498" s="125"/>
      <c r="O498" s="125"/>
      <c r="P498" s="125"/>
      <c r="Q498" s="125"/>
      <c r="R498" s="125"/>
      <c r="S498" s="125"/>
      <c r="T498" s="125"/>
      <c r="U498" s="125"/>
      <c r="V498" s="125"/>
      <c r="W498" s="125"/>
      <c r="X498" s="125"/>
      <c r="Y498" s="125"/>
      <c r="Z498" s="125"/>
      <c r="AA498" s="125"/>
      <c r="AB498" s="125"/>
      <c r="AC498" s="125"/>
      <c r="AD498" s="125"/>
      <c r="AE498" s="125"/>
      <c r="AF498" s="125"/>
      <c r="AG498" s="125"/>
      <c r="AH498" s="125"/>
      <c r="AI498" s="125"/>
      <c r="AJ498" s="125"/>
      <c r="AK498" s="125"/>
      <c r="AL498" s="125"/>
      <c r="AM498" s="125"/>
      <c r="AN498" s="125"/>
      <c r="AO498" s="125"/>
      <c r="AP498" s="125"/>
      <c r="AQ498" s="125"/>
      <c r="AR498" s="125"/>
      <c r="AS498" s="125"/>
      <c r="AT498" s="125"/>
      <c r="AU498" s="125"/>
      <c r="AV498" s="125"/>
      <c r="AW498" s="125"/>
      <c r="AX498" s="125"/>
      <c r="AY498" s="125"/>
      <c r="AZ498" s="125"/>
      <c r="BA498" s="125"/>
      <c r="BB498" s="125"/>
      <c r="BC498" s="125"/>
      <c r="BD498" s="125"/>
      <c r="BE498" s="125"/>
      <c r="BF498" s="125"/>
    </row>
    <row r="499" spans="1:58" ht="15.75" customHeight="1">
      <c r="A499" s="125"/>
      <c r="B499" s="125"/>
      <c r="C499" s="125"/>
      <c r="D499" s="125"/>
      <c r="E499" s="125"/>
      <c r="F499" s="125"/>
      <c r="G499" s="125"/>
      <c r="H499" s="125"/>
      <c r="I499" s="125"/>
      <c r="J499" s="125"/>
      <c r="K499" s="125"/>
      <c r="L499" s="125"/>
      <c r="M499" s="125"/>
      <c r="N499" s="125"/>
      <c r="O499" s="125"/>
      <c r="P499" s="125"/>
      <c r="Q499" s="125"/>
      <c r="R499" s="125"/>
      <c r="S499" s="125"/>
      <c r="T499" s="125"/>
      <c r="U499" s="125"/>
      <c r="V499" s="125"/>
      <c r="W499" s="125"/>
      <c r="X499" s="125"/>
      <c r="Y499" s="125"/>
      <c r="Z499" s="125"/>
      <c r="AA499" s="125"/>
      <c r="AB499" s="125"/>
      <c r="AC499" s="125"/>
      <c r="AD499" s="125"/>
      <c r="AE499" s="125"/>
      <c r="AF499" s="125"/>
      <c r="AG499" s="125"/>
      <c r="AH499" s="125"/>
      <c r="AI499" s="125"/>
      <c r="AJ499" s="125"/>
      <c r="AK499" s="125"/>
      <c r="AL499" s="125"/>
      <c r="AM499" s="125"/>
      <c r="AN499" s="125"/>
      <c r="AO499" s="125"/>
      <c r="AP499" s="125"/>
      <c r="AQ499" s="125"/>
      <c r="AR499" s="125"/>
      <c r="AS499" s="125"/>
      <c r="AT499" s="125"/>
      <c r="AU499" s="125"/>
      <c r="AV499" s="125"/>
      <c r="AW499" s="125"/>
      <c r="AX499" s="125"/>
      <c r="AY499" s="125"/>
      <c r="AZ499" s="125"/>
      <c r="BA499" s="125"/>
      <c r="BB499" s="125"/>
      <c r="BC499" s="125"/>
      <c r="BD499" s="125"/>
      <c r="BE499" s="125"/>
      <c r="BF499" s="125"/>
    </row>
    <row r="500" spans="1:58" ht="15.75" customHeight="1">
      <c r="A500" s="125"/>
      <c r="B500" s="125"/>
      <c r="C500" s="125"/>
      <c r="D500" s="125"/>
      <c r="E500" s="125"/>
      <c r="F500" s="125"/>
      <c r="G500" s="125"/>
      <c r="H500" s="125"/>
      <c r="I500" s="125"/>
      <c r="J500" s="125"/>
      <c r="K500" s="125"/>
      <c r="L500" s="125"/>
      <c r="M500" s="125"/>
      <c r="N500" s="125"/>
      <c r="O500" s="125"/>
      <c r="P500" s="125"/>
      <c r="Q500" s="125"/>
      <c r="R500" s="125"/>
      <c r="S500" s="125"/>
      <c r="T500" s="125"/>
      <c r="U500" s="125"/>
      <c r="V500" s="125"/>
      <c r="W500" s="125"/>
      <c r="X500" s="125"/>
      <c r="Y500" s="125"/>
      <c r="Z500" s="125"/>
      <c r="AA500" s="125"/>
      <c r="AB500" s="125"/>
      <c r="AC500" s="125"/>
      <c r="AD500" s="125"/>
      <c r="AE500" s="125"/>
      <c r="AF500" s="125"/>
      <c r="AG500" s="125"/>
      <c r="AH500" s="125"/>
      <c r="AI500" s="125"/>
      <c r="AJ500" s="125"/>
      <c r="AK500" s="125"/>
      <c r="AL500" s="125"/>
      <c r="AM500" s="125"/>
      <c r="AN500" s="125"/>
      <c r="AO500" s="125"/>
      <c r="AP500" s="125"/>
      <c r="AQ500" s="125"/>
      <c r="AR500" s="125"/>
      <c r="AS500" s="125"/>
      <c r="AT500" s="125"/>
      <c r="AU500" s="125"/>
      <c r="AV500" s="125"/>
      <c r="AW500" s="125"/>
      <c r="AX500" s="125"/>
      <c r="AY500" s="125"/>
      <c r="AZ500" s="125"/>
      <c r="BA500" s="125"/>
      <c r="BB500" s="125"/>
      <c r="BC500" s="125"/>
      <c r="BD500" s="125"/>
      <c r="BE500" s="125"/>
      <c r="BF500" s="125"/>
    </row>
    <row r="501" spans="1:58" ht="15.75" customHeight="1">
      <c r="A501" s="125"/>
      <c r="B501" s="125"/>
      <c r="C501" s="125"/>
      <c r="D501" s="125"/>
      <c r="E501" s="125"/>
      <c r="F501" s="125"/>
      <c r="G501" s="125"/>
      <c r="H501" s="125"/>
      <c r="I501" s="125"/>
      <c r="J501" s="125"/>
      <c r="K501" s="125"/>
      <c r="L501" s="125"/>
      <c r="M501" s="125"/>
      <c r="N501" s="125"/>
      <c r="O501" s="125"/>
      <c r="P501" s="125"/>
      <c r="Q501" s="125"/>
      <c r="R501" s="125"/>
      <c r="S501" s="125"/>
      <c r="T501" s="125"/>
      <c r="U501" s="125"/>
      <c r="V501" s="125"/>
      <c r="W501" s="125"/>
      <c r="X501" s="125"/>
      <c r="Y501" s="125"/>
      <c r="Z501" s="125"/>
      <c r="AA501" s="125"/>
      <c r="AB501" s="125"/>
      <c r="AC501" s="125"/>
      <c r="AD501" s="125"/>
      <c r="AE501" s="125"/>
      <c r="AF501" s="125"/>
      <c r="AG501" s="125"/>
      <c r="AH501" s="125"/>
      <c r="AI501" s="125"/>
      <c r="AJ501" s="125"/>
      <c r="AK501" s="125"/>
      <c r="AL501" s="125"/>
      <c r="AM501" s="125"/>
      <c r="AN501" s="125"/>
      <c r="AO501" s="125"/>
      <c r="AP501" s="125"/>
      <c r="AQ501" s="125"/>
      <c r="AR501" s="125"/>
      <c r="AS501" s="125"/>
      <c r="AT501" s="125"/>
      <c r="AU501" s="125"/>
      <c r="AV501" s="125"/>
      <c r="AW501" s="125"/>
      <c r="AX501" s="125"/>
      <c r="AY501" s="125"/>
      <c r="AZ501" s="125"/>
      <c r="BA501" s="125"/>
      <c r="BB501" s="125"/>
      <c r="BC501" s="125"/>
      <c r="BD501" s="125"/>
      <c r="BE501" s="125"/>
      <c r="BF501" s="125"/>
    </row>
    <row r="502" spans="1:58" ht="15.75" customHeight="1">
      <c r="A502" s="125"/>
      <c r="B502" s="125"/>
      <c r="C502" s="125"/>
      <c r="D502" s="125"/>
      <c r="E502" s="125"/>
      <c r="F502" s="125"/>
      <c r="G502" s="125"/>
      <c r="H502" s="125"/>
      <c r="I502" s="125"/>
      <c r="J502" s="125"/>
      <c r="K502" s="125"/>
      <c r="L502" s="125"/>
      <c r="M502" s="125"/>
      <c r="N502" s="125"/>
      <c r="O502" s="125"/>
      <c r="P502" s="125"/>
      <c r="Q502" s="125"/>
      <c r="R502" s="125"/>
      <c r="S502" s="125"/>
      <c r="T502" s="125"/>
      <c r="U502" s="125"/>
      <c r="V502" s="125"/>
      <c r="W502" s="125"/>
      <c r="X502" s="125"/>
      <c r="Y502" s="125"/>
      <c r="Z502" s="125"/>
      <c r="AA502" s="125"/>
      <c r="AB502" s="125"/>
      <c r="AC502" s="125"/>
      <c r="AD502" s="125"/>
      <c r="AE502" s="125"/>
      <c r="AF502" s="125"/>
      <c r="AG502" s="125"/>
      <c r="AH502" s="125"/>
      <c r="AI502" s="125"/>
      <c r="AJ502" s="125"/>
      <c r="AK502" s="125"/>
      <c r="AL502" s="125"/>
      <c r="AM502" s="125"/>
      <c r="AN502" s="125"/>
      <c r="AO502" s="125"/>
      <c r="AP502" s="125"/>
      <c r="AQ502" s="125"/>
      <c r="AR502" s="125"/>
      <c r="AS502" s="125"/>
      <c r="AT502" s="125"/>
      <c r="AU502" s="125"/>
      <c r="AV502" s="125"/>
      <c r="AW502" s="125"/>
      <c r="AX502" s="125"/>
      <c r="AY502" s="125"/>
      <c r="AZ502" s="125"/>
      <c r="BA502" s="125"/>
      <c r="BB502" s="125"/>
      <c r="BC502" s="125"/>
      <c r="BD502" s="125"/>
      <c r="BE502" s="125"/>
      <c r="BF502" s="125"/>
    </row>
    <row r="503" spans="1:58" ht="15.75" customHeight="1">
      <c r="A503" s="125"/>
      <c r="B503" s="125"/>
      <c r="C503" s="125"/>
      <c r="D503" s="125"/>
      <c r="E503" s="125"/>
      <c r="F503" s="125"/>
      <c r="G503" s="125"/>
      <c r="H503" s="125"/>
      <c r="I503" s="125"/>
      <c r="J503" s="125"/>
      <c r="K503" s="125"/>
      <c r="L503" s="125"/>
      <c r="M503" s="125"/>
      <c r="N503" s="125"/>
      <c r="O503" s="125"/>
      <c r="P503" s="125"/>
      <c r="Q503" s="125"/>
      <c r="R503" s="125"/>
      <c r="S503" s="125"/>
      <c r="T503" s="125"/>
      <c r="U503" s="125"/>
      <c r="V503" s="125"/>
      <c r="W503" s="125"/>
      <c r="X503" s="125"/>
      <c r="Y503" s="125"/>
      <c r="Z503" s="125"/>
      <c r="AA503" s="125"/>
      <c r="AB503" s="125"/>
      <c r="AC503" s="125"/>
      <c r="AD503" s="125"/>
      <c r="AE503" s="125"/>
      <c r="AF503" s="125"/>
      <c r="AG503" s="125"/>
      <c r="AH503" s="125"/>
      <c r="AI503" s="125"/>
      <c r="AJ503" s="125"/>
      <c r="AK503" s="125"/>
      <c r="AL503" s="125"/>
      <c r="AM503" s="125"/>
      <c r="AN503" s="125"/>
      <c r="AO503" s="125"/>
      <c r="AP503" s="125"/>
      <c r="AQ503" s="125"/>
      <c r="AR503" s="125"/>
      <c r="AS503" s="125"/>
      <c r="AT503" s="125"/>
      <c r="AU503" s="125"/>
      <c r="AV503" s="125"/>
      <c r="AW503" s="125"/>
      <c r="AX503" s="125"/>
      <c r="AY503" s="125"/>
      <c r="AZ503" s="125"/>
      <c r="BA503" s="125"/>
      <c r="BB503" s="125"/>
      <c r="BC503" s="125"/>
      <c r="BD503" s="125"/>
      <c r="BE503" s="125"/>
      <c r="BF503" s="125"/>
    </row>
    <row r="504" spans="1:58" ht="15.75" customHeight="1">
      <c r="A504" s="125"/>
      <c r="B504" s="125"/>
      <c r="C504" s="125"/>
      <c r="D504" s="125"/>
      <c r="E504" s="125"/>
      <c r="F504" s="125"/>
      <c r="G504" s="125"/>
      <c r="H504" s="125"/>
      <c r="I504" s="125"/>
      <c r="J504" s="125"/>
      <c r="K504" s="125"/>
      <c r="L504" s="125"/>
      <c r="M504" s="125"/>
      <c r="N504" s="125"/>
      <c r="O504" s="125"/>
      <c r="P504" s="125"/>
      <c r="Q504" s="125"/>
      <c r="R504" s="125"/>
      <c r="S504" s="125"/>
      <c r="T504" s="125"/>
      <c r="U504" s="125"/>
      <c r="V504" s="125"/>
      <c r="W504" s="125"/>
      <c r="X504" s="125"/>
      <c r="Y504" s="125"/>
      <c r="Z504" s="125"/>
      <c r="AA504" s="125"/>
      <c r="AB504" s="125"/>
      <c r="AC504" s="125"/>
      <c r="AD504" s="125"/>
      <c r="AE504" s="125"/>
      <c r="AF504" s="125"/>
      <c r="AG504" s="125"/>
      <c r="AH504" s="125"/>
      <c r="AI504" s="125"/>
      <c r="AJ504" s="125"/>
      <c r="AK504" s="125"/>
      <c r="AL504" s="125"/>
      <c r="AM504" s="125"/>
      <c r="AN504" s="125"/>
      <c r="AO504" s="125"/>
      <c r="AP504" s="125"/>
      <c r="AQ504" s="125"/>
      <c r="AR504" s="125"/>
      <c r="AS504" s="125"/>
      <c r="AT504" s="125"/>
      <c r="AU504" s="125"/>
      <c r="AV504" s="125"/>
      <c r="AW504" s="125"/>
      <c r="AX504" s="125"/>
      <c r="AY504" s="125"/>
      <c r="AZ504" s="125"/>
      <c r="BA504" s="125"/>
      <c r="BB504" s="125"/>
      <c r="BC504" s="125"/>
      <c r="BD504" s="125"/>
      <c r="BE504" s="125"/>
      <c r="BF504" s="125"/>
    </row>
    <row r="505" spans="1:58" ht="15.75" customHeight="1">
      <c r="A505" s="125"/>
      <c r="B505" s="125"/>
      <c r="C505" s="125"/>
      <c r="D505" s="125"/>
      <c r="E505" s="125"/>
      <c r="F505" s="125"/>
      <c r="G505" s="125"/>
      <c r="H505" s="125"/>
      <c r="I505" s="125"/>
      <c r="J505" s="125"/>
      <c r="K505" s="125"/>
      <c r="L505" s="125"/>
      <c r="M505" s="125"/>
      <c r="N505" s="125"/>
      <c r="O505" s="125"/>
      <c r="P505" s="125"/>
      <c r="Q505" s="125"/>
      <c r="R505" s="125"/>
      <c r="S505" s="125"/>
      <c r="T505" s="125"/>
      <c r="U505" s="125"/>
      <c r="V505" s="125"/>
      <c r="W505" s="125"/>
      <c r="X505" s="125"/>
      <c r="Y505" s="125"/>
      <c r="Z505" s="125"/>
      <c r="AA505" s="125"/>
      <c r="AB505" s="125"/>
      <c r="AC505" s="125"/>
      <c r="AD505" s="125"/>
      <c r="AE505" s="125"/>
      <c r="AF505" s="125"/>
      <c r="AG505" s="125"/>
      <c r="AH505" s="125"/>
      <c r="AI505" s="125"/>
      <c r="AJ505" s="125"/>
      <c r="AK505" s="125"/>
      <c r="AL505" s="125"/>
      <c r="AM505" s="125"/>
      <c r="AN505" s="125"/>
      <c r="AO505" s="125"/>
      <c r="AP505" s="125"/>
      <c r="AQ505" s="125"/>
      <c r="AR505" s="125"/>
      <c r="AS505" s="125"/>
      <c r="AT505" s="125"/>
      <c r="AU505" s="125"/>
      <c r="AV505" s="125"/>
      <c r="AW505" s="125"/>
      <c r="AX505" s="125"/>
      <c r="AY505" s="125"/>
      <c r="AZ505" s="125"/>
      <c r="BA505" s="125"/>
      <c r="BB505" s="125"/>
      <c r="BC505" s="125"/>
      <c r="BD505" s="125"/>
      <c r="BE505" s="125"/>
      <c r="BF505" s="125"/>
    </row>
    <row r="506" spans="1:58" ht="15.75" customHeight="1">
      <c r="A506" s="125"/>
      <c r="B506" s="125"/>
      <c r="C506" s="125"/>
      <c r="D506" s="125"/>
      <c r="E506" s="125"/>
      <c r="F506" s="125"/>
      <c r="G506" s="125"/>
      <c r="H506" s="125"/>
      <c r="I506" s="125"/>
      <c r="J506" s="125"/>
      <c r="K506" s="125"/>
      <c r="L506" s="125"/>
      <c r="M506" s="125"/>
      <c r="N506" s="125"/>
      <c r="O506" s="125"/>
      <c r="P506" s="125"/>
      <c r="Q506" s="125"/>
      <c r="R506" s="125"/>
      <c r="S506" s="125"/>
      <c r="T506" s="125"/>
      <c r="U506" s="125"/>
      <c r="V506" s="125"/>
      <c r="W506" s="125"/>
      <c r="X506" s="125"/>
      <c r="Y506" s="125"/>
      <c r="Z506" s="125"/>
      <c r="AA506" s="125"/>
      <c r="AB506" s="125"/>
      <c r="AC506" s="125"/>
      <c r="AD506" s="125"/>
      <c r="AE506" s="125"/>
      <c r="AF506" s="125"/>
      <c r="AG506" s="125"/>
      <c r="AH506" s="125"/>
      <c r="AI506" s="125"/>
      <c r="AJ506" s="125"/>
      <c r="AK506" s="125"/>
      <c r="AL506" s="125"/>
      <c r="AM506" s="125"/>
      <c r="AN506" s="125"/>
      <c r="AO506" s="125"/>
      <c r="AP506" s="125"/>
      <c r="AQ506" s="125"/>
      <c r="AR506" s="125"/>
      <c r="AS506" s="125"/>
      <c r="AT506" s="125"/>
      <c r="AU506" s="125"/>
      <c r="AV506" s="125"/>
      <c r="AW506" s="125"/>
      <c r="AX506" s="125"/>
      <c r="AY506" s="125"/>
      <c r="AZ506" s="125"/>
      <c r="BA506" s="125"/>
      <c r="BB506" s="125"/>
      <c r="BC506" s="125"/>
      <c r="BD506" s="125"/>
      <c r="BE506" s="125"/>
      <c r="BF506" s="125"/>
    </row>
    <row r="507" spans="1:58" ht="15.75" customHeight="1">
      <c r="A507" s="125"/>
      <c r="B507" s="125"/>
      <c r="C507" s="125"/>
      <c r="D507" s="125"/>
      <c r="E507" s="125"/>
      <c r="F507" s="125"/>
      <c r="G507" s="125"/>
      <c r="H507" s="125"/>
      <c r="I507" s="125"/>
      <c r="J507" s="125"/>
      <c r="K507" s="125"/>
      <c r="L507" s="125"/>
      <c r="M507" s="125"/>
      <c r="N507" s="125"/>
      <c r="O507" s="125"/>
      <c r="P507" s="125"/>
      <c r="Q507" s="125"/>
      <c r="R507" s="125"/>
      <c r="S507" s="125"/>
      <c r="T507" s="125"/>
      <c r="U507" s="125"/>
      <c r="V507" s="125"/>
      <c r="W507" s="125"/>
      <c r="X507" s="125"/>
      <c r="Y507" s="125"/>
      <c r="Z507" s="125"/>
      <c r="AA507" s="125"/>
      <c r="AB507" s="125"/>
      <c r="AC507" s="125"/>
      <c r="AD507" s="125"/>
      <c r="AE507" s="125"/>
      <c r="AF507" s="125"/>
      <c r="AG507" s="125"/>
      <c r="AH507" s="125"/>
      <c r="AI507" s="125"/>
      <c r="AJ507" s="125"/>
      <c r="AK507" s="125"/>
      <c r="AL507" s="125"/>
      <c r="AM507" s="125"/>
      <c r="AN507" s="125"/>
      <c r="AO507" s="125"/>
      <c r="AP507" s="125"/>
      <c r="AQ507" s="125"/>
      <c r="AR507" s="125"/>
      <c r="AS507" s="125"/>
      <c r="AT507" s="125"/>
      <c r="AU507" s="125"/>
      <c r="AV507" s="125"/>
      <c r="AW507" s="125"/>
      <c r="AX507" s="125"/>
      <c r="AY507" s="125"/>
      <c r="AZ507" s="125"/>
      <c r="BA507" s="125"/>
      <c r="BB507" s="125"/>
      <c r="BC507" s="125"/>
      <c r="BD507" s="125"/>
      <c r="BE507" s="125"/>
      <c r="BF507" s="125"/>
    </row>
    <row r="508" spans="1:58" ht="15.75" customHeight="1">
      <c r="A508" s="125"/>
      <c r="B508" s="125"/>
      <c r="C508" s="125"/>
      <c r="D508" s="125"/>
      <c r="E508" s="125"/>
      <c r="F508" s="125"/>
      <c r="G508" s="125"/>
      <c r="H508" s="125"/>
      <c r="I508" s="125"/>
      <c r="J508" s="125"/>
      <c r="K508" s="125"/>
      <c r="L508" s="125"/>
      <c r="M508" s="125"/>
      <c r="N508" s="125"/>
      <c r="O508" s="125"/>
      <c r="P508" s="125"/>
      <c r="Q508" s="125"/>
      <c r="R508" s="125"/>
      <c r="S508" s="125"/>
      <c r="T508" s="125"/>
      <c r="U508" s="125"/>
      <c r="V508" s="125"/>
      <c r="W508" s="125"/>
      <c r="X508" s="125"/>
      <c r="Y508" s="125"/>
      <c r="Z508" s="125"/>
      <c r="AA508" s="125"/>
      <c r="AB508" s="125"/>
      <c r="AC508" s="125"/>
      <c r="AD508" s="125"/>
      <c r="AE508" s="125"/>
      <c r="AF508" s="125"/>
      <c r="AG508" s="125"/>
      <c r="AH508" s="125"/>
      <c r="AI508" s="125"/>
      <c r="AJ508" s="125"/>
      <c r="AK508" s="125"/>
      <c r="AL508" s="125"/>
      <c r="AM508" s="125"/>
      <c r="AN508" s="125"/>
      <c r="AO508" s="125"/>
      <c r="AP508" s="125"/>
      <c r="AQ508" s="125"/>
      <c r="AR508" s="125"/>
      <c r="AS508" s="125"/>
      <c r="AT508" s="125"/>
      <c r="AU508" s="125"/>
      <c r="AV508" s="125"/>
      <c r="AW508" s="125"/>
      <c r="AX508" s="125"/>
      <c r="AY508" s="125"/>
      <c r="AZ508" s="125"/>
      <c r="BA508" s="125"/>
      <c r="BB508" s="125"/>
      <c r="BC508" s="125"/>
      <c r="BD508" s="125"/>
      <c r="BE508" s="125"/>
      <c r="BF508" s="125"/>
    </row>
    <row r="509" spans="1:58" ht="15.75" customHeight="1">
      <c r="A509" s="125"/>
      <c r="B509" s="125"/>
      <c r="C509" s="125"/>
      <c r="D509" s="125"/>
      <c r="E509" s="125"/>
      <c r="F509" s="125"/>
      <c r="G509" s="125"/>
      <c r="H509" s="125"/>
      <c r="I509" s="125"/>
      <c r="J509" s="125"/>
      <c r="K509" s="125"/>
      <c r="L509" s="125"/>
      <c r="M509" s="125"/>
      <c r="N509" s="125"/>
      <c r="O509" s="125"/>
      <c r="P509" s="125"/>
      <c r="Q509" s="125"/>
      <c r="R509" s="125"/>
      <c r="S509" s="125"/>
      <c r="T509" s="125"/>
      <c r="U509" s="125"/>
      <c r="V509" s="125"/>
      <c r="W509" s="125"/>
      <c r="X509" s="125"/>
      <c r="Y509" s="125"/>
      <c r="Z509" s="125"/>
      <c r="AA509" s="125"/>
      <c r="AB509" s="125"/>
      <c r="AC509" s="125"/>
      <c r="AD509" s="125"/>
      <c r="AE509" s="125"/>
      <c r="AF509" s="125"/>
      <c r="AG509" s="125"/>
      <c r="AH509" s="125"/>
      <c r="AI509" s="125"/>
      <c r="AJ509" s="125"/>
      <c r="AK509" s="125"/>
      <c r="AL509" s="125"/>
      <c r="AM509" s="125"/>
      <c r="AN509" s="125"/>
      <c r="AO509" s="125"/>
      <c r="AP509" s="125"/>
      <c r="AQ509" s="125"/>
      <c r="AR509" s="125"/>
      <c r="AS509" s="125"/>
      <c r="AT509" s="125"/>
      <c r="AU509" s="125"/>
      <c r="AV509" s="125"/>
      <c r="AW509" s="125"/>
      <c r="AX509" s="125"/>
      <c r="AY509" s="125"/>
      <c r="AZ509" s="125"/>
      <c r="BA509" s="125"/>
      <c r="BB509" s="125"/>
      <c r="BC509" s="125"/>
      <c r="BD509" s="125"/>
      <c r="BE509" s="125"/>
      <c r="BF509" s="125"/>
    </row>
    <row r="510" spans="1:58" ht="15.75" customHeight="1">
      <c r="A510" s="125"/>
      <c r="B510" s="125"/>
      <c r="C510" s="125"/>
      <c r="D510" s="125"/>
      <c r="E510" s="125"/>
      <c r="F510" s="125"/>
      <c r="G510" s="125"/>
      <c r="H510" s="125"/>
      <c r="I510" s="125"/>
      <c r="J510" s="125"/>
      <c r="K510" s="125"/>
      <c r="L510" s="125"/>
      <c r="M510" s="125"/>
      <c r="N510" s="125"/>
      <c r="O510" s="125"/>
      <c r="P510" s="125"/>
      <c r="Q510" s="125"/>
      <c r="R510" s="125"/>
      <c r="S510" s="125"/>
      <c r="T510" s="125"/>
      <c r="U510" s="125"/>
      <c r="V510" s="125"/>
      <c r="W510" s="125"/>
      <c r="X510" s="125"/>
      <c r="Y510" s="125"/>
      <c r="Z510" s="125"/>
      <c r="AA510" s="125"/>
      <c r="AB510" s="125"/>
      <c r="AC510" s="125"/>
      <c r="AD510" s="125"/>
      <c r="AE510" s="125"/>
      <c r="AF510" s="125"/>
      <c r="AG510" s="125"/>
      <c r="AH510" s="125"/>
      <c r="AI510" s="125"/>
      <c r="AJ510" s="125"/>
      <c r="AK510" s="125"/>
      <c r="AL510" s="125"/>
      <c r="AM510" s="125"/>
      <c r="AN510" s="125"/>
      <c r="AO510" s="125"/>
      <c r="AP510" s="125"/>
      <c r="AQ510" s="125"/>
      <c r="AR510" s="125"/>
      <c r="AS510" s="125"/>
      <c r="AT510" s="125"/>
      <c r="AU510" s="125"/>
      <c r="AV510" s="125"/>
      <c r="AW510" s="125"/>
      <c r="AX510" s="125"/>
      <c r="AY510" s="125"/>
      <c r="AZ510" s="125"/>
      <c r="BA510" s="125"/>
      <c r="BB510" s="125"/>
      <c r="BC510" s="125"/>
      <c r="BD510" s="125"/>
      <c r="BE510" s="125"/>
      <c r="BF510" s="125"/>
    </row>
    <row r="511" spans="1:58" ht="15.75" customHeight="1">
      <c r="A511" s="125"/>
      <c r="B511" s="125"/>
      <c r="C511" s="125"/>
      <c r="D511" s="125"/>
      <c r="E511" s="125"/>
      <c r="F511" s="125"/>
      <c r="G511" s="125"/>
      <c r="H511" s="125"/>
      <c r="I511" s="125"/>
      <c r="J511" s="125"/>
      <c r="K511" s="125"/>
      <c r="L511" s="125"/>
      <c r="M511" s="125"/>
      <c r="N511" s="125"/>
      <c r="O511" s="125"/>
      <c r="P511" s="125"/>
      <c r="Q511" s="125"/>
      <c r="R511" s="125"/>
      <c r="S511" s="125"/>
      <c r="T511" s="125"/>
      <c r="U511" s="125"/>
      <c r="V511" s="125"/>
      <c r="W511" s="125"/>
      <c r="X511" s="125"/>
      <c r="Y511" s="125"/>
      <c r="Z511" s="125"/>
      <c r="AA511" s="125"/>
      <c r="AB511" s="125"/>
      <c r="AC511" s="125"/>
      <c r="AD511" s="125"/>
      <c r="AE511" s="125"/>
      <c r="AF511" s="125"/>
      <c r="AG511" s="125"/>
      <c r="AH511" s="125"/>
      <c r="AI511" s="125"/>
      <c r="AJ511" s="125"/>
      <c r="AK511" s="125"/>
      <c r="AL511" s="125"/>
      <c r="AM511" s="125"/>
      <c r="AN511" s="125"/>
      <c r="AO511" s="125"/>
      <c r="AP511" s="125"/>
      <c r="AQ511" s="125"/>
      <c r="AR511" s="125"/>
      <c r="AS511" s="125"/>
      <c r="AT511" s="125"/>
      <c r="AU511" s="125"/>
      <c r="AV511" s="125"/>
      <c r="AW511" s="125"/>
      <c r="AX511" s="125"/>
      <c r="AY511" s="125"/>
      <c r="AZ511" s="125"/>
      <c r="BA511" s="125"/>
      <c r="BB511" s="125"/>
      <c r="BC511" s="125"/>
      <c r="BD511" s="125"/>
      <c r="BE511" s="125"/>
      <c r="BF511" s="125"/>
    </row>
    <row r="512" spans="1:58" ht="15.75" customHeight="1">
      <c r="A512" s="125"/>
      <c r="B512" s="125"/>
      <c r="C512" s="125"/>
      <c r="D512" s="125"/>
      <c r="E512" s="125"/>
      <c r="F512" s="125"/>
      <c r="G512" s="125"/>
      <c r="H512" s="125"/>
      <c r="I512" s="125"/>
      <c r="J512" s="125"/>
      <c r="K512" s="125"/>
      <c r="L512" s="125"/>
      <c r="M512" s="125"/>
      <c r="N512" s="125"/>
      <c r="O512" s="125"/>
      <c r="P512" s="125"/>
      <c r="Q512" s="125"/>
      <c r="R512" s="125"/>
      <c r="S512" s="125"/>
      <c r="T512" s="125"/>
      <c r="U512" s="125"/>
      <c r="V512" s="125"/>
      <c r="W512" s="125"/>
      <c r="X512" s="125"/>
      <c r="Y512" s="125"/>
      <c r="Z512" s="125"/>
      <c r="AA512" s="125"/>
      <c r="AB512" s="125"/>
      <c r="AC512" s="125"/>
      <c r="AD512" s="125"/>
      <c r="AE512" s="125"/>
      <c r="AF512" s="125"/>
      <c r="AG512" s="125"/>
      <c r="AH512" s="125"/>
      <c r="AI512" s="125"/>
      <c r="AJ512" s="125"/>
      <c r="AK512" s="125"/>
      <c r="AL512" s="125"/>
      <c r="AM512" s="125"/>
      <c r="AN512" s="125"/>
      <c r="AO512" s="125"/>
      <c r="AP512" s="125"/>
      <c r="AQ512" s="125"/>
      <c r="AR512" s="125"/>
      <c r="AS512" s="125"/>
      <c r="AT512" s="125"/>
      <c r="AU512" s="125"/>
      <c r="AV512" s="125"/>
      <c r="AW512" s="125"/>
      <c r="AX512" s="125"/>
      <c r="AY512" s="125"/>
      <c r="AZ512" s="125"/>
      <c r="BA512" s="125"/>
      <c r="BB512" s="125"/>
      <c r="BC512" s="125"/>
      <c r="BD512" s="125"/>
      <c r="BE512" s="125"/>
      <c r="BF512" s="125"/>
    </row>
    <row r="513" spans="1:58" ht="15.75" customHeight="1">
      <c r="A513" s="125"/>
      <c r="B513" s="125"/>
      <c r="C513" s="125"/>
      <c r="D513" s="125"/>
      <c r="E513" s="125"/>
      <c r="F513" s="125"/>
      <c r="G513" s="125"/>
      <c r="H513" s="125"/>
      <c r="I513" s="125"/>
      <c r="J513" s="125"/>
      <c r="K513" s="125"/>
      <c r="L513" s="125"/>
      <c r="M513" s="125"/>
      <c r="N513" s="125"/>
      <c r="O513" s="125"/>
      <c r="P513" s="125"/>
      <c r="Q513" s="125"/>
      <c r="R513" s="125"/>
      <c r="S513" s="125"/>
      <c r="T513" s="125"/>
      <c r="U513" s="125"/>
      <c r="V513" s="125"/>
      <c r="W513" s="125"/>
      <c r="X513" s="125"/>
      <c r="Y513" s="125"/>
      <c r="Z513" s="125"/>
      <c r="AA513" s="125"/>
      <c r="AB513" s="125"/>
      <c r="AC513" s="125"/>
      <c r="AD513" s="125"/>
      <c r="AE513" s="125"/>
      <c r="AF513" s="125"/>
      <c r="AG513" s="125"/>
      <c r="AH513" s="125"/>
      <c r="AI513" s="125"/>
      <c r="AJ513" s="125"/>
      <c r="AK513" s="125"/>
      <c r="AL513" s="125"/>
      <c r="AM513" s="125"/>
      <c r="AN513" s="125"/>
      <c r="AO513" s="125"/>
      <c r="AP513" s="125"/>
      <c r="AQ513" s="125"/>
      <c r="AR513" s="125"/>
      <c r="AS513" s="125"/>
      <c r="AT513" s="125"/>
      <c r="AU513" s="125"/>
      <c r="AV513" s="125"/>
      <c r="AW513" s="125"/>
      <c r="AX513" s="125"/>
      <c r="AY513" s="125"/>
      <c r="AZ513" s="125"/>
      <c r="BA513" s="125"/>
      <c r="BB513" s="125"/>
      <c r="BC513" s="125"/>
      <c r="BD513" s="125"/>
      <c r="BE513" s="125"/>
      <c r="BF513" s="125"/>
    </row>
    <row r="514" spans="1:58" ht="15.75" customHeight="1">
      <c r="A514" s="125"/>
      <c r="B514" s="125"/>
      <c r="C514" s="125"/>
      <c r="D514" s="125"/>
      <c r="E514" s="125"/>
      <c r="F514" s="125"/>
      <c r="G514" s="125"/>
      <c r="H514" s="125"/>
      <c r="I514" s="125"/>
      <c r="J514" s="125"/>
      <c r="K514" s="125"/>
      <c r="L514" s="125"/>
      <c r="M514" s="125"/>
      <c r="N514" s="125"/>
      <c r="O514" s="125"/>
      <c r="P514" s="125"/>
      <c r="Q514" s="125"/>
      <c r="R514" s="125"/>
      <c r="S514" s="125"/>
      <c r="T514" s="125"/>
      <c r="U514" s="125"/>
      <c r="V514" s="125"/>
      <c r="W514" s="125"/>
      <c r="X514" s="125"/>
      <c r="Y514" s="125"/>
      <c r="Z514" s="125"/>
      <c r="AA514" s="125"/>
      <c r="AB514" s="125"/>
      <c r="AC514" s="125"/>
      <c r="AD514" s="125"/>
      <c r="AE514" s="125"/>
      <c r="AF514" s="125"/>
      <c r="AG514" s="125"/>
      <c r="AH514" s="125"/>
      <c r="AI514" s="125"/>
      <c r="AJ514" s="125"/>
      <c r="AK514" s="125"/>
      <c r="AL514" s="125"/>
      <c r="AM514" s="125"/>
      <c r="AN514" s="125"/>
      <c r="AO514" s="125"/>
      <c r="AP514" s="125"/>
      <c r="AQ514" s="125"/>
      <c r="AR514" s="125"/>
      <c r="AS514" s="125"/>
      <c r="AT514" s="125"/>
      <c r="AU514" s="125"/>
      <c r="AV514" s="125"/>
      <c r="AW514" s="125"/>
      <c r="AX514" s="125"/>
      <c r="AY514" s="125"/>
      <c r="AZ514" s="125"/>
      <c r="BA514" s="125"/>
      <c r="BB514" s="125"/>
      <c r="BC514" s="125"/>
      <c r="BD514" s="125"/>
      <c r="BE514" s="125"/>
      <c r="BF514" s="125"/>
    </row>
    <row r="515" spans="1:58" ht="15.75" customHeight="1">
      <c r="A515" s="125"/>
      <c r="B515" s="125"/>
      <c r="C515" s="125"/>
      <c r="D515" s="125"/>
      <c r="E515" s="125"/>
      <c r="F515" s="125"/>
      <c r="G515" s="125"/>
      <c r="H515" s="125"/>
      <c r="I515" s="125"/>
      <c r="J515" s="125"/>
      <c r="K515" s="125"/>
      <c r="L515" s="125"/>
      <c r="M515" s="125"/>
      <c r="N515" s="125"/>
      <c r="O515" s="125"/>
      <c r="P515" s="125"/>
      <c r="Q515" s="125"/>
      <c r="R515" s="125"/>
      <c r="S515" s="125"/>
      <c r="T515" s="125"/>
      <c r="U515" s="125"/>
      <c r="V515" s="125"/>
      <c r="W515" s="125"/>
      <c r="X515" s="125"/>
      <c r="Y515" s="125"/>
      <c r="Z515" s="125"/>
      <c r="AA515" s="125"/>
      <c r="AB515" s="125"/>
      <c r="AC515" s="125"/>
      <c r="AD515" s="125"/>
      <c r="AE515" s="125"/>
      <c r="AF515" s="125"/>
      <c r="AG515" s="125"/>
      <c r="AH515" s="125"/>
      <c r="AI515" s="125"/>
      <c r="AJ515" s="125"/>
      <c r="AK515" s="125"/>
      <c r="AL515" s="125"/>
      <c r="AM515" s="125"/>
      <c r="AN515" s="125"/>
      <c r="AO515" s="125"/>
      <c r="AP515" s="125"/>
      <c r="AQ515" s="125"/>
      <c r="AR515" s="125"/>
      <c r="AS515" s="125"/>
      <c r="AT515" s="125"/>
      <c r="AU515" s="125"/>
      <c r="AV515" s="125"/>
      <c r="AW515" s="125"/>
      <c r="AX515" s="125"/>
      <c r="AY515" s="125"/>
      <c r="AZ515" s="125"/>
      <c r="BA515" s="125"/>
      <c r="BB515" s="125"/>
      <c r="BC515" s="125"/>
      <c r="BD515" s="125"/>
      <c r="BE515" s="125"/>
      <c r="BF515" s="125"/>
    </row>
    <row r="516" spans="1:58" ht="15.75" customHeight="1">
      <c r="A516" s="125"/>
      <c r="B516" s="125"/>
      <c r="C516" s="125"/>
      <c r="D516" s="125"/>
      <c r="E516" s="125"/>
      <c r="F516" s="125"/>
      <c r="G516" s="125"/>
      <c r="H516" s="125"/>
      <c r="I516" s="125"/>
      <c r="J516" s="125"/>
      <c r="K516" s="125"/>
      <c r="L516" s="125"/>
      <c r="M516" s="125"/>
      <c r="N516" s="125"/>
      <c r="O516" s="125"/>
      <c r="P516" s="125"/>
      <c r="Q516" s="125"/>
      <c r="R516" s="125"/>
      <c r="S516" s="125"/>
      <c r="T516" s="125"/>
      <c r="U516" s="125"/>
      <c r="V516" s="125"/>
      <c r="W516" s="125"/>
      <c r="X516" s="125"/>
      <c r="Y516" s="125"/>
      <c r="Z516" s="125"/>
      <c r="AA516" s="125"/>
      <c r="AB516" s="125"/>
      <c r="AC516" s="125"/>
      <c r="AD516" s="125"/>
      <c r="AE516" s="125"/>
      <c r="AF516" s="125"/>
      <c r="AG516" s="125"/>
      <c r="AH516" s="125"/>
      <c r="AI516" s="125"/>
      <c r="AJ516" s="125"/>
      <c r="AK516" s="125"/>
      <c r="AL516" s="125"/>
      <c r="AM516" s="125"/>
      <c r="AN516" s="125"/>
      <c r="AO516" s="125"/>
      <c r="AP516" s="125"/>
      <c r="AQ516" s="125"/>
      <c r="AR516" s="125"/>
      <c r="AS516" s="125"/>
      <c r="AT516" s="125"/>
      <c r="AU516" s="125"/>
      <c r="AV516" s="125"/>
      <c r="AW516" s="125"/>
      <c r="AX516" s="125"/>
      <c r="AY516" s="125"/>
      <c r="AZ516" s="125"/>
      <c r="BA516" s="125"/>
      <c r="BB516" s="125"/>
      <c r="BC516" s="125"/>
      <c r="BD516" s="125"/>
      <c r="BE516" s="125"/>
      <c r="BF516" s="125"/>
    </row>
    <row r="517" spans="1:58" ht="15.75" customHeight="1">
      <c r="A517" s="125"/>
      <c r="B517" s="125"/>
      <c r="C517" s="125"/>
      <c r="D517" s="125"/>
      <c r="E517" s="125"/>
      <c r="F517" s="125"/>
      <c r="G517" s="125"/>
      <c r="H517" s="125"/>
      <c r="I517" s="125"/>
      <c r="J517" s="125"/>
      <c r="K517" s="125"/>
      <c r="L517" s="125"/>
      <c r="M517" s="125"/>
      <c r="N517" s="125"/>
      <c r="O517" s="125"/>
      <c r="P517" s="125"/>
      <c r="Q517" s="125"/>
      <c r="R517" s="125"/>
      <c r="S517" s="125"/>
      <c r="T517" s="125"/>
      <c r="U517" s="125"/>
      <c r="V517" s="125"/>
      <c r="W517" s="125"/>
      <c r="X517" s="125"/>
      <c r="Y517" s="125"/>
      <c r="Z517" s="125"/>
      <c r="AA517" s="125"/>
      <c r="AB517" s="125"/>
      <c r="AC517" s="125"/>
      <c r="AD517" s="125"/>
      <c r="AE517" s="125"/>
      <c r="AF517" s="125"/>
      <c r="AG517" s="125"/>
      <c r="AH517" s="125"/>
      <c r="AI517" s="125"/>
      <c r="AJ517" s="125"/>
      <c r="AK517" s="125"/>
      <c r="AL517" s="125"/>
      <c r="AM517" s="125"/>
      <c r="AN517" s="125"/>
      <c r="AO517" s="125"/>
      <c r="AP517" s="125"/>
      <c r="AQ517" s="125"/>
      <c r="AR517" s="125"/>
      <c r="AS517" s="125"/>
      <c r="AT517" s="125"/>
      <c r="AU517" s="125"/>
      <c r="AV517" s="125"/>
      <c r="AW517" s="125"/>
      <c r="AX517" s="125"/>
      <c r="AY517" s="125"/>
      <c r="AZ517" s="125"/>
      <c r="BA517" s="125"/>
      <c r="BB517" s="125"/>
      <c r="BC517" s="125"/>
      <c r="BD517" s="125"/>
      <c r="BE517" s="125"/>
      <c r="BF517" s="125"/>
    </row>
    <row r="518" spans="1:58" ht="15.75" customHeight="1">
      <c r="A518" s="125"/>
      <c r="B518" s="125"/>
      <c r="C518" s="125"/>
      <c r="D518" s="125"/>
      <c r="E518" s="125"/>
      <c r="F518" s="125"/>
      <c r="G518" s="125"/>
      <c r="H518" s="125"/>
      <c r="I518" s="125"/>
      <c r="J518" s="125"/>
      <c r="K518" s="125"/>
      <c r="L518" s="125"/>
      <c r="M518" s="125"/>
      <c r="N518" s="125"/>
      <c r="O518" s="125"/>
      <c r="P518" s="125"/>
      <c r="Q518" s="125"/>
      <c r="R518" s="125"/>
      <c r="S518" s="125"/>
      <c r="T518" s="125"/>
      <c r="U518" s="125"/>
      <c r="V518" s="125"/>
      <c r="W518" s="125"/>
      <c r="X518" s="125"/>
      <c r="Y518" s="125"/>
      <c r="Z518" s="125"/>
      <c r="AA518" s="125"/>
      <c r="AB518" s="125"/>
      <c r="AC518" s="125"/>
      <c r="AD518" s="125"/>
      <c r="AE518" s="125"/>
      <c r="AF518" s="125"/>
      <c r="AG518" s="125"/>
      <c r="AH518" s="125"/>
      <c r="AI518" s="125"/>
      <c r="AJ518" s="125"/>
      <c r="AK518" s="125"/>
      <c r="AL518" s="125"/>
      <c r="AM518" s="125"/>
      <c r="AN518" s="125"/>
      <c r="AO518" s="125"/>
      <c r="AP518" s="125"/>
      <c r="AQ518" s="125"/>
      <c r="AR518" s="125"/>
      <c r="AS518" s="125"/>
      <c r="AT518" s="125"/>
      <c r="AU518" s="125"/>
      <c r="AV518" s="125"/>
      <c r="AW518" s="125"/>
      <c r="AX518" s="125"/>
      <c r="AY518" s="125"/>
      <c r="AZ518" s="125"/>
      <c r="BA518" s="125"/>
      <c r="BB518" s="125"/>
      <c r="BC518" s="125"/>
      <c r="BD518" s="125"/>
      <c r="BE518" s="125"/>
      <c r="BF518" s="125"/>
    </row>
    <row r="519" spans="1:58" ht="15.75" customHeight="1">
      <c r="A519" s="125"/>
      <c r="B519" s="125"/>
      <c r="C519" s="125"/>
      <c r="D519" s="125"/>
      <c r="E519" s="125"/>
      <c r="F519" s="125"/>
      <c r="G519" s="125"/>
      <c r="H519" s="125"/>
      <c r="I519" s="125"/>
      <c r="J519" s="125"/>
      <c r="K519" s="125"/>
      <c r="L519" s="125"/>
      <c r="M519" s="125"/>
      <c r="N519" s="125"/>
      <c r="O519" s="125"/>
      <c r="P519" s="125"/>
      <c r="Q519" s="125"/>
      <c r="R519" s="125"/>
      <c r="S519" s="125"/>
      <c r="T519" s="125"/>
      <c r="U519" s="125"/>
      <c r="V519" s="125"/>
      <c r="W519" s="125"/>
      <c r="X519" s="125"/>
      <c r="Y519" s="125"/>
      <c r="Z519" s="125"/>
      <c r="AA519" s="125"/>
      <c r="AB519" s="125"/>
      <c r="AC519" s="125"/>
      <c r="AD519" s="125"/>
      <c r="AE519" s="125"/>
      <c r="AF519" s="125"/>
      <c r="AG519" s="125"/>
      <c r="AH519" s="125"/>
      <c r="AI519" s="125"/>
      <c r="AJ519" s="125"/>
      <c r="AK519" s="125"/>
      <c r="AL519" s="125"/>
      <c r="AM519" s="125"/>
      <c r="AN519" s="125"/>
      <c r="AO519" s="125"/>
      <c r="AP519" s="125"/>
      <c r="AQ519" s="125"/>
      <c r="AR519" s="125"/>
      <c r="AS519" s="125"/>
      <c r="AT519" s="125"/>
      <c r="AU519" s="125"/>
      <c r="AV519" s="125"/>
      <c r="AW519" s="125"/>
      <c r="AX519" s="125"/>
      <c r="AY519" s="125"/>
      <c r="AZ519" s="125"/>
      <c r="BA519" s="125"/>
      <c r="BB519" s="125"/>
      <c r="BC519" s="125"/>
      <c r="BD519" s="125"/>
      <c r="BE519" s="125"/>
      <c r="BF519" s="125"/>
    </row>
    <row r="520" spans="1:58" ht="15.75" customHeight="1">
      <c r="A520" s="125"/>
      <c r="B520" s="125"/>
      <c r="C520" s="125"/>
      <c r="D520" s="125"/>
      <c r="E520" s="125"/>
      <c r="F520" s="125"/>
      <c r="G520" s="125"/>
      <c r="H520" s="125"/>
      <c r="I520" s="125"/>
      <c r="J520" s="125"/>
      <c r="K520" s="125"/>
      <c r="L520" s="125"/>
      <c r="M520" s="125"/>
      <c r="N520" s="125"/>
      <c r="O520" s="125"/>
      <c r="P520" s="125"/>
      <c r="Q520" s="125"/>
      <c r="R520" s="125"/>
      <c r="S520" s="125"/>
      <c r="T520" s="125"/>
      <c r="U520" s="125"/>
      <c r="V520" s="125"/>
      <c r="W520" s="125"/>
      <c r="X520" s="125"/>
      <c r="Y520" s="125"/>
      <c r="Z520" s="125"/>
      <c r="AA520" s="125"/>
      <c r="AB520" s="125"/>
      <c r="AC520" s="125"/>
      <c r="AD520" s="125"/>
      <c r="AE520" s="125"/>
      <c r="AF520" s="125"/>
      <c r="AG520" s="125"/>
      <c r="AH520" s="125"/>
      <c r="AI520" s="125"/>
      <c r="AJ520" s="125"/>
      <c r="AK520" s="125"/>
      <c r="AL520" s="125"/>
      <c r="AM520" s="125"/>
      <c r="AN520" s="125"/>
      <c r="AO520" s="125"/>
      <c r="AP520" s="125"/>
      <c r="AQ520" s="125"/>
      <c r="AR520" s="125"/>
      <c r="AS520" s="125"/>
      <c r="AT520" s="125"/>
      <c r="AU520" s="125"/>
      <c r="AV520" s="125"/>
      <c r="AW520" s="125"/>
      <c r="AX520" s="125"/>
      <c r="AY520" s="125"/>
      <c r="AZ520" s="125"/>
      <c r="BA520" s="125"/>
      <c r="BB520" s="125"/>
      <c r="BC520" s="125"/>
      <c r="BD520" s="125"/>
      <c r="BE520" s="125"/>
      <c r="BF520" s="125"/>
    </row>
    <row r="521" spans="1:58" ht="15.75" customHeight="1">
      <c r="A521" s="125"/>
      <c r="B521" s="125"/>
      <c r="C521" s="125"/>
      <c r="D521" s="125"/>
      <c r="E521" s="125"/>
      <c r="F521" s="125"/>
      <c r="G521" s="125"/>
      <c r="H521" s="125"/>
      <c r="I521" s="125"/>
      <c r="J521" s="125"/>
      <c r="K521" s="125"/>
      <c r="L521" s="125"/>
      <c r="M521" s="125"/>
      <c r="N521" s="125"/>
      <c r="O521" s="125"/>
      <c r="P521" s="125"/>
      <c r="Q521" s="125"/>
      <c r="R521" s="125"/>
      <c r="S521" s="125"/>
      <c r="T521" s="125"/>
      <c r="U521" s="125"/>
      <c r="V521" s="125"/>
      <c r="W521" s="125"/>
      <c r="X521" s="125"/>
      <c r="Y521" s="125"/>
      <c r="Z521" s="125"/>
      <c r="AA521" s="125"/>
      <c r="AB521" s="125"/>
      <c r="AC521" s="125"/>
      <c r="AD521" s="125"/>
      <c r="AE521" s="125"/>
      <c r="AF521" s="125"/>
      <c r="AG521" s="125"/>
      <c r="AH521" s="125"/>
      <c r="AI521" s="125"/>
      <c r="AJ521" s="125"/>
      <c r="AK521" s="125"/>
      <c r="AL521" s="125"/>
      <c r="AM521" s="125"/>
      <c r="AN521" s="125"/>
      <c r="AO521" s="125"/>
      <c r="AP521" s="125"/>
      <c r="AQ521" s="125"/>
      <c r="AR521" s="125"/>
      <c r="AS521" s="125"/>
      <c r="AT521" s="125"/>
      <c r="AU521" s="125"/>
      <c r="AV521" s="125"/>
      <c r="AW521" s="125"/>
      <c r="AX521" s="125"/>
      <c r="AY521" s="125"/>
      <c r="AZ521" s="125"/>
      <c r="BA521" s="125"/>
      <c r="BB521" s="125"/>
      <c r="BC521" s="125"/>
      <c r="BD521" s="125"/>
      <c r="BE521" s="125"/>
      <c r="BF521" s="125"/>
    </row>
    <row r="522" spans="1:58" ht="15.75" customHeight="1">
      <c r="A522" s="125"/>
      <c r="B522" s="125"/>
      <c r="C522" s="125"/>
      <c r="D522" s="125"/>
      <c r="E522" s="125"/>
      <c r="F522" s="125"/>
      <c r="G522" s="125"/>
      <c r="H522" s="125"/>
      <c r="I522" s="125"/>
      <c r="J522" s="125"/>
      <c r="K522" s="125"/>
      <c r="L522" s="125"/>
      <c r="M522" s="125"/>
      <c r="N522" s="125"/>
      <c r="O522" s="125"/>
      <c r="P522" s="125"/>
      <c r="Q522" s="125"/>
      <c r="R522" s="125"/>
      <c r="S522" s="125"/>
      <c r="T522" s="125"/>
      <c r="U522" s="125"/>
      <c r="V522" s="125"/>
      <c r="W522" s="125"/>
      <c r="X522" s="125"/>
      <c r="Y522" s="125"/>
      <c r="Z522" s="125"/>
      <c r="AA522" s="125"/>
      <c r="AB522" s="125"/>
      <c r="AC522" s="125"/>
      <c r="AD522" s="125"/>
      <c r="AE522" s="125"/>
      <c r="AF522" s="125"/>
      <c r="AG522" s="125"/>
      <c r="AH522" s="125"/>
      <c r="AI522" s="125"/>
      <c r="AJ522" s="125"/>
      <c r="AK522" s="125"/>
      <c r="AL522" s="125"/>
      <c r="AM522" s="125"/>
      <c r="AN522" s="125"/>
      <c r="AO522" s="125"/>
      <c r="AP522" s="125"/>
      <c r="AQ522" s="125"/>
      <c r="AR522" s="125"/>
      <c r="AS522" s="125"/>
      <c r="AT522" s="125"/>
      <c r="AU522" s="125"/>
      <c r="AV522" s="125"/>
      <c r="AW522" s="125"/>
      <c r="AX522" s="125"/>
      <c r="AY522" s="125"/>
      <c r="AZ522" s="125"/>
      <c r="BA522" s="125"/>
      <c r="BB522" s="125"/>
      <c r="BC522" s="125"/>
      <c r="BD522" s="125"/>
      <c r="BE522" s="125"/>
      <c r="BF522" s="125"/>
    </row>
    <row r="523" spans="1:58" ht="15.75" customHeight="1">
      <c r="A523" s="125"/>
      <c r="B523" s="125"/>
      <c r="C523" s="125"/>
      <c r="D523" s="125"/>
      <c r="E523" s="125"/>
      <c r="F523" s="125"/>
      <c r="G523" s="125"/>
      <c r="H523" s="125"/>
      <c r="I523" s="125"/>
      <c r="J523" s="125"/>
      <c r="K523" s="125"/>
      <c r="L523" s="125"/>
      <c r="M523" s="125"/>
      <c r="N523" s="125"/>
      <c r="O523" s="125"/>
      <c r="P523" s="125"/>
      <c r="Q523" s="125"/>
      <c r="R523" s="125"/>
      <c r="S523" s="125"/>
      <c r="T523" s="125"/>
      <c r="U523" s="125"/>
      <c r="V523" s="125"/>
      <c r="W523" s="125"/>
      <c r="X523" s="125"/>
      <c r="Y523" s="125"/>
      <c r="Z523" s="125"/>
      <c r="AA523" s="125"/>
      <c r="AB523" s="125"/>
      <c r="AC523" s="125"/>
      <c r="AD523" s="125"/>
      <c r="AE523" s="125"/>
      <c r="AF523" s="125"/>
      <c r="AG523" s="125"/>
      <c r="AH523" s="125"/>
      <c r="AI523" s="125"/>
      <c r="AJ523" s="125"/>
      <c r="AK523" s="125"/>
      <c r="AL523" s="125"/>
      <c r="AM523" s="125"/>
      <c r="AN523" s="125"/>
      <c r="AO523" s="125"/>
      <c r="AP523" s="125"/>
      <c r="AQ523" s="125"/>
      <c r="AR523" s="125"/>
      <c r="AS523" s="125"/>
      <c r="AT523" s="125"/>
      <c r="AU523" s="125"/>
      <c r="AV523" s="125"/>
      <c r="AW523" s="125"/>
      <c r="AX523" s="125"/>
      <c r="AY523" s="125"/>
      <c r="AZ523" s="125"/>
      <c r="BA523" s="125"/>
      <c r="BB523" s="125"/>
      <c r="BC523" s="125"/>
      <c r="BD523" s="125"/>
      <c r="BE523" s="125"/>
      <c r="BF523" s="125"/>
    </row>
    <row r="524" spans="1:58" ht="15.75" customHeight="1">
      <c r="A524" s="125"/>
      <c r="B524" s="125"/>
      <c r="C524" s="125"/>
      <c r="D524" s="125"/>
      <c r="E524" s="125"/>
      <c r="F524" s="125"/>
      <c r="G524" s="125"/>
      <c r="H524" s="125"/>
      <c r="I524" s="125"/>
      <c r="J524" s="125"/>
      <c r="K524" s="125"/>
      <c r="L524" s="125"/>
      <c r="M524" s="125"/>
      <c r="N524" s="125"/>
      <c r="O524" s="125"/>
      <c r="P524" s="125"/>
      <c r="Q524" s="125"/>
      <c r="R524" s="125"/>
      <c r="S524" s="125"/>
      <c r="T524" s="125"/>
      <c r="U524" s="125"/>
      <c r="V524" s="125"/>
      <c r="W524" s="125"/>
      <c r="X524" s="125"/>
      <c r="Y524" s="125"/>
      <c r="Z524" s="125"/>
      <c r="AA524" s="125"/>
      <c r="AB524" s="125"/>
      <c r="AC524" s="125"/>
      <c r="AD524" s="125"/>
      <c r="AE524" s="125"/>
      <c r="AF524" s="125"/>
      <c r="AG524" s="125"/>
      <c r="AH524" s="125"/>
      <c r="AI524" s="125"/>
      <c r="AJ524" s="125"/>
      <c r="AK524" s="125"/>
      <c r="AL524" s="125"/>
      <c r="AM524" s="125"/>
      <c r="AN524" s="125"/>
      <c r="AO524" s="125"/>
      <c r="AP524" s="125"/>
      <c r="AQ524" s="125"/>
      <c r="AR524" s="125"/>
      <c r="AS524" s="125"/>
      <c r="AT524" s="125"/>
      <c r="AU524" s="125"/>
      <c r="AV524" s="125"/>
      <c r="AW524" s="125"/>
      <c r="AX524" s="125"/>
      <c r="AY524" s="125"/>
      <c r="AZ524" s="125"/>
      <c r="BA524" s="125"/>
      <c r="BB524" s="125"/>
      <c r="BC524" s="125"/>
      <c r="BD524" s="125"/>
      <c r="BE524" s="125"/>
      <c r="BF524" s="125"/>
    </row>
    <row r="525" spans="1:58" ht="15.75" customHeight="1">
      <c r="A525" s="125"/>
      <c r="B525" s="125"/>
      <c r="C525" s="125"/>
      <c r="D525" s="125"/>
      <c r="E525" s="125"/>
      <c r="F525" s="125"/>
      <c r="G525" s="125"/>
      <c r="H525" s="125"/>
      <c r="I525" s="125"/>
      <c r="J525" s="125"/>
      <c r="K525" s="125"/>
      <c r="L525" s="125"/>
      <c r="M525" s="125"/>
      <c r="N525" s="125"/>
      <c r="O525" s="125"/>
      <c r="P525" s="125"/>
      <c r="Q525" s="125"/>
      <c r="R525" s="125"/>
      <c r="S525" s="125"/>
      <c r="T525" s="125"/>
      <c r="U525" s="125"/>
      <c r="V525" s="125"/>
      <c r="W525" s="125"/>
      <c r="X525" s="125"/>
      <c r="Y525" s="125"/>
      <c r="Z525" s="125"/>
      <c r="AA525" s="125"/>
      <c r="AB525" s="125"/>
      <c r="AC525" s="125"/>
      <c r="AD525" s="125"/>
      <c r="AE525" s="125"/>
      <c r="AF525" s="125"/>
      <c r="AG525" s="125"/>
      <c r="AH525" s="125"/>
      <c r="AI525" s="125"/>
      <c r="AJ525" s="125"/>
      <c r="AK525" s="125"/>
      <c r="AL525" s="125"/>
      <c r="AM525" s="125"/>
      <c r="AN525" s="125"/>
      <c r="AO525" s="125"/>
      <c r="AP525" s="125"/>
      <c r="AQ525" s="125"/>
      <c r="AR525" s="125"/>
      <c r="AS525" s="125"/>
      <c r="AT525" s="125"/>
      <c r="AU525" s="125"/>
      <c r="AV525" s="125"/>
      <c r="AW525" s="125"/>
      <c r="AX525" s="125"/>
      <c r="AY525" s="125"/>
      <c r="AZ525" s="125"/>
      <c r="BA525" s="125"/>
      <c r="BB525" s="125"/>
      <c r="BC525" s="125"/>
      <c r="BD525" s="125"/>
      <c r="BE525" s="125"/>
      <c r="BF525" s="125"/>
    </row>
    <row r="526" spans="1:58" ht="15.75" customHeight="1">
      <c r="A526" s="125"/>
      <c r="B526" s="125"/>
      <c r="C526" s="125"/>
      <c r="D526" s="125"/>
      <c r="E526" s="125"/>
      <c r="F526" s="125"/>
      <c r="G526" s="125"/>
      <c r="H526" s="125"/>
      <c r="I526" s="125"/>
      <c r="J526" s="125"/>
      <c r="K526" s="125"/>
      <c r="L526" s="125"/>
      <c r="M526" s="125"/>
      <c r="N526" s="125"/>
      <c r="O526" s="125"/>
      <c r="P526" s="125"/>
      <c r="Q526" s="125"/>
      <c r="R526" s="125"/>
      <c r="S526" s="125"/>
      <c r="T526" s="125"/>
      <c r="U526" s="125"/>
      <c r="V526" s="125"/>
      <c r="W526" s="125"/>
      <c r="X526" s="125"/>
      <c r="Y526" s="125"/>
      <c r="Z526" s="125"/>
      <c r="AA526" s="125"/>
      <c r="AB526" s="125"/>
      <c r="AC526" s="125"/>
      <c r="AD526" s="125"/>
      <c r="AE526" s="125"/>
      <c r="AF526" s="125"/>
      <c r="AG526" s="125"/>
      <c r="AH526" s="125"/>
      <c r="AI526" s="125"/>
      <c r="AJ526" s="125"/>
      <c r="AK526" s="125"/>
      <c r="AL526" s="125"/>
      <c r="AM526" s="125"/>
      <c r="AN526" s="125"/>
      <c r="AO526" s="125"/>
      <c r="AP526" s="125"/>
      <c r="AQ526" s="125"/>
      <c r="AR526" s="125"/>
      <c r="AS526" s="125"/>
      <c r="AT526" s="125"/>
      <c r="AU526" s="125"/>
      <c r="AV526" s="125"/>
      <c r="AW526" s="125"/>
      <c r="AX526" s="125"/>
      <c r="AY526" s="125"/>
      <c r="AZ526" s="125"/>
      <c r="BA526" s="125"/>
      <c r="BB526" s="125"/>
      <c r="BC526" s="125"/>
      <c r="BD526" s="125"/>
      <c r="BE526" s="125"/>
      <c r="BF526" s="125"/>
    </row>
    <row r="527" spans="1:58" ht="15.75" customHeight="1">
      <c r="A527" s="125"/>
      <c r="B527" s="125"/>
      <c r="C527" s="125"/>
      <c r="D527" s="125"/>
      <c r="E527" s="125"/>
      <c r="F527" s="125"/>
      <c r="G527" s="125"/>
      <c r="H527" s="125"/>
      <c r="I527" s="125"/>
      <c r="J527" s="125"/>
      <c r="K527" s="125"/>
      <c r="L527" s="125"/>
      <c r="M527" s="125"/>
      <c r="N527" s="125"/>
      <c r="O527" s="125"/>
      <c r="P527" s="125"/>
      <c r="Q527" s="125"/>
      <c r="R527" s="125"/>
      <c r="S527" s="125"/>
      <c r="T527" s="125"/>
      <c r="U527" s="125"/>
      <c r="V527" s="125"/>
      <c r="W527" s="125"/>
      <c r="X527" s="125"/>
      <c r="Y527" s="125"/>
      <c r="Z527" s="125"/>
      <c r="AA527" s="125"/>
      <c r="AB527" s="125"/>
      <c r="AC527" s="125"/>
      <c r="AD527" s="125"/>
      <c r="AE527" s="125"/>
      <c r="AF527" s="125"/>
      <c r="AG527" s="125"/>
      <c r="AH527" s="125"/>
      <c r="AI527" s="125"/>
      <c r="AJ527" s="125"/>
      <c r="AK527" s="125"/>
      <c r="AL527" s="125"/>
      <c r="AM527" s="125"/>
      <c r="AN527" s="125"/>
      <c r="AO527" s="125"/>
      <c r="AP527" s="125"/>
      <c r="AQ527" s="125"/>
      <c r="AR527" s="125"/>
      <c r="AS527" s="125"/>
      <c r="AT527" s="125"/>
      <c r="AU527" s="125"/>
      <c r="AV527" s="125"/>
      <c r="AW527" s="125"/>
      <c r="AX527" s="125"/>
      <c r="AY527" s="125"/>
      <c r="AZ527" s="125"/>
      <c r="BA527" s="125"/>
      <c r="BB527" s="125"/>
      <c r="BC527" s="125"/>
      <c r="BD527" s="125"/>
      <c r="BE527" s="125"/>
      <c r="BF527" s="125"/>
    </row>
    <row r="528" spans="1:58" ht="15.75" customHeight="1">
      <c r="A528" s="125"/>
      <c r="B528" s="125"/>
      <c r="C528" s="125"/>
      <c r="D528" s="125"/>
      <c r="E528" s="125"/>
      <c r="F528" s="125"/>
      <c r="G528" s="125"/>
      <c r="H528" s="125"/>
      <c r="I528" s="125"/>
      <c r="J528" s="125"/>
      <c r="K528" s="125"/>
      <c r="L528" s="125"/>
      <c r="M528" s="125"/>
      <c r="N528" s="125"/>
      <c r="O528" s="125"/>
      <c r="P528" s="125"/>
      <c r="Q528" s="125"/>
      <c r="R528" s="125"/>
      <c r="S528" s="125"/>
      <c r="T528" s="125"/>
      <c r="U528" s="125"/>
      <c r="V528" s="125"/>
      <c r="W528" s="125"/>
      <c r="X528" s="125"/>
      <c r="Y528" s="125"/>
      <c r="Z528" s="125"/>
      <c r="AA528" s="125"/>
      <c r="AB528" s="125"/>
      <c r="AC528" s="125"/>
      <c r="AD528" s="125"/>
      <c r="AE528" s="125"/>
      <c r="AF528" s="125"/>
      <c r="AG528" s="125"/>
      <c r="AH528" s="125"/>
      <c r="AI528" s="125"/>
      <c r="AJ528" s="125"/>
      <c r="AK528" s="125"/>
      <c r="AL528" s="125"/>
      <c r="AM528" s="125"/>
      <c r="AN528" s="125"/>
      <c r="AO528" s="125"/>
      <c r="AP528" s="125"/>
      <c r="AQ528" s="125"/>
      <c r="AR528" s="125"/>
      <c r="AS528" s="125"/>
      <c r="AT528" s="125"/>
      <c r="AU528" s="125"/>
      <c r="AV528" s="125"/>
      <c r="AW528" s="125"/>
      <c r="AX528" s="125"/>
      <c r="AY528" s="125"/>
      <c r="AZ528" s="125"/>
      <c r="BA528" s="125"/>
      <c r="BB528" s="125"/>
      <c r="BC528" s="125"/>
      <c r="BD528" s="125"/>
      <c r="BE528" s="125"/>
      <c r="BF528" s="125"/>
    </row>
    <row r="529" spans="1:58" ht="15.75" customHeight="1">
      <c r="A529" s="125"/>
      <c r="B529" s="125"/>
      <c r="C529" s="125"/>
      <c r="D529" s="125"/>
      <c r="E529" s="125"/>
      <c r="F529" s="125"/>
      <c r="G529" s="125"/>
      <c r="H529" s="125"/>
      <c r="I529" s="125"/>
      <c r="J529" s="125"/>
      <c r="K529" s="125"/>
      <c r="L529" s="125"/>
      <c r="M529" s="125"/>
      <c r="N529" s="125"/>
      <c r="O529" s="125"/>
      <c r="P529" s="125"/>
      <c r="Q529" s="125"/>
      <c r="R529" s="125"/>
      <c r="S529" s="125"/>
      <c r="T529" s="125"/>
      <c r="U529" s="125"/>
      <c r="V529" s="125"/>
      <c r="W529" s="125"/>
      <c r="X529" s="125"/>
      <c r="Y529" s="125"/>
      <c r="Z529" s="125"/>
      <c r="AA529" s="125"/>
      <c r="AB529" s="125"/>
      <c r="AC529" s="125"/>
      <c r="AD529" s="125"/>
      <c r="AE529" s="125"/>
      <c r="AF529" s="125"/>
      <c r="AG529" s="125"/>
      <c r="AH529" s="125"/>
      <c r="AI529" s="125"/>
      <c r="AJ529" s="125"/>
      <c r="AK529" s="125"/>
      <c r="AL529" s="125"/>
      <c r="AM529" s="125"/>
      <c r="AN529" s="125"/>
      <c r="AO529" s="125"/>
      <c r="AP529" s="125"/>
      <c r="AQ529" s="125"/>
      <c r="AR529" s="125"/>
      <c r="AS529" s="125"/>
      <c r="AT529" s="125"/>
      <c r="AU529" s="125"/>
      <c r="AV529" s="125"/>
      <c r="AW529" s="125"/>
      <c r="AX529" s="125"/>
      <c r="AY529" s="125"/>
      <c r="AZ529" s="125"/>
      <c r="BA529" s="125"/>
      <c r="BB529" s="125"/>
      <c r="BC529" s="125"/>
      <c r="BD529" s="125"/>
      <c r="BE529" s="125"/>
      <c r="BF529" s="125"/>
    </row>
    <row r="530" spans="1:58" ht="15.75" customHeight="1">
      <c r="A530" s="125"/>
      <c r="B530" s="125"/>
      <c r="C530" s="125"/>
      <c r="D530" s="125"/>
      <c r="E530" s="125"/>
      <c r="F530" s="125"/>
      <c r="G530" s="125"/>
      <c r="H530" s="125"/>
      <c r="I530" s="125"/>
      <c r="J530" s="125"/>
      <c r="K530" s="125"/>
      <c r="L530" s="125"/>
      <c r="M530" s="125"/>
      <c r="N530" s="125"/>
      <c r="O530" s="125"/>
      <c r="P530" s="125"/>
      <c r="Q530" s="125"/>
      <c r="R530" s="125"/>
      <c r="S530" s="125"/>
      <c r="T530" s="125"/>
      <c r="U530" s="125"/>
      <c r="V530" s="125"/>
      <c r="W530" s="125"/>
      <c r="X530" s="125"/>
      <c r="Y530" s="125"/>
      <c r="Z530" s="125"/>
      <c r="AA530" s="125"/>
      <c r="AB530" s="125"/>
      <c r="AC530" s="125"/>
      <c r="AD530" s="125"/>
      <c r="AE530" s="125"/>
      <c r="AF530" s="125"/>
      <c r="AG530" s="125"/>
      <c r="AH530" s="125"/>
      <c r="AI530" s="125"/>
      <c r="AJ530" s="125"/>
      <c r="AK530" s="125"/>
      <c r="AL530" s="125"/>
      <c r="AM530" s="125"/>
      <c r="AN530" s="125"/>
      <c r="AO530" s="125"/>
      <c r="AP530" s="125"/>
      <c r="AQ530" s="125"/>
      <c r="AR530" s="125"/>
      <c r="AS530" s="125"/>
      <c r="AT530" s="125"/>
      <c r="AU530" s="125"/>
      <c r="AV530" s="125"/>
      <c r="AW530" s="125"/>
      <c r="AX530" s="125"/>
      <c r="AY530" s="125"/>
      <c r="AZ530" s="125"/>
      <c r="BA530" s="125"/>
      <c r="BB530" s="125"/>
      <c r="BC530" s="125"/>
      <c r="BD530" s="125"/>
      <c r="BE530" s="125"/>
      <c r="BF530" s="125"/>
    </row>
    <row r="531" spans="1:58" ht="15.75" customHeight="1">
      <c r="A531" s="125"/>
      <c r="B531" s="125"/>
      <c r="C531" s="125"/>
      <c r="D531" s="125"/>
      <c r="E531" s="125"/>
      <c r="F531" s="125"/>
      <c r="G531" s="125"/>
      <c r="H531" s="125"/>
      <c r="I531" s="125"/>
      <c r="J531" s="125"/>
      <c r="K531" s="125"/>
      <c r="L531" s="125"/>
      <c r="M531" s="125"/>
      <c r="N531" s="125"/>
      <c r="O531" s="125"/>
      <c r="P531" s="125"/>
      <c r="Q531" s="125"/>
      <c r="R531" s="125"/>
      <c r="S531" s="125"/>
      <c r="T531" s="125"/>
      <c r="U531" s="125"/>
      <c r="V531" s="125"/>
      <c r="W531" s="125"/>
      <c r="X531" s="125"/>
      <c r="Y531" s="125"/>
      <c r="Z531" s="125"/>
      <c r="AA531" s="125"/>
      <c r="AB531" s="125"/>
      <c r="AC531" s="125"/>
      <c r="AD531" s="125"/>
      <c r="AE531" s="125"/>
      <c r="AF531" s="125"/>
      <c r="AG531" s="125"/>
      <c r="AH531" s="125"/>
      <c r="AI531" s="125"/>
      <c r="AJ531" s="125"/>
      <c r="AK531" s="125"/>
      <c r="AL531" s="125"/>
      <c r="AM531" s="125"/>
      <c r="AN531" s="125"/>
      <c r="AO531" s="125"/>
      <c r="AP531" s="125"/>
      <c r="AQ531" s="125"/>
      <c r="AR531" s="125"/>
      <c r="AS531" s="125"/>
      <c r="AT531" s="125"/>
      <c r="AU531" s="125"/>
      <c r="AV531" s="125"/>
      <c r="AW531" s="125"/>
      <c r="AX531" s="125"/>
      <c r="AY531" s="125"/>
      <c r="AZ531" s="125"/>
      <c r="BA531" s="125"/>
      <c r="BB531" s="125"/>
      <c r="BC531" s="125"/>
      <c r="BD531" s="125"/>
      <c r="BE531" s="125"/>
      <c r="BF531" s="125"/>
    </row>
    <row r="532" spans="1:58" ht="15.75" customHeight="1">
      <c r="A532" s="125"/>
      <c r="B532" s="125"/>
      <c r="C532" s="125"/>
      <c r="D532" s="125"/>
      <c r="E532" s="125"/>
      <c r="F532" s="125"/>
      <c r="G532" s="125"/>
      <c r="H532" s="125"/>
      <c r="I532" s="125"/>
      <c r="J532" s="125"/>
      <c r="K532" s="125"/>
      <c r="L532" s="125"/>
      <c r="M532" s="125"/>
      <c r="N532" s="125"/>
      <c r="O532" s="125"/>
      <c r="P532" s="125"/>
      <c r="Q532" s="125"/>
      <c r="R532" s="125"/>
      <c r="S532" s="125"/>
      <c r="T532" s="125"/>
      <c r="U532" s="125"/>
      <c r="V532" s="125"/>
      <c r="W532" s="125"/>
      <c r="X532" s="125"/>
      <c r="Y532" s="125"/>
      <c r="Z532" s="125"/>
      <c r="AA532" s="125"/>
      <c r="AB532" s="125"/>
      <c r="AC532" s="125"/>
      <c r="AD532" s="125"/>
      <c r="AE532" s="125"/>
      <c r="AF532" s="125"/>
      <c r="AG532" s="125"/>
      <c r="AH532" s="125"/>
      <c r="AI532" s="125"/>
      <c r="AJ532" s="125"/>
      <c r="AK532" s="125"/>
      <c r="AL532" s="125"/>
      <c r="AM532" s="125"/>
      <c r="AN532" s="125"/>
      <c r="AO532" s="125"/>
      <c r="AP532" s="125"/>
      <c r="AQ532" s="125"/>
      <c r="AR532" s="125"/>
      <c r="AS532" s="125"/>
      <c r="AT532" s="125"/>
      <c r="AU532" s="125"/>
      <c r="AV532" s="125"/>
      <c r="AW532" s="125"/>
      <c r="AX532" s="125"/>
      <c r="AY532" s="125"/>
      <c r="AZ532" s="125"/>
      <c r="BA532" s="125"/>
      <c r="BB532" s="125"/>
      <c r="BC532" s="125"/>
      <c r="BD532" s="125"/>
      <c r="BE532" s="125"/>
      <c r="BF532" s="125"/>
    </row>
    <row r="533" spans="1:58" ht="15.75" customHeight="1">
      <c r="A533" s="125"/>
      <c r="B533" s="125"/>
      <c r="C533" s="125"/>
      <c r="D533" s="125"/>
      <c r="E533" s="125"/>
      <c r="F533" s="125"/>
      <c r="G533" s="125"/>
      <c r="H533" s="125"/>
      <c r="I533" s="125"/>
      <c r="J533" s="125"/>
      <c r="K533" s="125"/>
      <c r="L533" s="125"/>
      <c r="M533" s="125"/>
      <c r="N533" s="125"/>
      <c r="O533" s="125"/>
      <c r="P533" s="125"/>
      <c r="Q533" s="125"/>
      <c r="R533" s="125"/>
      <c r="S533" s="125"/>
      <c r="T533" s="125"/>
      <c r="U533" s="125"/>
      <c r="V533" s="125"/>
      <c r="W533" s="125"/>
      <c r="X533" s="125"/>
      <c r="Y533" s="125"/>
      <c r="Z533" s="125"/>
      <c r="AA533" s="125"/>
      <c r="AB533" s="125"/>
      <c r="AC533" s="125"/>
      <c r="AD533" s="125"/>
      <c r="AE533" s="125"/>
      <c r="AF533" s="125"/>
      <c r="AG533" s="125"/>
      <c r="AH533" s="125"/>
      <c r="AI533" s="125"/>
      <c r="AJ533" s="125"/>
      <c r="AK533" s="125"/>
      <c r="AL533" s="125"/>
      <c r="AM533" s="125"/>
      <c r="AN533" s="125"/>
      <c r="AO533" s="125"/>
      <c r="AP533" s="125"/>
      <c r="AQ533" s="125"/>
      <c r="AR533" s="125"/>
      <c r="AS533" s="125"/>
      <c r="AT533" s="125"/>
      <c r="AU533" s="125"/>
      <c r="AV533" s="125"/>
      <c r="AW533" s="125"/>
      <c r="AX533" s="125"/>
      <c r="AY533" s="125"/>
      <c r="AZ533" s="125"/>
      <c r="BA533" s="125"/>
      <c r="BB533" s="125"/>
      <c r="BC533" s="125"/>
      <c r="BD533" s="125"/>
      <c r="BE533" s="125"/>
      <c r="BF533" s="125"/>
    </row>
    <row r="534" spans="1:58" ht="15.75" customHeight="1">
      <c r="A534" s="125"/>
      <c r="B534" s="125"/>
      <c r="C534" s="125"/>
      <c r="D534" s="125"/>
      <c r="E534" s="125"/>
      <c r="F534" s="125"/>
      <c r="G534" s="125"/>
      <c r="H534" s="125"/>
      <c r="I534" s="125"/>
      <c r="J534" s="125"/>
      <c r="K534" s="125"/>
      <c r="L534" s="125"/>
      <c r="M534" s="125"/>
      <c r="N534" s="125"/>
      <c r="O534" s="125"/>
      <c r="P534" s="125"/>
      <c r="Q534" s="125"/>
      <c r="R534" s="125"/>
      <c r="S534" s="125"/>
      <c r="T534" s="125"/>
      <c r="U534" s="125"/>
      <c r="V534" s="125"/>
      <c r="W534" s="125"/>
      <c r="X534" s="125"/>
      <c r="Y534" s="125"/>
      <c r="Z534" s="125"/>
      <c r="AA534" s="125"/>
      <c r="AB534" s="125"/>
      <c r="AC534" s="125"/>
      <c r="AD534" s="125"/>
      <c r="AE534" s="125"/>
      <c r="AF534" s="125"/>
      <c r="AG534" s="125"/>
      <c r="AH534" s="125"/>
      <c r="AI534" s="125"/>
      <c r="AJ534" s="125"/>
      <c r="AK534" s="125"/>
      <c r="AL534" s="125"/>
      <c r="AM534" s="125"/>
      <c r="AN534" s="125"/>
      <c r="AO534" s="125"/>
      <c r="AP534" s="125"/>
      <c r="AQ534" s="125"/>
      <c r="AR534" s="125"/>
      <c r="AS534" s="125"/>
      <c r="AT534" s="125"/>
      <c r="AU534" s="125"/>
      <c r="AV534" s="125"/>
      <c r="AW534" s="125"/>
      <c r="AX534" s="125"/>
      <c r="AY534" s="125"/>
      <c r="AZ534" s="125"/>
      <c r="BA534" s="125"/>
      <c r="BB534" s="125"/>
      <c r="BC534" s="125"/>
      <c r="BD534" s="125"/>
      <c r="BE534" s="125"/>
      <c r="BF534" s="125"/>
    </row>
    <row r="535" spans="1:58" ht="15.75" customHeight="1">
      <c r="A535" s="125"/>
      <c r="B535" s="125"/>
      <c r="C535" s="125"/>
      <c r="D535" s="125"/>
      <c r="E535" s="125"/>
      <c r="F535" s="125"/>
      <c r="G535" s="125"/>
      <c r="H535" s="125"/>
      <c r="I535" s="125"/>
      <c r="J535" s="125"/>
      <c r="K535" s="125"/>
      <c r="L535" s="125"/>
      <c r="M535" s="125"/>
      <c r="N535" s="125"/>
      <c r="O535" s="125"/>
      <c r="P535" s="125"/>
      <c r="Q535" s="125"/>
      <c r="R535" s="125"/>
      <c r="S535" s="125"/>
      <c r="T535" s="125"/>
      <c r="U535" s="125"/>
      <c r="V535" s="125"/>
      <c r="W535" s="125"/>
      <c r="X535" s="125"/>
      <c r="Y535" s="125"/>
      <c r="Z535" s="125"/>
      <c r="AA535" s="125"/>
      <c r="AB535" s="125"/>
      <c r="AC535" s="125"/>
      <c r="AD535" s="125"/>
      <c r="AE535" s="125"/>
      <c r="AF535" s="125"/>
      <c r="AG535" s="125"/>
      <c r="AH535" s="125"/>
      <c r="AI535" s="125"/>
      <c r="AJ535" s="125"/>
      <c r="AK535" s="125"/>
      <c r="AL535" s="125"/>
      <c r="AM535" s="125"/>
      <c r="AN535" s="125"/>
      <c r="AO535" s="125"/>
      <c r="AP535" s="125"/>
      <c r="AQ535" s="125"/>
      <c r="AR535" s="125"/>
      <c r="AS535" s="125"/>
      <c r="AT535" s="125"/>
      <c r="AU535" s="125"/>
      <c r="AV535" s="125"/>
      <c r="AW535" s="125"/>
      <c r="AX535" s="125"/>
      <c r="AY535" s="125"/>
      <c r="AZ535" s="125"/>
      <c r="BA535" s="125"/>
      <c r="BB535" s="125"/>
      <c r="BC535" s="125"/>
      <c r="BD535" s="125"/>
      <c r="BE535" s="125"/>
      <c r="BF535" s="125"/>
    </row>
    <row r="536" spans="1:58" ht="15.75" customHeight="1">
      <c r="A536" s="125"/>
      <c r="B536" s="125"/>
      <c r="C536" s="125"/>
      <c r="D536" s="125"/>
      <c r="E536" s="125"/>
      <c r="F536" s="125"/>
      <c r="G536" s="125"/>
      <c r="H536" s="125"/>
      <c r="I536" s="125"/>
      <c r="J536" s="125"/>
      <c r="K536" s="125"/>
      <c r="L536" s="125"/>
      <c r="M536" s="125"/>
      <c r="N536" s="125"/>
      <c r="O536" s="125"/>
      <c r="P536" s="125"/>
      <c r="Q536" s="125"/>
      <c r="R536" s="125"/>
      <c r="S536" s="125"/>
      <c r="T536" s="125"/>
      <c r="U536" s="125"/>
      <c r="V536" s="125"/>
      <c r="W536" s="125"/>
      <c r="X536" s="125"/>
      <c r="Y536" s="125"/>
      <c r="Z536" s="125"/>
      <c r="AA536" s="125"/>
      <c r="AB536" s="125"/>
      <c r="AC536" s="125"/>
      <c r="AD536" s="125"/>
      <c r="AE536" s="125"/>
      <c r="AF536" s="125"/>
      <c r="AG536" s="125"/>
      <c r="AH536" s="125"/>
      <c r="AI536" s="125"/>
      <c r="AJ536" s="125"/>
      <c r="AK536" s="125"/>
      <c r="AL536" s="125"/>
      <c r="AM536" s="125"/>
      <c r="AN536" s="125"/>
      <c r="AO536" s="125"/>
      <c r="AP536" s="125"/>
      <c r="AQ536" s="125"/>
      <c r="AR536" s="125"/>
      <c r="AS536" s="125"/>
      <c r="AT536" s="125"/>
      <c r="AU536" s="125"/>
      <c r="AV536" s="125"/>
      <c r="AW536" s="125"/>
      <c r="AX536" s="125"/>
      <c r="AY536" s="125"/>
      <c r="AZ536" s="125"/>
      <c r="BA536" s="125"/>
      <c r="BB536" s="125"/>
      <c r="BC536" s="125"/>
      <c r="BD536" s="125"/>
      <c r="BE536" s="125"/>
      <c r="BF536" s="125"/>
    </row>
    <row r="537" spans="1:58" ht="15.75" customHeight="1">
      <c r="A537" s="125"/>
      <c r="B537" s="125"/>
      <c r="C537" s="125"/>
      <c r="D537" s="125"/>
      <c r="E537" s="125"/>
      <c r="F537" s="125"/>
      <c r="G537" s="125"/>
      <c r="H537" s="125"/>
      <c r="I537" s="125"/>
      <c r="J537" s="125"/>
      <c r="K537" s="125"/>
      <c r="L537" s="125"/>
      <c r="M537" s="125"/>
      <c r="N537" s="125"/>
      <c r="O537" s="125"/>
      <c r="P537" s="125"/>
      <c r="Q537" s="125"/>
      <c r="R537" s="125"/>
      <c r="S537" s="125"/>
      <c r="T537" s="125"/>
      <c r="U537" s="125"/>
      <c r="V537" s="125"/>
      <c r="W537" s="125"/>
      <c r="X537" s="125"/>
      <c r="Y537" s="125"/>
      <c r="Z537" s="125"/>
      <c r="AA537" s="125"/>
      <c r="AB537" s="125"/>
      <c r="AC537" s="125"/>
      <c r="AD537" s="125"/>
      <c r="AE537" s="125"/>
      <c r="AF537" s="125"/>
      <c r="AG537" s="125"/>
      <c r="AH537" s="125"/>
      <c r="AI537" s="125"/>
      <c r="AJ537" s="125"/>
      <c r="AK537" s="125"/>
      <c r="AL537" s="125"/>
      <c r="AM537" s="125"/>
      <c r="AN537" s="125"/>
      <c r="AO537" s="125"/>
      <c r="AP537" s="125"/>
      <c r="AQ537" s="125"/>
      <c r="AR537" s="125"/>
      <c r="AS537" s="125"/>
      <c r="AT537" s="125"/>
      <c r="AU537" s="125"/>
      <c r="AV537" s="125"/>
      <c r="AW537" s="125"/>
      <c r="AX537" s="125"/>
      <c r="AY537" s="125"/>
      <c r="AZ537" s="125"/>
      <c r="BA537" s="125"/>
      <c r="BB537" s="125"/>
      <c r="BC537" s="125"/>
      <c r="BD537" s="125"/>
      <c r="BE537" s="125"/>
      <c r="BF537" s="125"/>
    </row>
    <row r="538" spans="1:58" ht="15.75" customHeight="1">
      <c r="A538" s="125"/>
      <c r="B538" s="125"/>
      <c r="C538" s="125"/>
      <c r="D538" s="125"/>
      <c r="E538" s="125"/>
      <c r="F538" s="125"/>
      <c r="G538" s="125"/>
      <c r="H538" s="125"/>
      <c r="I538" s="125"/>
      <c r="J538" s="125"/>
      <c r="K538" s="125"/>
      <c r="L538" s="125"/>
      <c r="M538" s="125"/>
      <c r="N538" s="125"/>
      <c r="O538" s="125"/>
      <c r="P538" s="125"/>
      <c r="Q538" s="125"/>
      <c r="R538" s="125"/>
      <c r="S538" s="125"/>
      <c r="T538" s="125"/>
      <c r="U538" s="125"/>
      <c r="V538" s="125"/>
      <c r="W538" s="125"/>
      <c r="X538" s="125"/>
      <c r="Y538" s="125"/>
      <c r="Z538" s="125"/>
      <c r="AA538" s="125"/>
      <c r="AB538" s="125"/>
      <c r="AC538" s="125"/>
      <c r="AD538" s="125"/>
      <c r="AE538" s="125"/>
      <c r="AF538" s="125"/>
      <c r="AG538" s="125"/>
      <c r="AH538" s="125"/>
      <c r="AI538" s="125"/>
      <c r="AJ538" s="125"/>
      <c r="AK538" s="125"/>
      <c r="AL538" s="125"/>
      <c r="AM538" s="125"/>
      <c r="AN538" s="125"/>
      <c r="AO538" s="125"/>
      <c r="AP538" s="125"/>
      <c r="AQ538" s="125"/>
      <c r="AR538" s="125"/>
      <c r="AS538" s="125"/>
      <c r="AT538" s="125"/>
      <c r="AU538" s="125"/>
      <c r="AV538" s="125"/>
      <c r="AW538" s="125"/>
      <c r="AX538" s="125"/>
      <c r="AY538" s="125"/>
      <c r="AZ538" s="125"/>
      <c r="BA538" s="125"/>
      <c r="BB538" s="125"/>
      <c r="BC538" s="125"/>
      <c r="BD538" s="125"/>
      <c r="BE538" s="125"/>
      <c r="BF538" s="125"/>
    </row>
    <row r="539" spans="1:58" ht="15.75" customHeight="1">
      <c r="A539" s="125"/>
      <c r="B539" s="125"/>
      <c r="C539" s="125"/>
      <c r="D539" s="125"/>
      <c r="E539" s="125"/>
      <c r="F539" s="125"/>
      <c r="G539" s="125"/>
      <c r="H539" s="125"/>
      <c r="I539" s="125"/>
      <c r="J539" s="125"/>
      <c r="K539" s="125"/>
      <c r="L539" s="125"/>
      <c r="M539" s="125"/>
      <c r="N539" s="125"/>
      <c r="O539" s="125"/>
      <c r="P539" s="125"/>
      <c r="Q539" s="125"/>
      <c r="R539" s="125"/>
      <c r="S539" s="125"/>
      <c r="T539" s="125"/>
      <c r="U539" s="125"/>
      <c r="V539" s="125"/>
      <c r="W539" s="125"/>
      <c r="X539" s="125"/>
      <c r="Y539" s="125"/>
      <c r="Z539" s="125"/>
      <c r="AA539" s="125"/>
      <c r="AB539" s="125"/>
      <c r="AC539" s="125"/>
      <c r="AD539" s="125"/>
      <c r="AE539" s="125"/>
      <c r="AF539" s="125"/>
      <c r="AG539" s="125"/>
      <c r="AH539" s="125"/>
      <c r="AI539" s="125"/>
      <c r="AJ539" s="125"/>
      <c r="AK539" s="125"/>
      <c r="AL539" s="125"/>
      <c r="AM539" s="125"/>
      <c r="AN539" s="125"/>
      <c r="AO539" s="125"/>
      <c r="AP539" s="125"/>
      <c r="AQ539" s="125"/>
      <c r="AR539" s="125"/>
      <c r="AS539" s="125"/>
      <c r="AT539" s="125"/>
      <c r="AU539" s="125"/>
      <c r="AV539" s="125"/>
      <c r="AW539" s="125"/>
      <c r="AX539" s="125"/>
      <c r="AY539" s="125"/>
      <c r="AZ539" s="125"/>
      <c r="BA539" s="125"/>
      <c r="BB539" s="125"/>
      <c r="BC539" s="125"/>
      <c r="BD539" s="125"/>
      <c r="BE539" s="125"/>
      <c r="BF539" s="125"/>
    </row>
    <row r="540" spans="1:58" ht="15.75" customHeight="1">
      <c r="A540" s="125"/>
      <c r="B540" s="125"/>
      <c r="C540" s="125"/>
      <c r="D540" s="125"/>
      <c r="E540" s="125"/>
      <c r="F540" s="125"/>
      <c r="G540" s="125"/>
      <c r="H540" s="125"/>
      <c r="I540" s="125"/>
      <c r="J540" s="125"/>
      <c r="K540" s="125"/>
      <c r="L540" s="125"/>
      <c r="M540" s="125"/>
      <c r="N540" s="125"/>
      <c r="O540" s="125"/>
      <c r="P540" s="125"/>
      <c r="Q540" s="125"/>
      <c r="R540" s="125"/>
      <c r="S540" s="125"/>
      <c r="T540" s="125"/>
      <c r="U540" s="125"/>
      <c r="V540" s="125"/>
      <c r="W540" s="125"/>
      <c r="X540" s="125"/>
      <c r="Y540" s="125"/>
      <c r="Z540" s="125"/>
      <c r="AA540" s="125"/>
      <c r="AB540" s="125"/>
      <c r="AC540" s="125"/>
      <c r="AD540" s="125"/>
      <c r="AE540" s="125"/>
      <c r="AF540" s="125"/>
      <c r="AG540" s="125"/>
      <c r="AH540" s="125"/>
      <c r="AI540" s="125"/>
      <c r="AJ540" s="125"/>
      <c r="AK540" s="125"/>
      <c r="AL540" s="125"/>
      <c r="AM540" s="125"/>
      <c r="AN540" s="125"/>
      <c r="AO540" s="125"/>
      <c r="AP540" s="125"/>
      <c r="AQ540" s="125"/>
      <c r="AR540" s="125"/>
      <c r="AS540" s="125"/>
      <c r="AT540" s="125"/>
      <c r="AU540" s="125"/>
      <c r="AV540" s="125"/>
      <c r="AW540" s="125"/>
      <c r="AX540" s="125"/>
      <c r="AY540" s="125"/>
      <c r="AZ540" s="125"/>
      <c r="BA540" s="125"/>
      <c r="BB540" s="125"/>
      <c r="BC540" s="125"/>
      <c r="BD540" s="125"/>
      <c r="BE540" s="125"/>
      <c r="BF540" s="125"/>
    </row>
    <row r="541" spans="1:58" ht="15.75" customHeight="1">
      <c r="A541" s="125"/>
      <c r="B541" s="125"/>
      <c r="C541" s="125"/>
      <c r="D541" s="125"/>
      <c r="E541" s="125"/>
      <c r="F541" s="125"/>
      <c r="G541" s="125"/>
      <c r="H541" s="125"/>
      <c r="I541" s="125"/>
      <c r="J541" s="125"/>
      <c r="K541" s="125"/>
      <c r="L541" s="125"/>
      <c r="M541" s="125"/>
      <c r="N541" s="125"/>
      <c r="O541" s="125"/>
      <c r="P541" s="125"/>
      <c r="Q541" s="125"/>
      <c r="R541" s="125"/>
      <c r="S541" s="125"/>
      <c r="T541" s="125"/>
      <c r="U541" s="125"/>
      <c r="V541" s="125"/>
      <c r="W541" s="125"/>
      <c r="X541" s="125"/>
      <c r="Y541" s="125"/>
      <c r="Z541" s="125"/>
      <c r="AA541" s="125"/>
      <c r="AB541" s="125"/>
      <c r="AC541" s="125"/>
      <c r="AD541" s="125"/>
      <c r="AE541" s="125"/>
      <c r="AF541" s="125"/>
      <c r="AG541" s="125"/>
      <c r="AH541" s="125"/>
      <c r="AI541" s="125"/>
      <c r="AJ541" s="125"/>
      <c r="AK541" s="125"/>
      <c r="AL541" s="125"/>
      <c r="AM541" s="125"/>
      <c r="AN541" s="125"/>
      <c r="AO541" s="125"/>
      <c r="AP541" s="125"/>
      <c r="AQ541" s="125"/>
      <c r="AR541" s="125"/>
      <c r="AS541" s="125"/>
      <c r="AT541" s="125"/>
      <c r="AU541" s="125"/>
      <c r="AV541" s="125"/>
      <c r="AW541" s="125"/>
      <c r="AX541" s="125"/>
      <c r="AY541" s="125"/>
      <c r="AZ541" s="125"/>
      <c r="BA541" s="125"/>
      <c r="BB541" s="125"/>
      <c r="BC541" s="125"/>
      <c r="BD541" s="125"/>
      <c r="BE541" s="125"/>
      <c r="BF541" s="125"/>
    </row>
    <row r="542" spans="1:58" ht="15.75" customHeight="1">
      <c r="A542" s="125"/>
      <c r="B542" s="125"/>
      <c r="C542" s="125"/>
      <c r="D542" s="125"/>
      <c r="E542" s="125"/>
      <c r="F542" s="125"/>
      <c r="G542" s="125"/>
      <c r="H542" s="125"/>
      <c r="I542" s="125"/>
      <c r="J542" s="125"/>
      <c r="K542" s="125"/>
      <c r="L542" s="125"/>
      <c r="M542" s="125"/>
      <c r="N542" s="125"/>
      <c r="O542" s="125"/>
      <c r="P542" s="125"/>
      <c r="Q542" s="125"/>
      <c r="R542" s="125"/>
      <c r="S542" s="125"/>
      <c r="T542" s="125"/>
      <c r="U542" s="125"/>
      <c r="V542" s="125"/>
      <c r="W542" s="125"/>
      <c r="X542" s="125"/>
      <c r="Y542" s="125"/>
      <c r="Z542" s="125"/>
      <c r="AA542" s="125"/>
      <c r="AB542" s="125"/>
      <c r="AC542" s="125"/>
      <c r="AD542" s="125"/>
      <c r="AE542" s="125"/>
      <c r="AF542" s="125"/>
      <c r="AG542" s="125"/>
      <c r="AH542" s="125"/>
      <c r="AI542" s="125"/>
      <c r="AJ542" s="125"/>
      <c r="AK542" s="125"/>
      <c r="AL542" s="125"/>
      <c r="AM542" s="125"/>
      <c r="AN542" s="125"/>
      <c r="AO542" s="125"/>
      <c r="AP542" s="125"/>
      <c r="AQ542" s="125"/>
      <c r="AR542" s="125"/>
      <c r="AS542" s="125"/>
      <c r="AT542" s="125"/>
      <c r="AU542" s="125"/>
      <c r="AV542" s="125"/>
      <c r="AW542" s="125"/>
      <c r="AX542" s="125"/>
      <c r="AY542" s="125"/>
      <c r="AZ542" s="125"/>
      <c r="BA542" s="125"/>
      <c r="BB542" s="125"/>
      <c r="BC542" s="125"/>
      <c r="BD542" s="125"/>
      <c r="BE542" s="125"/>
      <c r="BF542" s="125"/>
    </row>
    <row r="543" spans="1:58" ht="15.75" customHeight="1">
      <c r="A543" s="125"/>
      <c r="B543" s="125"/>
      <c r="C543" s="125"/>
      <c r="D543" s="125"/>
      <c r="E543" s="125"/>
      <c r="F543" s="125"/>
      <c r="G543" s="125"/>
      <c r="H543" s="125"/>
      <c r="I543" s="125"/>
      <c r="J543" s="125"/>
      <c r="K543" s="125"/>
      <c r="L543" s="125"/>
      <c r="M543" s="125"/>
      <c r="N543" s="125"/>
      <c r="O543" s="125"/>
      <c r="P543" s="125"/>
      <c r="Q543" s="125"/>
      <c r="R543" s="125"/>
      <c r="S543" s="125"/>
      <c r="T543" s="125"/>
      <c r="U543" s="125"/>
      <c r="V543" s="125"/>
      <c r="W543" s="125"/>
      <c r="X543" s="125"/>
      <c r="Y543" s="125"/>
      <c r="Z543" s="125"/>
      <c r="AA543" s="125"/>
      <c r="AB543" s="125"/>
      <c r="AC543" s="125"/>
      <c r="AD543" s="125"/>
      <c r="AE543" s="125"/>
      <c r="AF543" s="125"/>
      <c r="AG543" s="125"/>
      <c r="AH543" s="125"/>
      <c r="AI543" s="125"/>
      <c r="AJ543" s="125"/>
      <c r="AK543" s="125"/>
      <c r="AL543" s="125"/>
      <c r="AM543" s="125"/>
      <c r="AN543" s="125"/>
      <c r="AO543" s="125"/>
      <c r="AP543" s="125"/>
      <c r="AQ543" s="125"/>
      <c r="AR543" s="125"/>
      <c r="AS543" s="125"/>
      <c r="AT543" s="125"/>
      <c r="AU543" s="125"/>
      <c r="AV543" s="125"/>
      <c r="AW543" s="125"/>
      <c r="AX543" s="125"/>
      <c r="AY543" s="125"/>
      <c r="AZ543" s="125"/>
      <c r="BA543" s="125"/>
      <c r="BB543" s="125"/>
      <c r="BC543" s="125"/>
      <c r="BD543" s="125"/>
      <c r="BE543" s="125"/>
      <c r="BF543" s="125"/>
    </row>
    <row r="544" spans="1:58" ht="15.75" customHeight="1">
      <c r="A544" s="125"/>
      <c r="B544" s="125"/>
      <c r="C544" s="125"/>
      <c r="D544" s="125"/>
      <c r="E544" s="125"/>
      <c r="F544" s="125"/>
      <c r="G544" s="125"/>
      <c r="H544" s="125"/>
      <c r="I544" s="125"/>
      <c r="J544" s="125"/>
      <c r="K544" s="125"/>
      <c r="L544" s="125"/>
      <c r="M544" s="125"/>
      <c r="N544" s="125"/>
      <c r="O544" s="125"/>
      <c r="P544" s="125"/>
      <c r="Q544" s="125"/>
      <c r="R544" s="125"/>
      <c r="S544" s="125"/>
      <c r="T544" s="125"/>
      <c r="U544" s="125"/>
      <c r="V544" s="125"/>
      <c r="W544" s="125"/>
      <c r="X544" s="125"/>
      <c r="Y544" s="125"/>
      <c r="Z544" s="125"/>
      <c r="AA544" s="125"/>
      <c r="AB544" s="125"/>
      <c r="AC544" s="125"/>
      <c r="AD544" s="125"/>
      <c r="AE544" s="125"/>
      <c r="AF544" s="125"/>
      <c r="AG544" s="125"/>
      <c r="AH544" s="125"/>
      <c r="AI544" s="125"/>
      <c r="AJ544" s="125"/>
      <c r="AK544" s="125"/>
      <c r="AL544" s="125"/>
      <c r="AM544" s="125"/>
      <c r="AN544" s="125"/>
      <c r="AO544" s="125"/>
      <c r="AP544" s="125"/>
      <c r="AQ544" s="125"/>
      <c r="AR544" s="125"/>
      <c r="AS544" s="125"/>
      <c r="AT544" s="125"/>
      <c r="AU544" s="125"/>
      <c r="AV544" s="125"/>
      <c r="AW544" s="125"/>
      <c r="AX544" s="125"/>
      <c r="AY544" s="125"/>
      <c r="AZ544" s="125"/>
      <c r="BA544" s="125"/>
      <c r="BB544" s="125"/>
      <c r="BC544" s="125"/>
      <c r="BD544" s="125"/>
      <c r="BE544" s="125"/>
      <c r="BF544" s="125"/>
    </row>
    <row r="545" spans="1:58" ht="15.75" customHeight="1">
      <c r="A545" s="125"/>
      <c r="B545" s="125"/>
      <c r="C545" s="125"/>
      <c r="D545" s="125"/>
      <c r="E545" s="125"/>
      <c r="F545" s="125"/>
      <c r="G545" s="125"/>
      <c r="H545" s="125"/>
      <c r="I545" s="125"/>
      <c r="J545" s="125"/>
      <c r="K545" s="125"/>
      <c r="L545" s="125"/>
      <c r="M545" s="125"/>
      <c r="N545" s="125"/>
      <c r="O545" s="125"/>
      <c r="P545" s="125"/>
      <c r="Q545" s="125"/>
      <c r="R545" s="125"/>
      <c r="S545" s="125"/>
      <c r="T545" s="125"/>
      <c r="U545" s="125"/>
      <c r="V545" s="125"/>
      <c r="W545" s="125"/>
      <c r="X545" s="125"/>
      <c r="Y545" s="125"/>
      <c r="Z545" s="125"/>
      <c r="AA545" s="125"/>
      <c r="AB545" s="125"/>
      <c r="AC545" s="125"/>
      <c r="AD545" s="125"/>
      <c r="AE545" s="125"/>
      <c r="AF545" s="125"/>
      <c r="AG545" s="125"/>
      <c r="AH545" s="125"/>
      <c r="AI545" s="125"/>
      <c r="AJ545" s="125"/>
      <c r="AK545" s="125"/>
      <c r="AL545" s="125"/>
      <c r="AM545" s="125"/>
      <c r="AN545" s="125"/>
      <c r="AO545" s="125"/>
      <c r="AP545" s="125"/>
      <c r="AQ545" s="125"/>
      <c r="AR545" s="125"/>
      <c r="AS545" s="125"/>
      <c r="AT545" s="125"/>
      <c r="AU545" s="125"/>
      <c r="AV545" s="125"/>
      <c r="AW545" s="125"/>
      <c r="AX545" s="125"/>
      <c r="AY545" s="125"/>
      <c r="AZ545" s="125"/>
      <c r="BA545" s="125"/>
      <c r="BB545" s="125"/>
      <c r="BC545" s="125"/>
      <c r="BD545" s="125"/>
      <c r="BE545" s="125"/>
      <c r="BF545" s="125"/>
    </row>
    <row r="546" spans="1:58" ht="15.75" customHeight="1">
      <c r="A546" s="125"/>
      <c r="B546" s="125"/>
      <c r="C546" s="125"/>
      <c r="D546" s="125"/>
      <c r="E546" s="125"/>
      <c r="F546" s="125"/>
      <c r="G546" s="125"/>
      <c r="H546" s="125"/>
      <c r="I546" s="125"/>
      <c r="J546" s="125"/>
      <c r="K546" s="125"/>
      <c r="L546" s="125"/>
      <c r="M546" s="125"/>
      <c r="N546" s="125"/>
      <c r="O546" s="125"/>
      <c r="P546" s="125"/>
      <c r="Q546" s="125"/>
      <c r="R546" s="125"/>
      <c r="S546" s="125"/>
      <c r="T546" s="125"/>
      <c r="U546" s="125"/>
      <c r="V546" s="125"/>
      <c r="W546" s="125"/>
      <c r="X546" s="125"/>
      <c r="Y546" s="125"/>
      <c r="Z546" s="125"/>
      <c r="AA546" s="125"/>
      <c r="AB546" s="125"/>
      <c r="AC546" s="125"/>
      <c r="AD546" s="125"/>
      <c r="AE546" s="125"/>
      <c r="AF546" s="125"/>
      <c r="AG546" s="125"/>
      <c r="AH546" s="125"/>
      <c r="AI546" s="125"/>
      <c r="AJ546" s="125"/>
      <c r="AK546" s="125"/>
      <c r="AL546" s="125"/>
      <c r="AM546" s="125"/>
      <c r="AN546" s="125"/>
      <c r="AO546" s="125"/>
      <c r="AP546" s="125"/>
      <c r="AQ546" s="125"/>
      <c r="AR546" s="125"/>
      <c r="AS546" s="125"/>
      <c r="AT546" s="125"/>
      <c r="AU546" s="125"/>
      <c r="AV546" s="125"/>
      <c r="AW546" s="125"/>
      <c r="AX546" s="125"/>
      <c r="AY546" s="125"/>
      <c r="AZ546" s="125"/>
      <c r="BA546" s="125"/>
      <c r="BB546" s="125"/>
      <c r="BC546" s="125"/>
      <c r="BD546" s="125"/>
      <c r="BE546" s="125"/>
      <c r="BF546" s="125"/>
    </row>
    <row r="547" spans="1:58" ht="15.75" customHeight="1">
      <c r="A547" s="125"/>
      <c r="B547" s="125"/>
      <c r="C547" s="125"/>
      <c r="D547" s="125"/>
      <c r="E547" s="125"/>
      <c r="F547" s="125"/>
      <c r="G547" s="125"/>
      <c r="H547" s="125"/>
      <c r="I547" s="125"/>
      <c r="J547" s="125"/>
      <c r="K547" s="125"/>
      <c r="L547" s="125"/>
      <c r="M547" s="125"/>
      <c r="N547" s="125"/>
      <c r="O547" s="125"/>
      <c r="P547" s="125"/>
      <c r="Q547" s="125"/>
      <c r="R547" s="125"/>
      <c r="S547" s="125"/>
      <c r="T547" s="125"/>
      <c r="U547" s="125"/>
      <c r="V547" s="125"/>
      <c r="W547" s="125"/>
      <c r="X547" s="125"/>
      <c r="Y547" s="125"/>
      <c r="Z547" s="125"/>
      <c r="AA547" s="125"/>
      <c r="AB547" s="125"/>
      <c r="AC547" s="125"/>
      <c r="AD547" s="125"/>
      <c r="AE547" s="125"/>
      <c r="AF547" s="125"/>
      <c r="AG547" s="125"/>
      <c r="AH547" s="125"/>
      <c r="AI547" s="125"/>
      <c r="AJ547" s="125"/>
      <c r="AK547" s="125"/>
      <c r="AL547" s="125"/>
      <c r="AM547" s="125"/>
      <c r="AN547" s="125"/>
      <c r="AO547" s="125"/>
      <c r="AP547" s="125"/>
      <c r="AQ547" s="125"/>
      <c r="AR547" s="125"/>
      <c r="AS547" s="125"/>
      <c r="AT547" s="125"/>
      <c r="AU547" s="125"/>
      <c r="AV547" s="125"/>
      <c r="AW547" s="125"/>
      <c r="AX547" s="125"/>
      <c r="AY547" s="125"/>
      <c r="AZ547" s="125"/>
      <c r="BA547" s="125"/>
      <c r="BB547" s="125"/>
      <c r="BC547" s="125"/>
      <c r="BD547" s="125"/>
      <c r="BE547" s="125"/>
      <c r="BF547" s="125"/>
    </row>
    <row r="548" spans="1:58" ht="15.75" customHeight="1">
      <c r="A548" s="125"/>
      <c r="B548" s="125"/>
      <c r="C548" s="125"/>
      <c r="D548" s="125"/>
      <c r="E548" s="125"/>
      <c r="F548" s="125"/>
      <c r="G548" s="125"/>
      <c r="H548" s="125"/>
      <c r="I548" s="125"/>
      <c r="J548" s="125"/>
      <c r="K548" s="125"/>
      <c r="L548" s="125"/>
      <c r="M548" s="125"/>
      <c r="N548" s="125"/>
      <c r="O548" s="125"/>
      <c r="P548" s="125"/>
      <c r="Q548" s="125"/>
      <c r="R548" s="125"/>
      <c r="S548" s="125"/>
      <c r="T548" s="125"/>
      <c r="U548" s="125"/>
      <c r="V548" s="125"/>
      <c r="W548" s="125"/>
      <c r="X548" s="125"/>
      <c r="Y548" s="125"/>
      <c r="Z548" s="125"/>
      <c r="AA548" s="125"/>
      <c r="AB548" s="125"/>
      <c r="AC548" s="125"/>
      <c r="AD548" s="125"/>
      <c r="AE548" s="125"/>
      <c r="AF548" s="125"/>
      <c r="AG548" s="125"/>
      <c r="AH548" s="125"/>
      <c r="AI548" s="125"/>
      <c r="AJ548" s="125"/>
      <c r="AK548" s="125"/>
      <c r="AL548" s="125"/>
      <c r="AM548" s="125"/>
      <c r="AN548" s="125"/>
      <c r="AO548" s="125"/>
      <c r="AP548" s="125"/>
      <c r="AQ548" s="125"/>
      <c r="AR548" s="125"/>
      <c r="AS548" s="125"/>
      <c r="AT548" s="125"/>
      <c r="AU548" s="125"/>
      <c r="AV548" s="125"/>
      <c r="AW548" s="125"/>
      <c r="AX548" s="125"/>
      <c r="AY548" s="125"/>
      <c r="AZ548" s="125"/>
      <c r="BA548" s="125"/>
      <c r="BB548" s="125"/>
      <c r="BC548" s="125"/>
      <c r="BD548" s="125"/>
      <c r="BE548" s="125"/>
      <c r="BF548" s="125"/>
    </row>
    <row r="549" spans="1:58" ht="15.75" customHeight="1">
      <c r="A549" s="125"/>
      <c r="B549" s="125"/>
      <c r="C549" s="125"/>
      <c r="D549" s="125"/>
      <c r="E549" s="125"/>
      <c r="F549" s="125"/>
      <c r="G549" s="125"/>
      <c r="H549" s="125"/>
      <c r="I549" s="125"/>
      <c r="J549" s="125"/>
      <c r="K549" s="125"/>
      <c r="L549" s="125"/>
      <c r="M549" s="125"/>
      <c r="N549" s="125"/>
      <c r="O549" s="125"/>
      <c r="P549" s="125"/>
      <c r="Q549" s="125"/>
      <c r="R549" s="125"/>
      <c r="S549" s="125"/>
      <c r="T549" s="125"/>
      <c r="U549" s="125"/>
      <c r="V549" s="125"/>
      <c r="W549" s="125"/>
      <c r="X549" s="125"/>
      <c r="Y549" s="125"/>
      <c r="Z549" s="125"/>
      <c r="AA549" s="125"/>
      <c r="AB549" s="125"/>
      <c r="AC549" s="125"/>
      <c r="AD549" s="125"/>
      <c r="AE549" s="125"/>
      <c r="AF549" s="125"/>
      <c r="AG549" s="125"/>
      <c r="AH549" s="125"/>
      <c r="AI549" s="125"/>
      <c r="AJ549" s="125"/>
      <c r="AK549" s="125"/>
      <c r="AL549" s="125"/>
      <c r="AM549" s="125"/>
      <c r="AN549" s="125"/>
      <c r="AO549" s="125"/>
      <c r="AP549" s="125"/>
      <c r="AQ549" s="125"/>
      <c r="AR549" s="125"/>
      <c r="AS549" s="125"/>
      <c r="AT549" s="125"/>
      <c r="AU549" s="125"/>
      <c r="AV549" s="125"/>
      <c r="AW549" s="125"/>
      <c r="AX549" s="125"/>
      <c r="AY549" s="125"/>
      <c r="AZ549" s="125"/>
      <c r="BA549" s="125"/>
      <c r="BB549" s="125"/>
      <c r="BC549" s="125"/>
      <c r="BD549" s="125"/>
      <c r="BE549" s="125"/>
      <c r="BF549" s="125"/>
    </row>
    <row r="550" spans="1:58" ht="15.75" customHeight="1">
      <c r="A550" s="125"/>
      <c r="B550" s="125"/>
      <c r="C550" s="125"/>
      <c r="D550" s="125"/>
      <c r="E550" s="125"/>
      <c r="F550" s="125"/>
      <c r="G550" s="125"/>
      <c r="H550" s="125"/>
      <c r="I550" s="125"/>
      <c r="J550" s="125"/>
      <c r="K550" s="125"/>
      <c r="L550" s="125"/>
      <c r="M550" s="125"/>
      <c r="N550" s="125"/>
      <c r="O550" s="125"/>
      <c r="P550" s="125"/>
      <c r="Q550" s="125"/>
      <c r="R550" s="125"/>
      <c r="S550" s="125"/>
      <c r="T550" s="125"/>
      <c r="U550" s="125"/>
      <c r="V550" s="125"/>
      <c r="W550" s="125"/>
      <c r="X550" s="125"/>
      <c r="Y550" s="125"/>
      <c r="Z550" s="125"/>
      <c r="AA550" s="125"/>
      <c r="AB550" s="125"/>
      <c r="AC550" s="125"/>
      <c r="AD550" s="125"/>
      <c r="AE550" s="125"/>
      <c r="AF550" s="125"/>
      <c r="AG550" s="125"/>
      <c r="AH550" s="125"/>
      <c r="AI550" s="125"/>
      <c r="AJ550" s="125"/>
      <c r="AK550" s="125"/>
      <c r="AL550" s="125"/>
      <c r="AM550" s="125"/>
      <c r="AN550" s="125"/>
      <c r="AO550" s="125"/>
      <c r="AP550" s="125"/>
      <c r="AQ550" s="125"/>
      <c r="AR550" s="125"/>
      <c r="AS550" s="125"/>
      <c r="AT550" s="125"/>
      <c r="AU550" s="125"/>
      <c r="AV550" s="125"/>
      <c r="AW550" s="125"/>
      <c r="AX550" s="125"/>
      <c r="AY550" s="125"/>
      <c r="AZ550" s="125"/>
      <c r="BA550" s="125"/>
      <c r="BB550" s="125"/>
      <c r="BC550" s="125"/>
      <c r="BD550" s="125"/>
      <c r="BE550" s="125"/>
      <c r="BF550" s="125"/>
    </row>
    <row r="551" spans="1:58" ht="15.75" customHeight="1">
      <c r="A551" s="125"/>
      <c r="B551" s="125"/>
      <c r="C551" s="125"/>
      <c r="D551" s="125"/>
      <c r="E551" s="125"/>
      <c r="F551" s="125"/>
      <c r="G551" s="125"/>
      <c r="H551" s="125"/>
      <c r="I551" s="125"/>
      <c r="J551" s="125"/>
      <c r="K551" s="125"/>
      <c r="L551" s="125"/>
      <c r="M551" s="125"/>
      <c r="N551" s="125"/>
      <c r="O551" s="125"/>
      <c r="P551" s="125"/>
      <c r="Q551" s="125"/>
      <c r="R551" s="125"/>
      <c r="S551" s="125"/>
      <c r="T551" s="125"/>
      <c r="U551" s="125"/>
      <c r="V551" s="125"/>
      <c r="W551" s="125"/>
      <c r="X551" s="125"/>
      <c r="Y551" s="125"/>
      <c r="Z551" s="125"/>
      <c r="AA551" s="125"/>
      <c r="AB551" s="125"/>
      <c r="AC551" s="125"/>
      <c r="AD551" s="125"/>
      <c r="AE551" s="125"/>
      <c r="AF551" s="125"/>
      <c r="AG551" s="125"/>
      <c r="AH551" s="125"/>
      <c r="AI551" s="125"/>
      <c r="AJ551" s="125"/>
      <c r="AK551" s="125"/>
      <c r="AL551" s="125"/>
      <c r="AM551" s="125"/>
      <c r="AN551" s="125"/>
      <c r="AO551" s="125"/>
      <c r="AP551" s="125"/>
      <c r="AQ551" s="125"/>
      <c r="AR551" s="125"/>
      <c r="AS551" s="125"/>
      <c r="AT551" s="125"/>
      <c r="AU551" s="125"/>
      <c r="AV551" s="125"/>
      <c r="AW551" s="125"/>
      <c r="AX551" s="125"/>
      <c r="AY551" s="125"/>
      <c r="AZ551" s="125"/>
      <c r="BA551" s="125"/>
      <c r="BB551" s="125"/>
      <c r="BC551" s="125"/>
      <c r="BD551" s="125"/>
      <c r="BE551" s="125"/>
      <c r="BF551" s="125"/>
    </row>
    <row r="552" spans="1:58" ht="15.75" customHeight="1">
      <c r="A552" s="125"/>
      <c r="B552" s="125"/>
      <c r="C552" s="125"/>
      <c r="D552" s="125"/>
      <c r="E552" s="125"/>
      <c r="F552" s="125"/>
      <c r="G552" s="125"/>
      <c r="H552" s="125"/>
      <c r="I552" s="125"/>
      <c r="J552" s="125"/>
      <c r="K552" s="125"/>
      <c r="L552" s="125"/>
      <c r="M552" s="125"/>
      <c r="N552" s="125"/>
      <c r="O552" s="125"/>
      <c r="P552" s="125"/>
      <c r="Q552" s="125"/>
      <c r="R552" s="125"/>
      <c r="S552" s="125"/>
      <c r="T552" s="125"/>
      <c r="U552" s="125"/>
      <c r="V552" s="125"/>
      <c r="W552" s="125"/>
      <c r="X552" s="125"/>
      <c r="Y552" s="125"/>
      <c r="Z552" s="125"/>
      <c r="AA552" s="125"/>
      <c r="AB552" s="125"/>
      <c r="AC552" s="125"/>
      <c r="AD552" s="125"/>
      <c r="AE552" s="125"/>
      <c r="AF552" s="125"/>
      <c r="AG552" s="125"/>
      <c r="AH552" s="125"/>
      <c r="AI552" s="125"/>
      <c r="AJ552" s="125"/>
      <c r="AK552" s="125"/>
      <c r="AL552" s="125"/>
      <c r="AM552" s="125"/>
      <c r="AN552" s="125"/>
      <c r="AO552" s="125"/>
      <c r="AP552" s="125"/>
      <c r="AQ552" s="125"/>
      <c r="AR552" s="125"/>
      <c r="AS552" s="125"/>
      <c r="AT552" s="125"/>
      <c r="AU552" s="125"/>
      <c r="AV552" s="125"/>
      <c r="AW552" s="125"/>
      <c r="AX552" s="125"/>
      <c r="AY552" s="125"/>
      <c r="AZ552" s="125"/>
      <c r="BA552" s="125"/>
      <c r="BB552" s="125"/>
      <c r="BC552" s="125"/>
      <c r="BD552" s="125"/>
      <c r="BE552" s="125"/>
      <c r="BF552" s="125"/>
    </row>
    <row r="553" spans="1:58" ht="15.75" customHeight="1">
      <c r="A553" s="125"/>
      <c r="B553" s="125"/>
      <c r="C553" s="125"/>
      <c r="D553" s="125"/>
      <c r="E553" s="125"/>
      <c r="F553" s="125"/>
      <c r="G553" s="125"/>
      <c r="H553" s="125"/>
      <c r="I553" s="125"/>
      <c r="J553" s="125"/>
      <c r="K553" s="125"/>
      <c r="L553" s="125"/>
      <c r="M553" s="125"/>
      <c r="N553" s="125"/>
      <c r="O553" s="125"/>
      <c r="P553" s="125"/>
      <c r="Q553" s="125"/>
      <c r="R553" s="125"/>
      <c r="S553" s="125"/>
      <c r="T553" s="125"/>
      <c r="U553" s="125"/>
      <c r="V553" s="125"/>
      <c r="W553" s="125"/>
      <c r="X553" s="125"/>
      <c r="Y553" s="125"/>
      <c r="Z553" s="125"/>
      <c r="AA553" s="125"/>
      <c r="AB553" s="125"/>
      <c r="AC553" s="125"/>
      <c r="AD553" s="125"/>
      <c r="AE553" s="125"/>
      <c r="AF553" s="125"/>
      <c r="AG553" s="125"/>
      <c r="AH553" s="125"/>
      <c r="AI553" s="125"/>
      <c r="AJ553" s="125"/>
      <c r="AK553" s="125"/>
      <c r="AL553" s="125"/>
      <c r="AM553" s="125"/>
      <c r="AN553" s="125"/>
      <c r="AO553" s="125"/>
      <c r="AP553" s="125"/>
      <c r="AQ553" s="125"/>
      <c r="AR553" s="125"/>
      <c r="AS553" s="125"/>
      <c r="AT553" s="125"/>
      <c r="AU553" s="125"/>
      <c r="AV553" s="125"/>
      <c r="AW553" s="125"/>
      <c r="AX553" s="125"/>
      <c r="AY553" s="125"/>
      <c r="AZ553" s="125"/>
      <c r="BA553" s="125"/>
      <c r="BB553" s="125"/>
      <c r="BC553" s="125"/>
      <c r="BD553" s="125"/>
      <c r="BE553" s="125"/>
      <c r="BF553" s="125"/>
    </row>
    <row r="554" spans="1:58" ht="15.75" customHeight="1">
      <c r="A554" s="125"/>
      <c r="B554" s="125"/>
      <c r="C554" s="125"/>
      <c r="D554" s="125"/>
      <c r="E554" s="125"/>
      <c r="F554" s="125"/>
      <c r="G554" s="125"/>
      <c r="H554" s="125"/>
      <c r="I554" s="125"/>
      <c r="J554" s="125"/>
      <c r="K554" s="125"/>
      <c r="L554" s="125"/>
      <c r="M554" s="125"/>
      <c r="N554" s="125"/>
      <c r="O554" s="125"/>
      <c r="P554" s="125"/>
      <c r="Q554" s="125"/>
      <c r="R554" s="125"/>
      <c r="S554" s="125"/>
      <c r="T554" s="125"/>
      <c r="U554" s="125"/>
      <c r="V554" s="125"/>
      <c r="W554" s="125"/>
      <c r="X554" s="125"/>
      <c r="Y554" s="125"/>
      <c r="Z554" s="125"/>
      <c r="AA554" s="125"/>
      <c r="AB554" s="125"/>
      <c r="AC554" s="125"/>
      <c r="AD554" s="125"/>
      <c r="AE554" s="125"/>
      <c r="AF554" s="125"/>
      <c r="AG554" s="125"/>
      <c r="AH554" s="125"/>
      <c r="AI554" s="125"/>
      <c r="AJ554" s="125"/>
      <c r="AK554" s="125"/>
      <c r="AL554" s="125"/>
      <c r="AM554" s="125"/>
      <c r="AN554" s="125"/>
      <c r="AO554" s="125"/>
      <c r="AP554" s="125"/>
      <c r="AQ554" s="125"/>
      <c r="AR554" s="125"/>
      <c r="AS554" s="125"/>
      <c r="AT554" s="125"/>
      <c r="AU554" s="125"/>
      <c r="AV554" s="125"/>
      <c r="AW554" s="125"/>
      <c r="AX554" s="125"/>
      <c r="AY554" s="125"/>
      <c r="AZ554" s="125"/>
      <c r="BA554" s="125"/>
      <c r="BB554" s="125"/>
      <c r="BC554" s="125"/>
      <c r="BD554" s="125"/>
      <c r="BE554" s="125"/>
      <c r="BF554" s="125"/>
    </row>
    <row r="555" spans="1:58" ht="15.75" customHeight="1">
      <c r="A555" s="125"/>
      <c r="B555" s="125"/>
      <c r="C555" s="125"/>
      <c r="D555" s="125"/>
      <c r="E555" s="125"/>
      <c r="F555" s="125"/>
      <c r="G555" s="125"/>
      <c r="H555" s="125"/>
      <c r="I555" s="125"/>
      <c r="J555" s="125"/>
      <c r="K555" s="125"/>
      <c r="L555" s="125"/>
      <c r="M555" s="125"/>
      <c r="N555" s="125"/>
      <c r="O555" s="125"/>
      <c r="P555" s="125"/>
      <c r="Q555" s="125"/>
      <c r="R555" s="125"/>
      <c r="S555" s="125"/>
      <c r="T555" s="125"/>
      <c r="U555" s="125"/>
      <c r="V555" s="125"/>
      <c r="W555" s="125"/>
      <c r="X555" s="125"/>
      <c r="Y555" s="125"/>
      <c r="Z555" s="125"/>
      <c r="AA555" s="125"/>
      <c r="AB555" s="125"/>
      <c r="AC555" s="125"/>
      <c r="AD555" s="125"/>
      <c r="AE555" s="125"/>
      <c r="AF555" s="125"/>
      <c r="AG555" s="125"/>
      <c r="AH555" s="125"/>
      <c r="AI555" s="125"/>
      <c r="AJ555" s="125"/>
      <c r="AK555" s="125"/>
      <c r="AL555" s="125"/>
      <c r="AM555" s="125"/>
      <c r="AN555" s="125"/>
      <c r="AO555" s="125"/>
      <c r="AP555" s="125"/>
      <c r="AQ555" s="125"/>
      <c r="AR555" s="125"/>
      <c r="AS555" s="125"/>
      <c r="AT555" s="125"/>
      <c r="AU555" s="125"/>
      <c r="AV555" s="125"/>
      <c r="AW555" s="125"/>
      <c r="AX555" s="125"/>
      <c r="AY555" s="125"/>
      <c r="AZ555" s="125"/>
      <c r="BA555" s="125"/>
      <c r="BB555" s="125"/>
      <c r="BC555" s="125"/>
      <c r="BD555" s="125"/>
      <c r="BE555" s="125"/>
      <c r="BF555" s="125"/>
    </row>
    <row r="556" spans="1:58" ht="15.75" customHeight="1">
      <c r="A556" s="125"/>
      <c r="B556" s="125"/>
      <c r="C556" s="125"/>
      <c r="D556" s="125"/>
      <c r="E556" s="125"/>
      <c r="F556" s="125"/>
      <c r="G556" s="125"/>
      <c r="H556" s="125"/>
      <c r="I556" s="125"/>
      <c r="J556" s="125"/>
      <c r="K556" s="125"/>
      <c r="L556" s="125"/>
      <c r="M556" s="125"/>
      <c r="N556" s="125"/>
      <c r="O556" s="125"/>
      <c r="P556" s="125"/>
      <c r="Q556" s="125"/>
      <c r="R556" s="125"/>
      <c r="S556" s="125"/>
      <c r="T556" s="125"/>
      <c r="U556" s="125"/>
      <c r="V556" s="125"/>
      <c r="W556" s="125"/>
      <c r="X556" s="125"/>
      <c r="Y556" s="125"/>
      <c r="Z556" s="125"/>
      <c r="AA556" s="125"/>
      <c r="AB556" s="125"/>
      <c r="AC556" s="125"/>
      <c r="AD556" s="125"/>
      <c r="AE556" s="125"/>
      <c r="AF556" s="125"/>
      <c r="AG556" s="125"/>
      <c r="AH556" s="125"/>
      <c r="AI556" s="125"/>
      <c r="AJ556" s="125"/>
      <c r="AK556" s="125"/>
      <c r="AL556" s="125"/>
      <c r="AM556" s="125"/>
      <c r="AN556" s="125"/>
      <c r="AO556" s="125"/>
      <c r="AP556" s="125"/>
      <c r="AQ556" s="125"/>
      <c r="AR556" s="125"/>
      <c r="AS556" s="125"/>
      <c r="AT556" s="125"/>
      <c r="AU556" s="125"/>
      <c r="AV556" s="125"/>
      <c r="AW556" s="125"/>
      <c r="AX556" s="125"/>
      <c r="AY556" s="125"/>
      <c r="AZ556" s="125"/>
      <c r="BA556" s="125"/>
      <c r="BB556" s="125"/>
      <c r="BC556" s="125"/>
      <c r="BD556" s="125"/>
      <c r="BE556" s="125"/>
      <c r="BF556" s="125"/>
    </row>
    <row r="557" spans="1:58" ht="15.75" customHeight="1">
      <c r="A557" s="125"/>
      <c r="B557" s="125"/>
      <c r="C557" s="125"/>
      <c r="D557" s="125"/>
      <c r="E557" s="125"/>
      <c r="F557" s="125"/>
      <c r="G557" s="125"/>
      <c r="H557" s="125"/>
      <c r="I557" s="125"/>
      <c r="J557" s="125"/>
      <c r="K557" s="125"/>
      <c r="L557" s="125"/>
      <c r="M557" s="125"/>
      <c r="N557" s="125"/>
      <c r="O557" s="125"/>
      <c r="P557" s="125"/>
      <c r="Q557" s="125"/>
      <c r="R557" s="125"/>
      <c r="S557" s="125"/>
      <c r="T557" s="125"/>
      <c r="U557" s="125"/>
      <c r="V557" s="125"/>
      <c r="W557" s="125"/>
      <c r="X557" s="125"/>
      <c r="Y557" s="125"/>
      <c r="Z557" s="125"/>
      <c r="AA557" s="125"/>
      <c r="AB557" s="125"/>
      <c r="AC557" s="125"/>
      <c r="AD557" s="125"/>
      <c r="AE557" s="125"/>
      <c r="AF557" s="125"/>
      <c r="AG557" s="125"/>
      <c r="AH557" s="125"/>
      <c r="AI557" s="125"/>
      <c r="AJ557" s="125"/>
      <c r="AK557" s="125"/>
      <c r="AL557" s="125"/>
      <c r="AM557" s="125"/>
      <c r="AN557" s="125"/>
      <c r="AO557" s="125"/>
      <c r="AP557" s="125"/>
      <c r="AQ557" s="125"/>
      <c r="AR557" s="125"/>
      <c r="AS557" s="125"/>
      <c r="AT557" s="125"/>
      <c r="AU557" s="125"/>
      <c r="AV557" s="125"/>
      <c r="AW557" s="125"/>
      <c r="AX557" s="125"/>
      <c r="AY557" s="125"/>
      <c r="AZ557" s="125"/>
      <c r="BA557" s="125"/>
      <c r="BB557" s="125"/>
      <c r="BC557" s="125"/>
      <c r="BD557" s="125"/>
      <c r="BE557" s="125"/>
      <c r="BF557" s="125"/>
    </row>
    <row r="558" spans="1:58" ht="15.75" customHeight="1">
      <c r="A558" s="125"/>
      <c r="B558" s="125"/>
      <c r="C558" s="125"/>
      <c r="D558" s="125"/>
      <c r="E558" s="125"/>
      <c r="F558" s="125"/>
      <c r="G558" s="125"/>
      <c r="H558" s="125"/>
      <c r="I558" s="125"/>
      <c r="J558" s="125"/>
      <c r="K558" s="125"/>
      <c r="L558" s="125"/>
      <c r="M558" s="125"/>
      <c r="N558" s="125"/>
      <c r="O558" s="125"/>
      <c r="P558" s="125"/>
      <c r="Q558" s="125"/>
      <c r="R558" s="125"/>
      <c r="S558" s="125"/>
      <c r="T558" s="125"/>
      <c r="U558" s="125"/>
      <c r="V558" s="125"/>
      <c r="W558" s="125"/>
      <c r="X558" s="125"/>
      <c r="Y558" s="125"/>
      <c r="Z558" s="125"/>
      <c r="AA558" s="125"/>
      <c r="AB558" s="125"/>
      <c r="AC558" s="125"/>
      <c r="AD558" s="125"/>
      <c r="AE558" s="125"/>
      <c r="AF558" s="125"/>
      <c r="AG558" s="125"/>
      <c r="AH558" s="125"/>
      <c r="AI558" s="125"/>
      <c r="AJ558" s="125"/>
      <c r="AK558" s="125"/>
      <c r="AL558" s="125"/>
      <c r="AM558" s="125"/>
      <c r="AN558" s="125"/>
      <c r="AO558" s="125"/>
      <c r="AP558" s="125"/>
      <c r="AQ558" s="125"/>
      <c r="AR558" s="125"/>
      <c r="AS558" s="125"/>
      <c r="AT558" s="125"/>
      <c r="AU558" s="125"/>
      <c r="AV558" s="125"/>
      <c r="AW558" s="125"/>
      <c r="AX558" s="125"/>
      <c r="AY558" s="125"/>
      <c r="AZ558" s="125"/>
      <c r="BA558" s="125"/>
      <c r="BB558" s="125"/>
      <c r="BC558" s="125"/>
      <c r="BD558" s="125"/>
      <c r="BE558" s="125"/>
      <c r="BF558" s="125"/>
    </row>
    <row r="559" spans="1:58" ht="15.75" customHeight="1">
      <c r="A559" s="125"/>
      <c r="B559" s="125"/>
      <c r="C559" s="125"/>
      <c r="D559" s="125"/>
      <c r="E559" s="125"/>
      <c r="F559" s="125"/>
      <c r="G559" s="125"/>
      <c r="H559" s="125"/>
      <c r="I559" s="125"/>
      <c r="J559" s="125"/>
      <c r="K559" s="125"/>
      <c r="L559" s="125"/>
      <c r="M559" s="125"/>
      <c r="N559" s="125"/>
      <c r="O559" s="125"/>
      <c r="P559" s="125"/>
      <c r="Q559" s="125"/>
      <c r="R559" s="125"/>
      <c r="S559" s="125"/>
      <c r="T559" s="125"/>
      <c r="U559" s="125"/>
      <c r="V559" s="125"/>
      <c r="W559" s="125"/>
      <c r="X559" s="125"/>
      <c r="Y559" s="125"/>
      <c r="Z559" s="125"/>
      <c r="AA559" s="125"/>
      <c r="AB559" s="125"/>
      <c r="AC559" s="125"/>
      <c r="AD559" s="125"/>
      <c r="AE559" s="125"/>
      <c r="AF559" s="125"/>
      <c r="AG559" s="125"/>
      <c r="AH559" s="125"/>
      <c r="AI559" s="125"/>
      <c r="AJ559" s="125"/>
      <c r="AK559" s="125"/>
      <c r="AL559" s="125"/>
      <c r="AM559" s="125"/>
      <c r="AN559" s="125"/>
      <c r="AO559" s="125"/>
      <c r="AP559" s="125"/>
      <c r="AQ559" s="125"/>
      <c r="AR559" s="125"/>
      <c r="AS559" s="125"/>
      <c r="AT559" s="125"/>
      <c r="AU559" s="125"/>
      <c r="AV559" s="125"/>
      <c r="AW559" s="125"/>
      <c r="AX559" s="125"/>
      <c r="AY559" s="125"/>
      <c r="AZ559" s="125"/>
      <c r="BA559" s="125"/>
      <c r="BB559" s="125"/>
      <c r="BC559" s="125"/>
      <c r="BD559" s="125"/>
      <c r="BE559" s="125"/>
      <c r="BF559" s="125"/>
    </row>
    <row r="560" spans="1:58" ht="15.75" customHeight="1">
      <c r="A560" s="125"/>
      <c r="B560" s="125"/>
      <c r="C560" s="125"/>
      <c r="D560" s="125"/>
      <c r="E560" s="125"/>
      <c r="F560" s="125"/>
      <c r="G560" s="125"/>
      <c r="H560" s="125"/>
      <c r="I560" s="125"/>
      <c r="J560" s="125"/>
      <c r="K560" s="125"/>
      <c r="L560" s="125"/>
      <c r="M560" s="125"/>
      <c r="N560" s="125"/>
      <c r="O560" s="125"/>
      <c r="P560" s="125"/>
      <c r="Q560" s="125"/>
      <c r="R560" s="125"/>
      <c r="S560" s="125"/>
      <c r="T560" s="125"/>
      <c r="U560" s="125"/>
      <c r="V560" s="125"/>
      <c r="W560" s="125"/>
      <c r="X560" s="125"/>
      <c r="Y560" s="125"/>
      <c r="Z560" s="125"/>
      <c r="AA560" s="125"/>
      <c r="AB560" s="125"/>
      <c r="AC560" s="125"/>
      <c r="AD560" s="125"/>
      <c r="AE560" s="125"/>
      <c r="AF560" s="125"/>
      <c r="AG560" s="125"/>
      <c r="AH560" s="125"/>
      <c r="AI560" s="125"/>
      <c r="AJ560" s="125"/>
      <c r="AK560" s="125"/>
      <c r="AL560" s="125"/>
      <c r="AM560" s="125"/>
      <c r="AN560" s="125"/>
      <c r="AO560" s="125"/>
      <c r="AP560" s="125"/>
      <c r="AQ560" s="125"/>
      <c r="AR560" s="125"/>
      <c r="AS560" s="125"/>
      <c r="AT560" s="125"/>
      <c r="AU560" s="125"/>
      <c r="AV560" s="125"/>
      <c r="AW560" s="125"/>
      <c r="AX560" s="125"/>
      <c r="AY560" s="125"/>
      <c r="AZ560" s="125"/>
      <c r="BA560" s="125"/>
      <c r="BB560" s="125"/>
      <c r="BC560" s="125"/>
      <c r="BD560" s="125"/>
      <c r="BE560" s="125"/>
      <c r="BF560" s="125"/>
    </row>
    <row r="561" spans="1:58" ht="15.75" customHeight="1">
      <c r="A561" s="125"/>
      <c r="B561" s="125"/>
      <c r="C561" s="125"/>
      <c r="D561" s="125"/>
      <c r="E561" s="125"/>
      <c r="F561" s="125"/>
      <c r="G561" s="125"/>
      <c r="H561" s="125"/>
      <c r="I561" s="125"/>
      <c r="J561" s="125"/>
      <c r="K561" s="125"/>
      <c r="L561" s="125"/>
      <c r="M561" s="125"/>
      <c r="N561" s="125"/>
      <c r="O561" s="125"/>
      <c r="P561" s="125"/>
      <c r="Q561" s="125"/>
      <c r="R561" s="125"/>
      <c r="S561" s="125"/>
      <c r="T561" s="125"/>
      <c r="U561" s="125"/>
      <c r="V561" s="125"/>
      <c r="W561" s="125"/>
      <c r="X561" s="125"/>
      <c r="Y561" s="125"/>
      <c r="Z561" s="125"/>
      <c r="AA561" s="125"/>
      <c r="AB561" s="125"/>
      <c r="AC561" s="125"/>
      <c r="AD561" s="125"/>
      <c r="AE561" s="125"/>
      <c r="AF561" s="125"/>
      <c r="AG561" s="125"/>
      <c r="AH561" s="125"/>
      <c r="AI561" s="125"/>
      <c r="AJ561" s="125"/>
      <c r="AK561" s="125"/>
      <c r="AL561" s="125"/>
      <c r="AM561" s="125"/>
      <c r="AN561" s="125"/>
      <c r="AO561" s="125"/>
      <c r="AP561" s="125"/>
      <c r="AQ561" s="125"/>
      <c r="AR561" s="125"/>
      <c r="AS561" s="125"/>
      <c r="AT561" s="125"/>
      <c r="AU561" s="125"/>
      <c r="AV561" s="125"/>
      <c r="AW561" s="125"/>
      <c r="AX561" s="125"/>
      <c r="AY561" s="125"/>
      <c r="AZ561" s="125"/>
      <c r="BA561" s="125"/>
      <c r="BB561" s="125"/>
      <c r="BC561" s="125"/>
      <c r="BD561" s="125"/>
      <c r="BE561" s="125"/>
      <c r="BF561" s="125"/>
    </row>
    <row r="562" spans="1:58" ht="15.75" customHeight="1">
      <c r="A562" s="125"/>
      <c r="B562" s="125"/>
      <c r="C562" s="125"/>
      <c r="D562" s="125"/>
      <c r="E562" s="125"/>
      <c r="F562" s="125"/>
      <c r="G562" s="125"/>
      <c r="H562" s="125"/>
      <c r="I562" s="125"/>
      <c r="J562" s="125"/>
      <c r="K562" s="125"/>
      <c r="L562" s="125"/>
      <c r="M562" s="125"/>
      <c r="N562" s="125"/>
      <c r="O562" s="125"/>
      <c r="P562" s="125"/>
      <c r="Q562" s="125"/>
      <c r="R562" s="125"/>
      <c r="S562" s="125"/>
      <c r="T562" s="125"/>
      <c r="U562" s="125"/>
      <c r="V562" s="125"/>
      <c r="W562" s="125"/>
      <c r="X562" s="125"/>
      <c r="Y562" s="125"/>
      <c r="Z562" s="125"/>
      <c r="AA562" s="125"/>
      <c r="AB562" s="125"/>
      <c r="AC562" s="125"/>
      <c r="AD562" s="125"/>
      <c r="AE562" s="125"/>
      <c r="AF562" s="125"/>
      <c r="AG562" s="125"/>
      <c r="AH562" s="125"/>
      <c r="AI562" s="125"/>
      <c r="AJ562" s="125"/>
      <c r="AK562" s="125"/>
      <c r="AL562" s="125"/>
      <c r="AM562" s="125"/>
      <c r="AN562" s="125"/>
      <c r="AO562" s="125"/>
      <c r="AP562" s="125"/>
      <c r="AQ562" s="125"/>
      <c r="AR562" s="125"/>
      <c r="AS562" s="125"/>
      <c r="AT562" s="125"/>
      <c r="AU562" s="125"/>
      <c r="AV562" s="125"/>
      <c r="AW562" s="125"/>
      <c r="AX562" s="125"/>
      <c r="AY562" s="125"/>
      <c r="AZ562" s="125"/>
      <c r="BA562" s="125"/>
      <c r="BB562" s="125"/>
      <c r="BC562" s="125"/>
      <c r="BD562" s="125"/>
      <c r="BE562" s="125"/>
      <c r="BF562" s="125"/>
    </row>
    <row r="563" spans="1:58" ht="15.75" customHeight="1">
      <c r="A563" s="125"/>
      <c r="B563" s="125"/>
      <c r="C563" s="125"/>
      <c r="D563" s="125"/>
      <c r="E563" s="125"/>
      <c r="F563" s="125"/>
      <c r="G563" s="125"/>
      <c r="H563" s="125"/>
      <c r="I563" s="125"/>
      <c r="J563" s="125"/>
      <c r="K563" s="125"/>
      <c r="L563" s="125"/>
      <c r="M563" s="125"/>
      <c r="N563" s="125"/>
      <c r="O563" s="125"/>
      <c r="P563" s="125"/>
      <c r="Q563" s="125"/>
      <c r="R563" s="125"/>
      <c r="S563" s="125"/>
      <c r="T563" s="125"/>
      <c r="U563" s="125"/>
      <c r="V563" s="125"/>
      <c r="W563" s="125"/>
      <c r="X563" s="125"/>
      <c r="Y563" s="125"/>
      <c r="Z563" s="125"/>
      <c r="AA563" s="125"/>
      <c r="AB563" s="125"/>
      <c r="AC563" s="125"/>
      <c r="AD563" s="125"/>
      <c r="AE563" s="125"/>
      <c r="AF563" s="125"/>
      <c r="AG563" s="125"/>
      <c r="AH563" s="125"/>
      <c r="AI563" s="125"/>
      <c r="AJ563" s="125"/>
      <c r="AK563" s="125"/>
      <c r="AL563" s="125"/>
      <c r="AM563" s="125"/>
      <c r="AN563" s="125"/>
      <c r="AO563" s="125"/>
      <c r="AP563" s="125"/>
      <c r="AQ563" s="125"/>
      <c r="AR563" s="125"/>
      <c r="AS563" s="125"/>
      <c r="AT563" s="125"/>
      <c r="AU563" s="125"/>
      <c r="AV563" s="125"/>
      <c r="AW563" s="125"/>
      <c r="AX563" s="125"/>
      <c r="AY563" s="125"/>
      <c r="AZ563" s="125"/>
      <c r="BA563" s="125"/>
      <c r="BB563" s="125"/>
      <c r="BC563" s="125"/>
      <c r="BD563" s="125"/>
      <c r="BE563" s="125"/>
      <c r="BF563" s="125"/>
    </row>
    <row r="564" spans="1:58" ht="15.75" customHeight="1">
      <c r="A564" s="125"/>
      <c r="B564" s="125"/>
      <c r="C564" s="125"/>
      <c r="D564" s="125"/>
      <c r="E564" s="125"/>
      <c r="F564" s="125"/>
      <c r="G564" s="125"/>
      <c r="H564" s="125"/>
      <c r="I564" s="125"/>
      <c r="J564" s="125"/>
      <c r="K564" s="125"/>
      <c r="L564" s="125"/>
      <c r="M564" s="125"/>
      <c r="N564" s="125"/>
      <c r="O564" s="125"/>
      <c r="P564" s="125"/>
      <c r="Q564" s="125"/>
      <c r="R564" s="125"/>
      <c r="S564" s="125"/>
      <c r="T564" s="125"/>
      <c r="U564" s="125"/>
      <c r="V564" s="125"/>
      <c r="W564" s="125"/>
      <c r="X564" s="125"/>
      <c r="Y564" s="125"/>
      <c r="Z564" s="125"/>
      <c r="AA564" s="125"/>
      <c r="AB564" s="125"/>
      <c r="AC564" s="125"/>
      <c r="AD564" s="125"/>
      <c r="AE564" s="125"/>
      <c r="AF564" s="125"/>
      <c r="AG564" s="125"/>
      <c r="AH564" s="125"/>
      <c r="AI564" s="125"/>
      <c r="AJ564" s="125"/>
      <c r="AK564" s="125"/>
      <c r="AL564" s="125"/>
      <c r="AM564" s="125"/>
      <c r="AN564" s="125"/>
      <c r="AO564" s="125"/>
      <c r="AP564" s="125"/>
      <c r="AQ564" s="125"/>
      <c r="AR564" s="125"/>
      <c r="AS564" s="125"/>
      <c r="AT564" s="125"/>
      <c r="AU564" s="125"/>
      <c r="AV564" s="125"/>
      <c r="AW564" s="125"/>
      <c r="AX564" s="125"/>
      <c r="AY564" s="125"/>
      <c r="AZ564" s="125"/>
      <c r="BA564" s="125"/>
      <c r="BB564" s="125"/>
      <c r="BC564" s="125"/>
      <c r="BD564" s="125"/>
      <c r="BE564" s="125"/>
      <c r="BF564" s="125"/>
    </row>
    <row r="565" spans="1:58" ht="15.75" customHeight="1">
      <c r="A565" s="125"/>
      <c r="B565" s="125"/>
      <c r="C565" s="125"/>
      <c r="D565" s="125"/>
      <c r="E565" s="125"/>
      <c r="F565" s="125"/>
      <c r="G565" s="125"/>
      <c r="H565" s="125"/>
      <c r="I565" s="125"/>
      <c r="J565" s="125"/>
      <c r="K565" s="125"/>
      <c r="L565" s="125"/>
      <c r="M565" s="125"/>
      <c r="N565" s="125"/>
      <c r="O565" s="125"/>
      <c r="P565" s="125"/>
      <c r="Q565" s="125"/>
      <c r="R565" s="125"/>
      <c r="S565" s="125"/>
      <c r="T565" s="125"/>
      <c r="U565" s="125"/>
      <c r="V565" s="125"/>
      <c r="W565" s="125"/>
      <c r="X565" s="125"/>
      <c r="Y565" s="125"/>
      <c r="Z565" s="125"/>
      <c r="AA565" s="125"/>
      <c r="AB565" s="125"/>
      <c r="AC565" s="125"/>
      <c r="AD565" s="125"/>
      <c r="AE565" s="125"/>
      <c r="AF565" s="125"/>
      <c r="AG565" s="125"/>
      <c r="AH565" s="125"/>
      <c r="AI565" s="125"/>
      <c r="AJ565" s="125"/>
      <c r="AK565" s="125"/>
      <c r="AL565" s="125"/>
      <c r="AM565" s="125"/>
      <c r="AN565" s="125"/>
      <c r="AO565" s="125"/>
      <c r="AP565" s="125"/>
      <c r="AQ565" s="125"/>
      <c r="AR565" s="125"/>
      <c r="AS565" s="125"/>
      <c r="AT565" s="125"/>
      <c r="AU565" s="125"/>
      <c r="AV565" s="125"/>
      <c r="AW565" s="125"/>
      <c r="AX565" s="125"/>
      <c r="AY565" s="125"/>
      <c r="AZ565" s="125"/>
      <c r="BA565" s="125"/>
      <c r="BB565" s="125"/>
      <c r="BC565" s="125"/>
      <c r="BD565" s="125"/>
      <c r="BE565" s="125"/>
      <c r="BF565" s="125"/>
    </row>
    <row r="566" spans="1:58" ht="15.75" customHeight="1">
      <c r="A566" s="125"/>
      <c r="B566" s="125"/>
      <c r="C566" s="125"/>
      <c r="D566" s="125"/>
      <c r="E566" s="125"/>
      <c r="F566" s="125"/>
      <c r="G566" s="125"/>
      <c r="H566" s="125"/>
      <c r="I566" s="125"/>
      <c r="J566" s="125"/>
      <c r="K566" s="125"/>
      <c r="L566" s="125"/>
      <c r="M566" s="125"/>
      <c r="N566" s="125"/>
      <c r="O566" s="125"/>
      <c r="P566" s="125"/>
      <c r="Q566" s="125"/>
      <c r="R566" s="125"/>
      <c r="S566" s="125"/>
      <c r="T566" s="125"/>
      <c r="U566" s="125"/>
      <c r="V566" s="125"/>
      <c r="W566" s="125"/>
      <c r="X566" s="125"/>
      <c r="Y566" s="125"/>
      <c r="Z566" s="125"/>
      <c r="AA566" s="125"/>
      <c r="AB566" s="125"/>
      <c r="AC566" s="125"/>
      <c r="AD566" s="125"/>
      <c r="AE566" s="125"/>
      <c r="AF566" s="125"/>
      <c r="AG566" s="125"/>
      <c r="AH566" s="125"/>
      <c r="AI566" s="125"/>
      <c r="AJ566" s="125"/>
      <c r="AK566" s="125"/>
      <c r="AL566" s="125"/>
      <c r="AM566" s="125"/>
      <c r="AN566" s="125"/>
      <c r="AO566" s="125"/>
      <c r="AP566" s="125"/>
      <c r="AQ566" s="125"/>
      <c r="AR566" s="125"/>
      <c r="AS566" s="125"/>
      <c r="AT566" s="125"/>
      <c r="AU566" s="125"/>
      <c r="AV566" s="125"/>
      <c r="AW566" s="125"/>
      <c r="AX566" s="125"/>
      <c r="AY566" s="125"/>
      <c r="AZ566" s="125"/>
      <c r="BA566" s="125"/>
      <c r="BB566" s="125"/>
      <c r="BC566" s="125"/>
      <c r="BD566" s="125"/>
      <c r="BE566" s="125"/>
      <c r="BF566" s="125"/>
    </row>
    <row r="567" spans="1:58" ht="15.75" customHeight="1">
      <c r="A567" s="125"/>
      <c r="B567" s="125"/>
      <c r="C567" s="125"/>
      <c r="D567" s="125"/>
      <c r="E567" s="125"/>
      <c r="F567" s="125"/>
      <c r="G567" s="125"/>
      <c r="H567" s="125"/>
      <c r="I567" s="125"/>
      <c r="J567" s="125"/>
      <c r="K567" s="125"/>
      <c r="L567" s="125"/>
      <c r="M567" s="125"/>
      <c r="N567" s="125"/>
      <c r="O567" s="125"/>
      <c r="P567" s="125"/>
      <c r="Q567" s="125"/>
      <c r="R567" s="125"/>
      <c r="S567" s="125"/>
      <c r="T567" s="125"/>
      <c r="U567" s="125"/>
      <c r="V567" s="125"/>
      <c r="W567" s="125"/>
      <c r="X567" s="125"/>
      <c r="Y567" s="125"/>
      <c r="Z567" s="125"/>
      <c r="AA567" s="125"/>
      <c r="AB567" s="125"/>
      <c r="AC567" s="125"/>
      <c r="AD567" s="125"/>
      <c r="AE567" s="125"/>
      <c r="AF567" s="125"/>
      <c r="AG567" s="125"/>
      <c r="AH567" s="125"/>
      <c r="AI567" s="125"/>
      <c r="AJ567" s="125"/>
      <c r="AK567" s="125"/>
      <c r="AL567" s="125"/>
      <c r="AM567" s="125"/>
      <c r="AN567" s="125"/>
      <c r="AO567" s="125"/>
      <c r="AP567" s="125"/>
      <c r="AQ567" s="125"/>
      <c r="AR567" s="125"/>
      <c r="AS567" s="125"/>
      <c r="AT567" s="125"/>
      <c r="AU567" s="125"/>
      <c r="AV567" s="125"/>
      <c r="AW567" s="125"/>
      <c r="AX567" s="125"/>
      <c r="AY567" s="125"/>
      <c r="AZ567" s="125"/>
      <c r="BA567" s="125"/>
      <c r="BB567" s="125"/>
      <c r="BC567" s="125"/>
      <c r="BD567" s="125"/>
      <c r="BE567" s="125"/>
      <c r="BF567" s="125"/>
    </row>
    <row r="568" spans="1:58" ht="15.75" customHeight="1">
      <c r="A568" s="125"/>
      <c r="B568" s="125"/>
      <c r="C568" s="125"/>
      <c r="D568" s="125"/>
      <c r="E568" s="125"/>
      <c r="F568" s="125"/>
      <c r="G568" s="125"/>
      <c r="H568" s="125"/>
      <c r="I568" s="125"/>
      <c r="J568" s="125"/>
      <c r="K568" s="125"/>
      <c r="L568" s="125"/>
      <c r="M568" s="125"/>
      <c r="N568" s="125"/>
      <c r="O568" s="125"/>
      <c r="P568" s="125"/>
      <c r="Q568" s="125"/>
      <c r="R568" s="125"/>
      <c r="S568" s="125"/>
      <c r="T568" s="125"/>
      <c r="U568" s="125"/>
      <c r="V568" s="125"/>
      <c r="W568" s="125"/>
      <c r="X568" s="125"/>
      <c r="Y568" s="125"/>
      <c r="Z568" s="125"/>
      <c r="AA568" s="125"/>
      <c r="AB568" s="125"/>
      <c r="AC568" s="125"/>
      <c r="AD568" s="125"/>
      <c r="AE568" s="125"/>
      <c r="AF568" s="125"/>
      <c r="AG568" s="125"/>
      <c r="AH568" s="125"/>
      <c r="AI568" s="125"/>
      <c r="AJ568" s="125"/>
      <c r="AK568" s="125"/>
      <c r="AL568" s="125"/>
      <c r="AM568" s="125"/>
      <c r="AN568" s="125"/>
      <c r="AO568" s="125"/>
      <c r="AP568" s="125"/>
      <c r="AQ568" s="125"/>
      <c r="AR568" s="125"/>
      <c r="AS568" s="125"/>
      <c r="AT568" s="125"/>
      <c r="AU568" s="125"/>
      <c r="AV568" s="125"/>
      <c r="AW568" s="125"/>
      <c r="AX568" s="125"/>
      <c r="AY568" s="125"/>
      <c r="AZ568" s="125"/>
      <c r="BA568" s="125"/>
      <c r="BB568" s="125"/>
      <c r="BC568" s="125"/>
      <c r="BD568" s="125"/>
      <c r="BE568" s="125"/>
      <c r="BF568" s="125"/>
    </row>
    <row r="569" spans="1:58" ht="15.75" customHeight="1">
      <c r="A569" s="125"/>
      <c r="B569" s="125"/>
      <c r="C569" s="125"/>
      <c r="D569" s="125"/>
      <c r="E569" s="125"/>
      <c r="F569" s="125"/>
      <c r="G569" s="125"/>
      <c r="H569" s="125"/>
      <c r="I569" s="125"/>
      <c r="J569" s="125"/>
      <c r="K569" s="125"/>
      <c r="L569" s="125"/>
      <c r="M569" s="125"/>
      <c r="N569" s="125"/>
      <c r="O569" s="125"/>
      <c r="P569" s="125"/>
      <c r="Q569" s="125"/>
      <c r="R569" s="125"/>
      <c r="S569" s="125"/>
      <c r="T569" s="125"/>
      <c r="U569" s="125"/>
      <c r="V569" s="125"/>
      <c r="W569" s="125"/>
      <c r="X569" s="125"/>
      <c r="Y569" s="125"/>
      <c r="Z569" s="125"/>
      <c r="AA569" s="125"/>
      <c r="AB569" s="125"/>
      <c r="AC569" s="125"/>
      <c r="AD569" s="125"/>
      <c r="AE569" s="125"/>
      <c r="AF569" s="125"/>
      <c r="AG569" s="125"/>
      <c r="AH569" s="125"/>
      <c r="AI569" s="125"/>
      <c r="AJ569" s="125"/>
      <c r="AK569" s="125"/>
      <c r="AL569" s="125"/>
      <c r="AM569" s="125"/>
      <c r="AN569" s="125"/>
      <c r="AO569" s="125"/>
      <c r="AP569" s="125"/>
      <c r="AQ569" s="125"/>
      <c r="AR569" s="125"/>
      <c r="AS569" s="125"/>
      <c r="AT569" s="125"/>
      <c r="AU569" s="125"/>
      <c r="AV569" s="125"/>
      <c r="AW569" s="125"/>
      <c r="AX569" s="125"/>
      <c r="AY569" s="125"/>
      <c r="AZ569" s="125"/>
      <c r="BA569" s="125"/>
      <c r="BB569" s="125"/>
      <c r="BC569" s="125"/>
      <c r="BD569" s="125"/>
      <c r="BE569" s="125"/>
      <c r="BF569" s="125"/>
    </row>
    <row r="570" spans="1:58" ht="15.75" customHeight="1">
      <c r="A570" s="125"/>
      <c r="B570" s="125"/>
      <c r="C570" s="125"/>
      <c r="D570" s="125"/>
      <c r="E570" s="125"/>
      <c r="F570" s="125"/>
      <c r="G570" s="125"/>
      <c r="H570" s="125"/>
      <c r="I570" s="125"/>
      <c r="J570" s="125"/>
      <c r="K570" s="125"/>
      <c r="L570" s="125"/>
      <c r="M570" s="125"/>
      <c r="N570" s="125"/>
      <c r="O570" s="125"/>
      <c r="P570" s="125"/>
      <c r="Q570" s="125"/>
      <c r="R570" s="125"/>
      <c r="S570" s="125"/>
      <c r="T570" s="125"/>
      <c r="U570" s="125"/>
      <c r="V570" s="125"/>
      <c r="W570" s="125"/>
      <c r="X570" s="125"/>
      <c r="Y570" s="125"/>
      <c r="Z570" s="125"/>
      <c r="AA570" s="125"/>
      <c r="AB570" s="125"/>
      <c r="AC570" s="125"/>
      <c r="AD570" s="125"/>
      <c r="AE570" s="125"/>
      <c r="AF570" s="125"/>
      <c r="AG570" s="125"/>
      <c r="AH570" s="125"/>
      <c r="AI570" s="125"/>
      <c r="AJ570" s="125"/>
      <c r="AK570" s="125"/>
      <c r="AL570" s="125"/>
      <c r="AM570" s="125"/>
      <c r="AN570" s="125"/>
      <c r="AO570" s="125"/>
      <c r="AP570" s="125"/>
      <c r="AQ570" s="125"/>
      <c r="AR570" s="125"/>
      <c r="AS570" s="125"/>
      <c r="AT570" s="125"/>
      <c r="AU570" s="125"/>
      <c r="AV570" s="125"/>
      <c r="AW570" s="125"/>
      <c r="AX570" s="125"/>
      <c r="AY570" s="125"/>
      <c r="AZ570" s="125"/>
      <c r="BA570" s="125"/>
      <c r="BB570" s="125"/>
      <c r="BC570" s="125"/>
      <c r="BD570" s="125"/>
      <c r="BE570" s="125"/>
      <c r="BF570" s="125"/>
    </row>
    <row r="571" spans="1:58" ht="15.75" customHeight="1">
      <c r="A571" s="125"/>
      <c r="B571" s="125"/>
      <c r="C571" s="125"/>
      <c r="D571" s="125"/>
      <c r="E571" s="125"/>
      <c r="F571" s="125"/>
      <c r="G571" s="125"/>
      <c r="H571" s="125"/>
      <c r="I571" s="125"/>
      <c r="J571" s="125"/>
      <c r="K571" s="125"/>
      <c r="L571" s="125"/>
      <c r="M571" s="125"/>
      <c r="N571" s="125"/>
      <c r="O571" s="125"/>
      <c r="P571" s="125"/>
      <c r="Q571" s="125"/>
      <c r="R571" s="125"/>
      <c r="S571" s="125"/>
      <c r="T571" s="125"/>
      <c r="U571" s="125"/>
      <c r="V571" s="125"/>
      <c r="W571" s="125"/>
      <c r="X571" s="125"/>
      <c r="Y571" s="125"/>
      <c r="Z571" s="125"/>
      <c r="AA571" s="125"/>
      <c r="AB571" s="125"/>
      <c r="AC571" s="125"/>
      <c r="AD571" s="125"/>
      <c r="AE571" s="125"/>
      <c r="AF571" s="125"/>
      <c r="AG571" s="125"/>
      <c r="AH571" s="125"/>
      <c r="AI571" s="125"/>
      <c r="AJ571" s="125"/>
      <c r="AK571" s="125"/>
      <c r="AL571" s="125"/>
      <c r="AM571" s="125"/>
      <c r="AN571" s="125"/>
      <c r="AO571" s="125"/>
      <c r="AP571" s="125"/>
      <c r="AQ571" s="125"/>
      <c r="AR571" s="125"/>
      <c r="AS571" s="125"/>
      <c r="AT571" s="125"/>
      <c r="AU571" s="125"/>
      <c r="AV571" s="125"/>
      <c r="AW571" s="125"/>
      <c r="AX571" s="125"/>
      <c r="AY571" s="125"/>
      <c r="AZ571" s="125"/>
      <c r="BA571" s="125"/>
      <c r="BB571" s="125"/>
      <c r="BC571" s="125"/>
      <c r="BD571" s="125"/>
      <c r="BE571" s="125"/>
      <c r="BF571" s="125"/>
    </row>
    <row r="572" spans="1:58" ht="15.75" customHeight="1">
      <c r="A572" s="125"/>
      <c r="B572" s="125"/>
      <c r="C572" s="125"/>
      <c r="D572" s="125"/>
      <c r="E572" s="125"/>
      <c r="F572" s="125"/>
      <c r="G572" s="125"/>
      <c r="H572" s="125"/>
      <c r="I572" s="125"/>
      <c r="J572" s="125"/>
      <c r="K572" s="125"/>
      <c r="L572" s="125"/>
      <c r="M572" s="125"/>
      <c r="N572" s="125"/>
      <c r="O572" s="125"/>
      <c r="P572" s="125"/>
      <c r="Q572" s="125"/>
      <c r="R572" s="125"/>
      <c r="S572" s="125"/>
      <c r="T572" s="125"/>
      <c r="U572" s="125"/>
      <c r="V572" s="125"/>
      <c r="W572" s="125"/>
      <c r="X572" s="125"/>
      <c r="Y572" s="125"/>
      <c r="Z572" s="125"/>
      <c r="AA572" s="125"/>
      <c r="AB572" s="125"/>
      <c r="AC572" s="125"/>
      <c r="AD572" s="125"/>
      <c r="AE572" s="125"/>
      <c r="AF572" s="125"/>
      <c r="AG572" s="125"/>
      <c r="AH572" s="125"/>
      <c r="AI572" s="125"/>
      <c r="AJ572" s="125"/>
      <c r="AK572" s="125"/>
      <c r="AL572" s="125"/>
      <c r="AM572" s="125"/>
      <c r="AN572" s="125"/>
      <c r="AO572" s="125"/>
      <c r="AP572" s="125"/>
      <c r="AQ572" s="125"/>
      <c r="AR572" s="125"/>
      <c r="AS572" s="125"/>
      <c r="AT572" s="125"/>
      <c r="AU572" s="125"/>
      <c r="AV572" s="125"/>
      <c r="AW572" s="125"/>
      <c r="AX572" s="125"/>
      <c r="AY572" s="125"/>
      <c r="AZ572" s="125"/>
      <c r="BA572" s="125"/>
      <c r="BB572" s="125"/>
      <c r="BC572" s="125"/>
      <c r="BD572" s="125"/>
      <c r="BE572" s="125"/>
      <c r="BF572" s="125"/>
    </row>
    <row r="573" spans="1:58" ht="15.75" customHeight="1">
      <c r="A573" s="125"/>
      <c r="B573" s="125"/>
      <c r="C573" s="125"/>
      <c r="D573" s="125"/>
      <c r="E573" s="125"/>
      <c r="F573" s="125"/>
      <c r="G573" s="125"/>
      <c r="H573" s="125"/>
      <c r="I573" s="125"/>
      <c r="J573" s="125"/>
      <c r="K573" s="125"/>
      <c r="L573" s="125"/>
      <c r="M573" s="125"/>
      <c r="N573" s="125"/>
      <c r="O573" s="125"/>
      <c r="P573" s="125"/>
      <c r="Q573" s="125"/>
      <c r="R573" s="125"/>
      <c r="S573" s="125"/>
      <c r="T573" s="125"/>
      <c r="U573" s="125"/>
      <c r="V573" s="125"/>
      <c r="W573" s="125"/>
      <c r="X573" s="125"/>
      <c r="Y573" s="125"/>
      <c r="Z573" s="125"/>
      <c r="AA573" s="125"/>
      <c r="AB573" s="125"/>
      <c r="AC573" s="125"/>
      <c r="AD573" s="125"/>
      <c r="AE573" s="125"/>
      <c r="AF573" s="125"/>
      <c r="AG573" s="125"/>
      <c r="AH573" s="125"/>
      <c r="AI573" s="125"/>
      <c r="AJ573" s="125"/>
      <c r="AK573" s="125"/>
      <c r="AL573" s="125"/>
      <c r="AM573" s="125"/>
      <c r="AN573" s="125"/>
      <c r="AO573" s="125"/>
      <c r="AP573" s="125"/>
      <c r="AQ573" s="125"/>
      <c r="AR573" s="125"/>
      <c r="AS573" s="125"/>
      <c r="AT573" s="125"/>
      <c r="AU573" s="125"/>
      <c r="AV573" s="125"/>
      <c r="AW573" s="125"/>
      <c r="AX573" s="125"/>
      <c r="AY573" s="125"/>
      <c r="AZ573" s="125"/>
      <c r="BA573" s="125"/>
      <c r="BB573" s="125"/>
      <c r="BC573" s="125"/>
      <c r="BD573" s="125"/>
      <c r="BE573" s="125"/>
      <c r="BF573" s="125"/>
    </row>
    <row r="574" spans="1:58" ht="15.75" customHeight="1">
      <c r="A574" s="125"/>
      <c r="B574" s="125"/>
      <c r="C574" s="125"/>
      <c r="D574" s="125"/>
      <c r="E574" s="125"/>
      <c r="F574" s="125"/>
      <c r="G574" s="125"/>
      <c r="H574" s="125"/>
      <c r="I574" s="125"/>
      <c r="J574" s="125"/>
      <c r="K574" s="125"/>
      <c r="L574" s="125"/>
      <c r="M574" s="125"/>
      <c r="N574" s="125"/>
      <c r="O574" s="125"/>
      <c r="P574" s="125"/>
      <c r="Q574" s="125"/>
      <c r="R574" s="125"/>
      <c r="S574" s="125"/>
      <c r="T574" s="125"/>
      <c r="U574" s="125"/>
      <c r="V574" s="125"/>
      <c r="W574" s="125"/>
      <c r="X574" s="125"/>
      <c r="Y574" s="125"/>
      <c r="Z574" s="125"/>
      <c r="AA574" s="125"/>
      <c r="AB574" s="125"/>
      <c r="AC574" s="125"/>
      <c r="AD574" s="125"/>
      <c r="AE574" s="125"/>
      <c r="AF574" s="125"/>
      <c r="AG574" s="125"/>
      <c r="AH574" s="125"/>
      <c r="AI574" s="125"/>
      <c r="AJ574" s="125"/>
      <c r="AK574" s="125"/>
      <c r="AL574" s="125"/>
      <c r="AM574" s="125"/>
      <c r="AN574" s="125"/>
      <c r="AO574" s="125"/>
      <c r="AP574" s="125"/>
      <c r="AQ574" s="125"/>
      <c r="AR574" s="125"/>
      <c r="AS574" s="125"/>
      <c r="AT574" s="125"/>
      <c r="AU574" s="125"/>
      <c r="AV574" s="125"/>
      <c r="AW574" s="125"/>
      <c r="AX574" s="125"/>
      <c r="AY574" s="125"/>
      <c r="AZ574" s="125"/>
      <c r="BA574" s="125"/>
      <c r="BB574" s="125"/>
      <c r="BC574" s="125"/>
      <c r="BD574" s="125"/>
      <c r="BE574" s="125"/>
      <c r="BF574" s="125"/>
    </row>
    <row r="575" spans="1:58" ht="15.75" customHeight="1">
      <c r="A575" s="125"/>
      <c r="B575" s="125"/>
      <c r="C575" s="125"/>
      <c r="D575" s="125"/>
      <c r="E575" s="125"/>
      <c r="F575" s="125"/>
      <c r="G575" s="125"/>
      <c r="H575" s="125"/>
      <c r="I575" s="125"/>
      <c r="J575" s="125"/>
      <c r="K575" s="125"/>
      <c r="L575" s="125"/>
      <c r="M575" s="125"/>
      <c r="N575" s="125"/>
      <c r="O575" s="125"/>
      <c r="P575" s="125"/>
      <c r="Q575" s="125"/>
      <c r="R575" s="125"/>
      <c r="S575" s="125"/>
      <c r="T575" s="125"/>
      <c r="U575" s="125"/>
      <c r="V575" s="125"/>
      <c r="W575" s="125"/>
      <c r="X575" s="125"/>
      <c r="Y575" s="125"/>
      <c r="Z575" s="125"/>
      <c r="AA575" s="125"/>
      <c r="AB575" s="125"/>
      <c r="AC575" s="125"/>
      <c r="AD575" s="125"/>
      <c r="AE575" s="125"/>
      <c r="AF575" s="125"/>
      <c r="AG575" s="125"/>
      <c r="AH575" s="125"/>
      <c r="AI575" s="125"/>
      <c r="AJ575" s="125"/>
      <c r="AK575" s="125"/>
      <c r="AL575" s="125"/>
      <c r="AM575" s="125"/>
      <c r="AN575" s="125"/>
      <c r="AO575" s="125"/>
      <c r="AP575" s="125"/>
      <c r="AQ575" s="125"/>
      <c r="AR575" s="125"/>
      <c r="AS575" s="125"/>
      <c r="AT575" s="125"/>
      <c r="AU575" s="125"/>
      <c r="AV575" s="125"/>
      <c r="AW575" s="125"/>
      <c r="AX575" s="125"/>
      <c r="AY575" s="125"/>
      <c r="AZ575" s="125"/>
      <c r="BA575" s="125"/>
      <c r="BB575" s="125"/>
      <c r="BC575" s="125"/>
      <c r="BD575" s="125"/>
      <c r="BE575" s="125"/>
      <c r="BF575" s="125"/>
    </row>
    <row r="576" spans="1:58" ht="15.75" customHeight="1">
      <c r="A576" s="125"/>
      <c r="B576" s="125"/>
      <c r="C576" s="125"/>
      <c r="D576" s="125"/>
      <c r="E576" s="125"/>
      <c r="F576" s="125"/>
      <c r="G576" s="125"/>
      <c r="H576" s="125"/>
      <c r="I576" s="125"/>
      <c r="J576" s="125"/>
      <c r="K576" s="125"/>
      <c r="L576" s="125"/>
      <c r="M576" s="125"/>
      <c r="N576" s="125"/>
      <c r="O576" s="125"/>
      <c r="P576" s="125"/>
      <c r="Q576" s="125"/>
      <c r="R576" s="125"/>
      <c r="S576" s="125"/>
      <c r="T576" s="125"/>
      <c r="U576" s="125"/>
      <c r="V576" s="125"/>
      <c r="W576" s="125"/>
      <c r="X576" s="125"/>
      <c r="Y576" s="125"/>
      <c r="Z576" s="125"/>
      <c r="AA576" s="125"/>
      <c r="AB576" s="125"/>
      <c r="AC576" s="125"/>
      <c r="AD576" s="125"/>
      <c r="AE576" s="125"/>
      <c r="AF576" s="125"/>
      <c r="AG576" s="125"/>
      <c r="AH576" s="125"/>
      <c r="AI576" s="125"/>
      <c r="AJ576" s="125"/>
      <c r="AK576" s="125"/>
      <c r="AL576" s="125"/>
      <c r="AM576" s="125"/>
      <c r="AN576" s="125"/>
      <c r="AO576" s="125"/>
      <c r="AP576" s="125"/>
      <c r="AQ576" s="125"/>
      <c r="AR576" s="125"/>
      <c r="AS576" s="125"/>
      <c r="AT576" s="125"/>
      <c r="AU576" s="125"/>
      <c r="AV576" s="125"/>
      <c r="AW576" s="125"/>
      <c r="AX576" s="125"/>
      <c r="AY576" s="125"/>
      <c r="AZ576" s="125"/>
      <c r="BA576" s="125"/>
      <c r="BB576" s="125"/>
      <c r="BC576" s="125"/>
      <c r="BD576" s="125"/>
      <c r="BE576" s="125"/>
      <c r="BF576" s="125"/>
    </row>
    <row r="577" spans="1:58" ht="15.75" customHeight="1">
      <c r="A577" s="125"/>
      <c r="B577" s="125"/>
      <c r="C577" s="125"/>
      <c r="D577" s="125"/>
      <c r="E577" s="125"/>
      <c r="F577" s="125"/>
      <c r="G577" s="125"/>
      <c r="H577" s="125"/>
      <c r="I577" s="125"/>
      <c r="J577" s="125"/>
      <c r="K577" s="125"/>
      <c r="L577" s="125"/>
      <c r="M577" s="125"/>
      <c r="N577" s="125"/>
      <c r="O577" s="125"/>
      <c r="P577" s="125"/>
      <c r="Q577" s="125"/>
      <c r="R577" s="125"/>
      <c r="S577" s="125"/>
      <c r="T577" s="125"/>
      <c r="U577" s="125"/>
      <c r="V577" s="125"/>
      <c r="W577" s="125"/>
      <c r="X577" s="125"/>
      <c r="Y577" s="125"/>
      <c r="Z577" s="125"/>
      <c r="AA577" s="125"/>
      <c r="AB577" s="125"/>
      <c r="AC577" s="125"/>
      <c r="AD577" s="125"/>
      <c r="AE577" s="125"/>
      <c r="AF577" s="125"/>
      <c r="AG577" s="125"/>
      <c r="AH577" s="125"/>
      <c r="AI577" s="125"/>
      <c r="AJ577" s="125"/>
      <c r="AK577" s="125"/>
      <c r="AL577" s="125"/>
      <c r="AM577" s="125"/>
      <c r="AN577" s="125"/>
      <c r="AO577" s="125"/>
      <c r="AP577" s="125"/>
      <c r="AQ577" s="125"/>
      <c r="AR577" s="125"/>
      <c r="AS577" s="125"/>
      <c r="AT577" s="125"/>
      <c r="AU577" s="125"/>
      <c r="AV577" s="125"/>
      <c r="AW577" s="125"/>
      <c r="AX577" s="125"/>
      <c r="AY577" s="125"/>
      <c r="AZ577" s="125"/>
      <c r="BA577" s="125"/>
      <c r="BB577" s="125"/>
      <c r="BC577" s="125"/>
      <c r="BD577" s="125"/>
      <c r="BE577" s="125"/>
      <c r="BF577" s="125"/>
    </row>
    <row r="578" spans="1:58" ht="15.75" customHeight="1">
      <c r="A578" s="125"/>
      <c r="B578" s="125"/>
      <c r="C578" s="125"/>
      <c r="D578" s="125"/>
      <c r="E578" s="125"/>
      <c r="F578" s="125"/>
      <c r="G578" s="125"/>
      <c r="H578" s="125"/>
      <c r="I578" s="125"/>
      <c r="J578" s="125"/>
      <c r="K578" s="125"/>
      <c r="L578" s="125"/>
      <c r="M578" s="125"/>
      <c r="N578" s="125"/>
      <c r="O578" s="125"/>
      <c r="P578" s="125"/>
      <c r="Q578" s="125"/>
      <c r="R578" s="125"/>
      <c r="S578" s="125"/>
      <c r="T578" s="125"/>
      <c r="U578" s="125"/>
      <c r="V578" s="125"/>
      <c r="W578" s="125"/>
      <c r="X578" s="125"/>
      <c r="Y578" s="125"/>
      <c r="Z578" s="125"/>
      <c r="AA578" s="125"/>
      <c r="AB578" s="125"/>
      <c r="AC578" s="125"/>
      <c r="AD578" s="125"/>
      <c r="AE578" s="125"/>
      <c r="AF578" s="125"/>
      <c r="AG578" s="125"/>
      <c r="AH578" s="125"/>
      <c r="AI578" s="125"/>
      <c r="AJ578" s="125"/>
      <c r="AK578" s="125"/>
      <c r="AL578" s="125"/>
      <c r="AM578" s="125"/>
      <c r="AN578" s="125"/>
      <c r="AO578" s="125"/>
      <c r="AP578" s="125"/>
      <c r="AQ578" s="125"/>
      <c r="AR578" s="125"/>
      <c r="AS578" s="125"/>
      <c r="AT578" s="125"/>
      <c r="AU578" s="125"/>
      <c r="AV578" s="125"/>
      <c r="AW578" s="125"/>
      <c r="AX578" s="125"/>
      <c r="AY578" s="125"/>
      <c r="AZ578" s="125"/>
      <c r="BA578" s="125"/>
      <c r="BB578" s="125"/>
      <c r="BC578" s="125"/>
      <c r="BD578" s="125"/>
      <c r="BE578" s="125"/>
      <c r="BF578" s="125"/>
    </row>
    <row r="579" spans="1:58" ht="15.75" customHeight="1">
      <c r="A579" s="125"/>
      <c r="B579" s="125"/>
      <c r="C579" s="125"/>
      <c r="D579" s="125"/>
      <c r="E579" s="125"/>
      <c r="F579" s="125"/>
      <c r="G579" s="125"/>
      <c r="H579" s="125"/>
      <c r="I579" s="125"/>
      <c r="J579" s="125"/>
      <c r="K579" s="125"/>
      <c r="L579" s="125"/>
      <c r="M579" s="125"/>
      <c r="N579" s="125"/>
      <c r="O579" s="125"/>
      <c r="P579" s="125"/>
      <c r="Q579" s="125"/>
      <c r="R579" s="125"/>
      <c r="S579" s="125"/>
      <c r="T579" s="125"/>
      <c r="U579" s="125"/>
      <c r="V579" s="125"/>
      <c r="W579" s="125"/>
      <c r="X579" s="125"/>
      <c r="Y579" s="125"/>
      <c r="Z579" s="125"/>
      <c r="AA579" s="125"/>
      <c r="AB579" s="125"/>
      <c r="AC579" s="125"/>
      <c r="AD579" s="125"/>
      <c r="AE579" s="125"/>
      <c r="AF579" s="125"/>
      <c r="AG579" s="125"/>
      <c r="AH579" s="125"/>
      <c r="AI579" s="125"/>
      <c r="AJ579" s="125"/>
      <c r="AK579" s="125"/>
      <c r="AL579" s="125"/>
      <c r="AM579" s="125"/>
      <c r="AN579" s="125"/>
      <c r="AO579" s="125"/>
      <c r="AP579" s="125"/>
      <c r="AQ579" s="125"/>
      <c r="AR579" s="125"/>
      <c r="AS579" s="125"/>
      <c r="AT579" s="125"/>
      <c r="AU579" s="125"/>
      <c r="AV579" s="125"/>
      <c r="AW579" s="125"/>
      <c r="AX579" s="125"/>
      <c r="AY579" s="125"/>
      <c r="AZ579" s="125"/>
      <c r="BA579" s="125"/>
      <c r="BB579" s="125"/>
      <c r="BC579" s="125"/>
      <c r="BD579" s="125"/>
      <c r="BE579" s="125"/>
      <c r="BF579" s="125"/>
    </row>
    <row r="580" spans="1:58" ht="15.75" customHeight="1">
      <c r="A580" s="125"/>
      <c r="B580" s="125"/>
      <c r="C580" s="125"/>
      <c r="D580" s="125"/>
      <c r="E580" s="125"/>
      <c r="F580" s="125"/>
      <c r="G580" s="125"/>
      <c r="H580" s="125"/>
      <c r="I580" s="125"/>
      <c r="J580" s="125"/>
      <c r="K580" s="125"/>
      <c r="L580" s="125"/>
      <c r="M580" s="125"/>
      <c r="N580" s="125"/>
      <c r="O580" s="125"/>
      <c r="P580" s="125"/>
      <c r="Q580" s="125"/>
      <c r="R580" s="125"/>
      <c r="S580" s="125"/>
      <c r="T580" s="125"/>
      <c r="U580" s="125"/>
      <c r="V580" s="125"/>
      <c r="W580" s="125"/>
      <c r="X580" s="125"/>
      <c r="Y580" s="125"/>
      <c r="Z580" s="125"/>
      <c r="AA580" s="125"/>
      <c r="AB580" s="125"/>
      <c r="AC580" s="125"/>
      <c r="AD580" s="125"/>
      <c r="AE580" s="125"/>
      <c r="AF580" s="125"/>
      <c r="AG580" s="125"/>
      <c r="AH580" s="125"/>
      <c r="AI580" s="125"/>
      <c r="AJ580" s="125"/>
      <c r="AK580" s="125"/>
      <c r="AL580" s="125"/>
      <c r="AM580" s="125"/>
      <c r="AN580" s="125"/>
      <c r="AO580" s="125"/>
      <c r="AP580" s="125"/>
      <c r="AQ580" s="125"/>
      <c r="AR580" s="125"/>
      <c r="AS580" s="125"/>
      <c r="AT580" s="125"/>
      <c r="AU580" s="125"/>
      <c r="AV580" s="125"/>
      <c r="AW580" s="125"/>
      <c r="AX580" s="125"/>
      <c r="AY580" s="125"/>
      <c r="AZ580" s="125"/>
      <c r="BA580" s="125"/>
      <c r="BB580" s="125"/>
      <c r="BC580" s="125"/>
      <c r="BD580" s="125"/>
      <c r="BE580" s="125"/>
      <c r="BF580" s="125"/>
    </row>
    <row r="581" spans="1:58" ht="15.75" customHeight="1">
      <c r="A581" s="125"/>
      <c r="B581" s="125"/>
      <c r="C581" s="125"/>
      <c r="D581" s="125"/>
      <c r="E581" s="125"/>
      <c r="F581" s="125"/>
      <c r="G581" s="125"/>
      <c r="H581" s="125"/>
      <c r="I581" s="125"/>
      <c r="J581" s="125"/>
      <c r="K581" s="125"/>
      <c r="L581" s="125"/>
      <c r="M581" s="125"/>
      <c r="N581" s="125"/>
      <c r="O581" s="125"/>
      <c r="P581" s="125"/>
      <c r="Q581" s="125"/>
      <c r="R581" s="125"/>
      <c r="S581" s="125"/>
      <c r="T581" s="125"/>
      <c r="U581" s="125"/>
      <c r="V581" s="125"/>
      <c r="W581" s="125"/>
      <c r="X581" s="125"/>
      <c r="Y581" s="125"/>
      <c r="Z581" s="125"/>
      <c r="AA581" s="125"/>
      <c r="AB581" s="125"/>
      <c r="AC581" s="125"/>
      <c r="AD581" s="125"/>
      <c r="AE581" s="125"/>
      <c r="AF581" s="125"/>
      <c r="AG581" s="125"/>
      <c r="AH581" s="125"/>
      <c r="AI581" s="125"/>
      <c r="AJ581" s="125"/>
      <c r="AK581" s="125"/>
      <c r="AL581" s="125"/>
      <c r="AM581" s="125"/>
      <c r="AN581" s="125"/>
      <c r="AO581" s="125"/>
      <c r="AP581" s="125"/>
      <c r="AQ581" s="125"/>
      <c r="AR581" s="125"/>
      <c r="AS581" s="125"/>
      <c r="AT581" s="125"/>
      <c r="AU581" s="125"/>
      <c r="AV581" s="125"/>
      <c r="AW581" s="125"/>
      <c r="AX581" s="125"/>
      <c r="AY581" s="125"/>
      <c r="AZ581" s="125"/>
      <c r="BA581" s="125"/>
      <c r="BB581" s="125"/>
      <c r="BC581" s="125"/>
      <c r="BD581" s="125"/>
      <c r="BE581" s="125"/>
      <c r="BF581" s="125"/>
    </row>
    <row r="582" spans="1:58" ht="15.75" customHeight="1">
      <c r="A582" s="125"/>
      <c r="B582" s="125"/>
      <c r="C582" s="125"/>
      <c r="D582" s="125"/>
      <c r="E582" s="125"/>
      <c r="F582" s="125"/>
      <c r="G582" s="125"/>
      <c r="H582" s="125"/>
      <c r="I582" s="125"/>
      <c r="J582" s="125"/>
      <c r="K582" s="125"/>
      <c r="L582" s="125"/>
      <c r="M582" s="125"/>
      <c r="N582" s="125"/>
      <c r="O582" s="125"/>
      <c r="P582" s="125"/>
      <c r="Q582" s="125"/>
      <c r="R582" s="125"/>
      <c r="S582" s="125"/>
      <c r="T582" s="125"/>
      <c r="U582" s="125"/>
      <c r="V582" s="125"/>
      <c r="W582" s="125"/>
      <c r="X582" s="125"/>
      <c r="Y582" s="125"/>
      <c r="Z582" s="125"/>
      <c r="AA582" s="125"/>
      <c r="AB582" s="125"/>
      <c r="AC582" s="125"/>
      <c r="AD582" s="125"/>
      <c r="AE582" s="125"/>
      <c r="AF582" s="125"/>
      <c r="AG582" s="125"/>
      <c r="AH582" s="125"/>
      <c r="AI582" s="125"/>
      <c r="AJ582" s="125"/>
      <c r="AK582" s="125"/>
      <c r="AL582" s="125"/>
      <c r="AM582" s="125"/>
      <c r="AN582" s="125"/>
      <c r="AO582" s="125"/>
      <c r="AP582" s="125"/>
      <c r="AQ582" s="125"/>
      <c r="AR582" s="125"/>
      <c r="AS582" s="125"/>
      <c r="AT582" s="125"/>
      <c r="AU582" s="125"/>
      <c r="AV582" s="125"/>
      <c r="AW582" s="125"/>
      <c r="AX582" s="125"/>
      <c r="AY582" s="125"/>
      <c r="AZ582" s="125"/>
      <c r="BA582" s="125"/>
      <c r="BB582" s="125"/>
      <c r="BC582" s="125"/>
      <c r="BD582" s="125"/>
      <c r="BE582" s="125"/>
      <c r="BF582" s="125"/>
    </row>
    <row r="583" spans="1:58" ht="15.75" customHeight="1">
      <c r="A583" s="125"/>
      <c r="B583" s="125"/>
      <c r="C583" s="125"/>
      <c r="D583" s="125"/>
      <c r="E583" s="125"/>
      <c r="F583" s="125"/>
      <c r="G583" s="125"/>
      <c r="H583" s="125"/>
      <c r="I583" s="125"/>
      <c r="J583" s="125"/>
      <c r="K583" s="125"/>
      <c r="L583" s="125"/>
      <c r="M583" s="125"/>
      <c r="N583" s="125"/>
      <c r="O583" s="125"/>
      <c r="P583" s="125"/>
      <c r="Q583" s="125"/>
      <c r="R583" s="125"/>
      <c r="S583" s="125"/>
      <c r="T583" s="125"/>
      <c r="U583" s="125"/>
      <c r="V583" s="125"/>
      <c r="W583" s="125"/>
      <c r="X583" s="125"/>
      <c r="Y583" s="125"/>
      <c r="Z583" s="125"/>
      <c r="AA583" s="125"/>
      <c r="AB583" s="125"/>
      <c r="AC583" s="125"/>
      <c r="AD583" s="125"/>
      <c r="AE583" s="125"/>
      <c r="AF583" s="125"/>
      <c r="AG583" s="125"/>
      <c r="AH583" s="125"/>
      <c r="AI583" s="125"/>
      <c r="AJ583" s="125"/>
      <c r="AK583" s="125"/>
      <c r="AL583" s="125"/>
      <c r="AM583" s="125"/>
      <c r="AN583" s="125"/>
      <c r="AO583" s="125"/>
      <c r="AP583" s="125"/>
      <c r="AQ583" s="125"/>
      <c r="AR583" s="125"/>
      <c r="AS583" s="125"/>
      <c r="AT583" s="125"/>
      <c r="AU583" s="125"/>
      <c r="AV583" s="125"/>
      <c r="AW583" s="125"/>
      <c r="AX583" s="125"/>
      <c r="AY583" s="125"/>
      <c r="AZ583" s="125"/>
      <c r="BA583" s="125"/>
      <c r="BB583" s="125"/>
      <c r="BC583" s="125"/>
      <c r="BD583" s="125"/>
      <c r="BE583" s="125"/>
      <c r="BF583" s="125"/>
    </row>
    <row r="584" spans="1:58" ht="15.75" customHeight="1">
      <c r="A584" s="125"/>
      <c r="B584" s="125"/>
      <c r="C584" s="125"/>
      <c r="D584" s="125"/>
      <c r="E584" s="125"/>
      <c r="F584" s="125"/>
      <c r="G584" s="125"/>
      <c r="H584" s="125"/>
      <c r="I584" s="125"/>
      <c r="J584" s="125"/>
      <c r="K584" s="125"/>
      <c r="L584" s="125"/>
      <c r="M584" s="125"/>
      <c r="N584" s="125"/>
      <c r="O584" s="125"/>
      <c r="P584" s="125"/>
      <c r="Q584" s="125"/>
      <c r="R584" s="125"/>
      <c r="S584" s="125"/>
      <c r="T584" s="125"/>
      <c r="U584" s="125"/>
      <c r="V584" s="125"/>
      <c r="W584" s="125"/>
      <c r="X584" s="125"/>
      <c r="Y584" s="125"/>
      <c r="Z584" s="125"/>
      <c r="AA584" s="125"/>
      <c r="AB584" s="125"/>
      <c r="AC584" s="125"/>
      <c r="AD584" s="125"/>
      <c r="AE584" s="125"/>
      <c r="AF584" s="125"/>
      <c r="AG584" s="125"/>
      <c r="AH584" s="125"/>
      <c r="AI584" s="125"/>
      <c r="AJ584" s="125"/>
      <c r="AK584" s="125"/>
      <c r="AL584" s="125"/>
      <c r="AM584" s="125"/>
      <c r="AN584" s="125"/>
      <c r="AO584" s="125"/>
      <c r="AP584" s="125"/>
      <c r="AQ584" s="125"/>
      <c r="AR584" s="125"/>
      <c r="AS584" s="125"/>
      <c r="AT584" s="125"/>
      <c r="AU584" s="125"/>
      <c r="AV584" s="125"/>
      <c r="AW584" s="125"/>
      <c r="AX584" s="125"/>
      <c r="AY584" s="125"/>
      <c r="AZ584" s="125"/>
      <c r="BA584" s="125"/>
      <c r="BB584" s="125"/>
      <c r="BC584" s="125"/>
      <c r="BD584" s="125"/>
      <c r="BE584" s="125"/>
      <c r="BF584" s="125"/>
    </row>
    <row r="585" spans="1:58" ht="15.75" customHeight="1">
      <c r="A585" s="125"/>
      <c r="B585" s="125"/>
      <c r="C585" s="125"/>
      <c r="D585" s="125"/>
      <c r="E585" s="125"/>
      <c r="F585" s="125"/>
      <c r="G585" s="125"/>
      <c r="H585" s="125"/>
      <c r="I585" s="125"/>
      <c r="J585" s="125"/>
      <c r="K585" s="125"/>
      <c r="L585" s="125"/>
      <c r="M585" s="125"/>
      <c r="N585" s="125"/>
      <c r="O585" s="125"/>
      <c r="P585" s="125"/>
      <c r="Q585" s="125"/>
      <c r="R585" s="125"/>
      <c r="S585" s="125"/>
      <c r="T585" s="125"/>
      <c r="U585" s="125"/>
      <c r="V585" s="125"/>
      <c r="W585" s="125"/>
      <c r="X585" s="125"/>
      <c r="Y585" s="125"/>
      <c r="Z585" s="125"/>
      <c r="AA585" s="125"/>
      <c r="AB585" s="125"/>
      <c r="AC585" s="125"/>
      <c r="AD585" s="125"/>
      <c r="AE585" s="125"/>
      <c r="AF585" s="125"/>
      <c r="AG585" s="125"/>
      <c r="AH585" s="125"/>
      <c r="AI585" s="125"/>
      <c r="AJ585" s="125"/>
      <c r="AK585" s="125"/>
      <c r="AL585" s="125"/>
      <c r="AM585" s="125"/>
      <c r="AN585" s="125"/>
      <c r="AO585" s="125"/>
      <c r="AP585" s="125"/>
      <c r="AQ585" s="125"/>
      <c r="AR585" s="125"/>
      <c r="AS585" s="125"/>
      <c r="AT585" s="125"/>
      <c r="AU585" s="125"/>
      <c r="AV585" s="125"/>
      <c r="AW585" s="125"/>
      <c r="AX585" s="125"/>
      <c r="AY585" s="125"/>
      <c r="AZ585" s="125"/>
      <c r="BA585" s="125"/>
      <c r="BB585" s="125"/>
      <c r="BC585" s="125"/>
      <c r="BD585" s="125"/>
      <c r="BE585" s="125"/>
      <c r="BF585" s="125"/>
    </row>
    <row r="586" spans="1:58" ht="15.75" customHeight="1">
      <c r="A586" s="125"/>
      <c r="B586" s="125"/>
      <c r="C586" s="125"/>
      <c r="D586" s="125"/>
      <c r="E586" s="125"/>
      <c r="F586" s="125"/>
      <c r="G586" s="125"/>
      <c r="H586" s="125"/>
      <c r="I586" s="125"/>
      <c r="J586" s="125"/>
      <c r="K586" s="125"/>
      <c r="L586" s="125"/>
      <c r="M586" s="125"/>
      <c r="N586" s="125"/>
      <c r="O586" s="125"/>
      <c r="P586" s="125"/>
      <c r="Q586" s="125"/>
      <c r="R586" s="125"/>
      <c r="S586" s="125"/>
      <c r="T586" s="125"/>
      <c r="U586" s="125"/>
      <c r="V586" s="125"/>
      <c r="W586" s="125"/>
      <c r="X586" s="125"/>
      <c r="Y586" s="125"/>
      <c r="Z586" s="125"/>
      <c r="AA586" s="125"/>
      <c r="AB586" s="125"/>
      <c r="AC586" s="125"/>
      <c r="AD586" s="125"/>
      <c r="AE586" s="125"/>
      <c r="AF586" s="125"/>
      <c r="AG586" s="125"/>
      <c r="AH586" s="125"/>
      <c r="AI586" s="125"/>
      <c r="AJ586" s="125"/>
      <c r="AK586" s="125"/>
      <c r="AL586" s="125"/>
      <c r="AM586" s="125"/>
      <c r="AN586" s="125"/>
      <c r="AO586" s="125"/>
      <c r="AP586" s="125"/>
      <c r="AQ586" s="125"/>
      <c r="AR586" s="125"/>
      <c r="AS586" s="125"/>
      <c r="AT586" s="125"/>
      <c r="AU586" s="125"/>
      <c r="AV586" s="125"/>
      <c r="AW586" s="125"/>
      <c r="AX586" s="125"/>
      <c r="AY586" s="125"/>
      <c r="AZ586" s="125"/>
      <c r="BA586" s="125"/>
      <c r="BB586" s="125"/>
      <c r="BC586" s="125"/>
      <c r="BD586" s="125"/>
      <c r="BE586" s="125"/>
      <c r="BF586" s="125"/>
    </row>
    <row r="587" spans="1:58" ht="15.75" customHeight="1">
      <c r="A587" s="125"/>
      <c r="B587" s="125"/>
      <c r="C587" s="125"/>
      <c r="D587" s="125"/>
      <c r="E587" s="125"/>
      <c r="F587" s="125"/>
      <c r="G587" s="125"/>
      <c r="H587" s="125"/>
      <c r="I587" s="125"/>
      <c r="J587" s="125"/>
      <c r="K587" s="125"/>
      <c r="L587" s="125"/>
      <c r="M587" s="125"/>
      <c r="N587" s="125"/>
      <c r="O587" s="125"/>
      <c r="P587" s="125"/>
      <c r="Q587" s="125"/>
      <c r="R587" s="125"/>
      <c r="S587" s="125"/>
      <c r="T587" s="125"/>
      <c r="U587" s="125"/>
      <c r="V587" s="125"/>
      <c r="W587" s="125"/>
      <c r="X587" s="125"/>
      <c r="Y587" s="125"/>
      <c r="Z587" s="125"/>
      <c r="AA587" s="125"/>
      <c r="AB587" s="125"/>
      <c r="AC587" s="125"/>
      <c r="AD587" s="125"/>
      <c r="AE587" s="125"/>
      <c r="AF587" s="125"/>
      <c r="AG587" s="125"/>
      <c r="AH587" s="125"/>
      <c r="AI587" s="125"/>
      <c r="AJ587" s="125"/>
      <c r="AK587" s="125"/>
      <c r="AL587" s="125"/>
      <c r="AM587" s="125"/>
      <c r="AN587" s="125"/>
      <c r="AO587" s="125"/>
      <c r="AP587" s="125"/>
      <c r="AQ587" s="125"/>
      <c r="AR587" s="125"/>
      <c r="AS587" s="125"/>
      <c r="AT587" s="125"/>
      <c r="AU587" s="125"/>
      <c r="AV587" s="125"/>
      <c r="AW587" s="125"/>
      <c r="AX587" s="125"/>
      <c r="AY587" s="125"/>
      <c r="AZ587" s="125"/>
      <c r="BA587" s="125"/>
      <c r="BB587" s="125"/>
      <c r="BC587" s="125"/>
      <c r="BD587" s="125"/>
      <c r="BE587" s="125"/>
      <c r="BF587" s="125"/>
    </row>
    <row r="588" spans="1:58" ht="15.75" customHeight="1">
      <c r="A588" s="125"/>
      <c r="B588" s="125"/>
      <c r="C588" s="125"/>
      <c r="D588" s="125"/>
      <c r="E588" s="125"/>
      <c r="F588" s="125"/>
      <c r="G588" s="125"/>
      <c r="H588" s="125"/>
      <c r="I588" s="125"/>
      <c r="J588" s="125"/>
      <c r="K588" s="125"/>
      <c r="L588" s="125"/>
      <c r="M588" s="125"/>
      <c r="N588" s="125"/>
      <c r="O588" s="125"/>
      <c r="P588" s="125"/>
      <c r="Q588" s="125"/>
      <c r="R588" s="125"/>
      <c r="S588" s="125"/>
      <c r="T588" s="125"/>
      <c r="U588" s="125"/>
      <c r="V588" s="125"/>
      <c r="W588" s="125"/>
      <c r="X588" s="125"/>
      <c r="Y588" s="125"/>
      <c r="Z588" s="125"/>
      <c r="AA588" s="125"/>
      <c r="AB588" s="125"/>
      <c r="AC588" s="125"/>
      <c r="AD588" s="125"/>
      <c r="AE588" s="125"/>
      <c r="AF588" s="125"/>
      <c r="AG588" s="125"/>
      <c r="AH588" s="125"/>
      <c r="AI588" s="125"/>
      <c r="AJ588" s="125"/>
      <c r="AK588" s="125"/>
      <c r="AL588" s="125"/>
      <c r="AM588" s="125"/>
      <c r="AN588" s="125"/>
      <c r="AO588" s="125"/>
      <c r="AP588" s="125"/>
      <c r="AQ588" s="125"/>
      <c r="AR588" s="125"/>
      <c r="AS588" s="125"/>
      <c r="AT588" s="125"/>
      <c r="AU588" s="125"/>
      <c r="AV588" s="125"/>
      <c r="AW588" s="125"/>
      <c r="AX588" s="125"/>
      <c r="AY588" s="125"/>
      <c r="AZ588" s="125"/>
      <c r="BA588" s="125"/>
      <c r="BB588" s="125"/>
      <c r="BC588" s="125"/>
      <c r="BD588" s="125"/>
      <c r="BE588" s="125"/>
      <c r="BF588" s="125"/>
    </row>
    <row r="589" spans="1:58" ht="15.75" customHeight="1">
      <c r="A589" s="125"/>
      <c r="B589" s="125"/>
      <c r="C589" s="125"/>
      <c r="D589" s="125"/>
      <c r="E589" s="125"/>
      <c r="F589" s="125"/>
      <c r="G589" s="125"/>
      <c r="H589" s="125"/>
      <c r="I589" s="125"/>
      <c r="J589" s="125"/>
      <c r="K589" s="125"/>
      <c r="L589" s="125"/>
      <c r="M589" s="125"/>
      <c r="N589" s="125"/>
      <c r="O589" s="125"/>
      <c r="P589" s="125"/>
      <c r="Q589" s="125"/>
      <c r="R589" s="125"/>
      <c r="S589" s="125"/>
      <c r="T589" s="125"/>
      <c r="U589" s="125"/>
      <c r="V589" s="125"/>
      <c r="W589" s="125"/>
      <c r="X589" s="125"/>
      <c r="Y589" s="125"/>
      <c r="Z589" s="125"/>
      <c r="AA589" s="125"/>
      <c r="AB589" s="125"/>
      <c r="AC589" s="125"/>
      <c r="AD589" s="125"/>
      <c r="AE589" s="125"/>
      <c r="AF589" s="125"/>
      <c r="AG589" s="125"/>
      <c r="AH589" s="125"/>
      <c r="AI589" s="125"/>
      <c r="AJ589" s="125"/>
      <c r="AK589" s="125"/>
      <c r="AL589" s="125"/>
      <c r="AM589" s="125"/>
      <c r="AN589" s="125"/>
      <c r="AO589" s="125"/>
      <c r="AP589" s="125"/>
      <c r="AQ589" s="125"/>
      <c r="AR589" s="125"/>
      <c r="AS589" s="125"/>
      <c r="AT589" s="125"/>
      <c r="AU589" s="125"/>
      <c r="AV589" s="125"/>
      <c r="AW589" s="125"/>
      <c r="AX589" s="125"/>
      <c r="AY589" s="125"/>
      <c r="AZ589" s="125"/>
      <c r="BA589" s="125"/>
      <c r="BB589" s="125"/>
      <c r="BC589" s="125"/>
      <c r="BD589" s="125"/>
      <c r="BE589" s="125"/>
      <c r="BF589" s="125"/>
    </row>
    <row r="590" spans="1:58" ht="15.75" customHeight="1">
      <c r="A590" s="125"/>
      <c r="B590" s="125"/>
      <c r="C590" s="125"/>
      <c r="D590" s="125"/>
      <c r="E590" s="125"/>
      <c r="F590" s="125"/>
      <c r="G590" s="125"/>
      <c r="H590" s="125"/>
      <c r="I590" s="125"/>
      <c r="J590" s="125"/>
      <c r="K590" s="125"/>
      <c r="L590" s="125"/>
      <c r="M590" s="125"/>
      <c r="N590" s="125"/>
      <c r="O590" s="125"/>
      <c r="P590" s="125"/>
      <c r="Q590" s="125"/>
      <c r="R590" s="125"/>
      <c r="S590" s="125"/>
      <c r="T590" s="125"/>
      <c r="U590" s="125"/>
      <c r="V590" s="125"/>
      <c r="W590" s="125"/>
      <c r="X590" s="125"/>
      <c r="Y590" s="125"/>
      <c r="Z590" s="125"/>
      <c r="AA590" s="125"/>
      <c r="AB590" s="125"/>
      <c r="AC590" s="125"/>
      <c r="AD590" s="125"/>
      <c r="AE590" s="125"/>
      <c r="AF590" s="125"/>
      <c r="AG590" s="125"/>
      <c r="AH590" s="125"/>
      <c r="AI590" s="125"/>
      <c r="AJ590" s="125"/>
      <c r="AK590" s="125"/>
      <c r="AL590" s="125"/>
      <c r="AM590" s="125"/>
      <c r="AN590" s="125"/>
      <c r="AO590" s="125"/>
      <c r="AP590" s="125"/>
      <c r="AQ590" s="125"/>
      <c r="AR590" s="125"/>
      <c r="AS590" s="125"/>
      <c r="AT590" s="125"/>
      <c r="AU590" s="125"/>
      <c r="AV590" s="125"/>
      <c r="AW590" s="125"/>
      <c r="AX590" s="125"/>
      <c r="AY590" s="125"/>
      <c r="AZ590" s="125"/>
      <c r="BA590" s="125"/>
      <c r="BB590" s="125"/>
      <c r="BC590" s="125"/>
      <c r="BD590" s="125"/>
      <c r="BE590" s="125"/>
      <c r="BF590" s="125"/>
    </row>
    <row r="591" spans="1:58" ht="15.75" customHeight="1">
      <c r="A591" s="125"/>
      <c r="B591" s="125"/>
      <c r="C591" s="125"/>
      <c r="D591" s="125"/>
      <c r="E591" s="125"/>
      <c r="F591" s="125"/>
      <c r="G591" s="125"/>
      <c r="H591" s="125"/>
      <c r="I591" s="125"/>
      <c r="J591" s="125"/>
      <c r="K591" s="125"/>
      <c r="L591" s="125"/>
      <c r="M591" s="125"/>
      <c r="N591" s="125"/>
      <c r="O591" s="125"/>
      <c r="P591" s="125"/>
      <c r="Q591" s="125"/>
      <c r="R591" s="125"/>
      <c r="S591" s="125"/>
      <c r="T591" s="125"/>
      <c r="U591" s="125"/>
      <c r="V591" s="125"/>
      <c r="W591" s="125"/>
      <c r="X591" s="125"/>
      <c r="Y591" s="125"/>
      <c r="Z591" s="125"/>
      <c r="AA591" s="125"/>
      <c r="AB591" s="125"/>
      <c r="AC591" s="125"/>
      <c r="AD591" s="125"/>
      <c r="AE591" s="125"/>
      <c r="AF591" s="125"/>
      <c r="AG591" s="125"/>
      <c r="AH591" s="125"/>
      <c r="AI591" s="125"/>
      <c r="AJ591" s="125"/>
      <c r="AK591" s="125"/>
      <c r="AL591" s="125"/>
      <c r="AM591" s="125"/>
      <c r="AN591" s="125"/>
      <c r="AO591" s="125"/>
      <c r="AP591" s="125"/>
      <c r="AQ591" s="125"/>
      <c r="AR591" s="125"/>
      <c r="AS591" s="125"/>
      <c r="AT591" s="125"/>
      <c r="AU591" s="125"/>
      <c r="AV591" s="125"/>
      <c r="AW591" s="125"/>
      <c r="AX591" s="125"/>
      <c r="AY591" s="125"/>
      <c r="AZ591" s="125"/>
      <c r="BA591" s="125"/>
      <c r="BB591" s="125"/>
      <c r="BC591" s="125"/>
      <c r="BD591" s="125"/>
      <c r="BE591" s="125"/>
      <c r="BF591" s="125"/>
    </row>
    <row r="592" spans="1:58" ht="15.75" customHeight="1">
      <c r="A592" s="125"/>
      <c r="B592" s="125"/>
      <c r="C592" s="125"/>
      <c r="D592" s="125"/>
      <c r="E592" s="125"/>
      <c r="F592" s="125"/>
      <c r="G592" s="125"/>
      <c r="H592" s="125"/>
      <c r="I592" s="125"/>
      <c r="J592" s="125"/>
      <c r="K592" s="125"/>
      <c r="L592" s="125"/>
      <c r="M592" s="125"/>
      <c r="N592" s="125"/>
      <c r="O592" s="125"/>
      <c r="P592" s="125"/>
      <c r="Q592" s="125"/>
      <c r="R592" s="125"/>
      <c r="S592" s="125"/>
      <c r="T592" s="125"/>
      <c r="U592" s="125"/>
      <c r="V592" s="125"/>
      <c r="W592" s="125"/>
      <c r="X592" s="125"/>
      <c r="Y592" s="125"/>
      <c r="Z592" s="125"/>
      <c r="AA592" s="125"/>
      <c r="AB592" s="125"/>
      <c r="AC592" s="125"/>
      <c r="AD592" s="125"/>
      <c r="AE592" s="125"/>
      <c r="AF592" s="125"/>
      <c r="AG592" s="125"/>
      <c r="AH592" s="125"/>
      <c r="AI592" s="125"/>
      <c r="AJ592" s="125"/>
      <c r="AK592" s="125"/>
      <c r="AL592" s="125"/>
      <c r="AM592" s="125"/>
      <c r="AN592" s="125"/>
      <c r="AO592" s="125"/>
      <c r="AP592" s="125"/>
      <c r="AQ592" s="125"/>
      <c r="AR592" s="125"/>
      <c r="AS592" s="125"/>
      <c r="AT592" s="125"/>
      <c r="AU592" s="125"/>
      <c r="AV592" s="125"/>
      <c r="AW592" s="125"/>
      <c r="AX592" s="125"/>
      <c r="AY592" s="125"/>
      <c r="AZ592" s="125"/>
      <c r="BA592" s="125"/>
      <c r="BB592" s="125"/>
      <c r="BC592" s="125"/>
      <c r="BD592" s="125"/>
      <c r="BE592" s="125"/>
      <c r="BF592" s="125"/>
    </row>
    <row r="593" spans="1:58" ht="15.75" customHeight="1">
      <c r="A593" s="125"/>
      <c r="B593" s="125"/>
      <c r="C593" s="125"/>
      <c r="D593" s="125"/>
      <c r="E593" s="125"/>
      <c r="F593" s="125"/>
      <c r="G593" s="125"/>
      <c r="H593" s="125"/>
      <c r="I593" s="125"/>
      <c r="J593" s="125"/>
      <c r="K593" s="125"/>
      <c r="L593" s="125"/>
      <c r="M593" s="125"/>
      <c r="N593" s="125"/>
      <c r="O593" s="125"/>
      <c r="P593" s="125"/>
      <c r="Q593" s="125"/>
      <c r="R593" s="125"/>
      <c r="S593" s="125"/>
      <c r="T593" s="125"/>
      <c r="U593" s="125"/>
      <c r="V593" s="125"/>
      <c r="W593" s="125"/>
      <c r="X593" s="125"/>
      <c r="Y593" s="125"/>
      <c r="Z593" s="125"/>
      <c r="AA593" s="125"/>
      <c r="AB593" s="125"/>
      <c r="AC593" s="125"/>
      <c r="AD593" s="125"/>
      <c r="AE593" s="125"/>
      <c r="AF593" s="125"/>
      <c r="AG593" s="125"/>
      <c r="AH593" s="125"/>
      <c r="AI593" s="125"/>
      <c r="AJ593" s="125"/>
      <c r="AK593" s="125"/>
      <c r="AL593" s="125"/>
      <c r="AM593" s="125"/>
      <c r="AN593" s="125"/>
      <c r="AO593" s="125"/>
      <c r="AP593" s="125"/>
      <c r="AQ593" s="125"/>
      <c r="AR593" s="125"/>
      <c r="AS593" s="125"/>
      <c r="AT593" s="125"/>
      <c r="AU593" s="125"/>
      <c r="AV593" s="125"/>
      <c r="AW593" s="125"/>
      <c r="AX593" s="125"/>
      <c r="AY593" s="125"/>
      <c r="AZ593" s="125"/>
      <c r="BA593" s="125"/>
      <c r="BB593" s="125"/>
      <c r="BC593" s="125"/>
      <c r="BD593" s="125"/>
      <c r="BE593" s="125"/>
      <c r="BF593" s="125"/>
    </row>
    <row r="594" spans="1:58" ht="15.75" customHeight="1">
      <c r="A594" s="125"/>
      <c r="B594" s="125"/>
      <c r="C594" s="125"/>
      <c r="D594" s="125"/>
      <c r="E594" s="125"/>
      <c r="F594" s="125"/>
      <c r="G594" s="125"/>
      <c r="H594" s="125"/>
      <c r="I594" s="125"/>
      <c r="J594" s="125"/>
      <c r="K594" s="125"/>
      <c r="L594" s="125"/>
      <c r="M594" s="125"/>
      <c r="N594" s="125"/>
      <c r="O594" s="125"/>
      <c r="P594" s="125"/>
      <c r="Q594" s="125"/>
      <c r="R594" s="125"/>
      <c r="S594" s="125"/>
      <c r="T594" s="125"/>
      <c r="U594" s="125"/>
      <c r="V594" s="125"/>
      <c r="W594" s="125"/>
      <c r="X594" s="125"/>
      <c r="Y594" s="125"/>
      <c r="Z594" s="125"/>
      <c r="AA594" s="125"/>
      <c r="AB594" s="125"/>
      <c r="AC594" s="125"/>
      <c r="AD594" s="125"/>
      <c r="AE594" s="125"/>
      <c r="AF594" s="125"/>
      <c r="AG594" s="125"/>
      <c r="AH594" s="125"/>
      <c r="AI594" s="125"/>
      <c r="AJ594" s="125"/>
      <c r="AK594" s="125"/>
      <c r="AL594" s="125"/>
      <c r="AM594" s="125"/>
      <c r="AN594" s="125"/>
      <c r="AO594" s="125"/>
      <c r="AP594" s="125"/>
      <c r="AQ594" s="125"/>
      <c r="AR594" s="125"/>
      <c r="AS594" s="125"/>
      <c r="AT594" s="125"/>
      <c r="AU594" s="125"/>
      <c r="AV594" s="125"/>
      <c r="AW594" s="125"/>
      <c r="AX594" s="125"/>
      <c r="AY594" s="125"/>
      <c r="AZ594" s="125"/>
      <c r="BA594" s="125"/>
      <c r="BB594" s="125"/>
      <c r="BC594" s="125"/>
      <c r="BD594" s="125"/>
      <c r="BE594" s="125"/>
      <c r="BF594" s="125"/>
    </row>
    <row r="595" spans="1:58" ht="15.75" customHeight="1">
      <c r="A595" s="125"/>
      <c r="B595" s="125"/>
      <c r="C595" s="125"/>
      <c r="D595" s="125"/>
      <c r="E595" s="125"/>
      <c r="F595" s="125"/>
      <c r="G595" s="125"/>
      <c r="H595" s="125"/>
      <c r="I595" s="125"/>
      <c r="J595" s="125"/>
      <c r="K595" s="125"/>
      <c r="L595" s="125"/>
      <c r="M595" s="125"/>
      <c r="N595" s="125"/>
      <c r="O595" s="125"/>
      <c r="P595" s="125"/>
      <c r="Q595" s="125"/>
      <c r="R595" s="125"/>
      <c r="S595" s="125"/>
      <c r="T595" s="125"/>
      <c r="U595" s="125"/>
      <c r="V595" s="125"/>
      <c r="W595" s="125"/>
      <c r="X595" s="125"/>
      <c r="Y595" s="125"/>
      <c r="Z595" s="125"/>
      <c r="AA595" s="125"/>
      <c r="AB595" s="125"/>
      <c r="AC595" s="125"/>
      <c r="AD595" s="125"/>
      <c r="AE595" s="125"/>
      <c r="AF595" s="125"/>
      <c r="AG595" s="125"/>
      <c r="AH595" s="125"/>
      <c r="AI595" s="125"/>
      <c r="AJ595" s="125"/>
      <c r="AK595" s="125"/>
      <c r="AL595" s="125"/>
      <c r="AM595" s="125"/>
      <c r="AN595" s="125"/>
      <c r="AO595" s="125"/>
      <c r="AP595" s="125"/>
      <c r="AQ595" s="125"/>
      <c r="AR595" s="125"/>
      <c r="AS595" s="125"/>
      <c r="AT595" s="125"/>
      <c r="AU595" s="125"/>
      <c r="AV595" s="125"/>
      <c r="AW595" s="125"/>
      <c r="AX595" s="125"/>
      <c r="AY595" s="125"/>
      <c r="AZ595" s="125"/>
      <c r="BA595" s="125"/>
      <c r="BB595" s="125"/>
      <c r="BC595" s="125"/>
      <c r="BD595" s="125"/>
      <c r="BE595" s="125"/>
      <c r="BF595" s="125"/>
    </row>
    <row r="596" spans="1:58" ht="15.75" customHeight="1">
      <c r="A596" s="125"/>
      <c r="B596" s="125"/>
      <c r="C596" s="125"/>
      <c r="D596" s="125"/>
      <c r="E596" s="125"/>
      <c r="F596" s="125"/>
      <c r="G596" s="125"/>
      <c r="H596" s="125"/>
      <c r="I596" s="125"/>
      <c r="J596" s="125"/>
      <c r="K596" s="125"/>
      <c r="L596" s="125"/>
      <c r="M596" s="125"/>
      <c r="N596" s="125"/>
      <c r="O596" s="125"/>
      <c r="P596" s="125"/>
      <c r="Q596" s="125"/>
      <c r="R596" s="125"/>
      <c r="S596" s="125"/>
      <c r="T596" s="125"/>
      <c r="U596" s="125"/>
      <c r="V596" s="125"/>
      <c r="W596" s="125"/>
      <c r="X596" s="125"/>
      <c r="Y596" s="125"/>
      <c r="Z596" s="125"/>
      <c r="AA596" s="125"/>
      <c r="AB596" s="125"/>
      <c r="AC596" s="125"/>
      <c r="AD596" s="125"/>
      <c r="AE596" s="125"/>
      <c r="AF596" s="125"/>
      <c r="AG596" s="125"/>
      <c r="AH596" s="125"/>
      <c r="AI596" s="125"/>
      <c r="AJ596" s="125"/>
      <c r="AK596" s="125"/>
      <c r="AL596" s="125"/>
      <c r="AM596" s="125"/>
      <c r="AN596" s="125"/>
      <c r="AO596" s="125"/>
      <c r="AP596" s="125"/>
      <c r="AQ596" s="125"/>
      <c r="AR596" s="125"/>
      <c r="AS596" s="125"/>
      <c r="AT596" s="125"/>
      <c r="AU596" s="125"/>
      <c r="AV596" s="125"/>
      <c r="AW596" s="125"/>
      <c r="AX596" s="125"/>
      <c r="AY596" s="125"/>
      <c r="AZ596" s="125"/>
      <c r="BA596" s="125"/>
      <c r="BB596" s="125"/>
      <c r="BC596" s="125"/>
      <c r="BD596" s="125"/>
      <c r="BE596" s="125"/>
      <c r="BF596" s="125"/>
    </row>
    <row r="597" spans="1:58" ht="15.75" customHeight="1">
      <c r="A597" s="125"/>
      <c r="B597" s="125"/>
      <c r="C597" s="125"/>
      <c r="D597" s="125"/>
      <c r="E597" s="125"/>
      <c r="F597" s="125"/>
      <c r="G597" s="125"/>
      <c r="H597" s="125"/>
      <c r="I597" s="125"/>
      <c r="J597" s="125"/>
      <c r="K597" s="125"/>
      <c r="L597" s="125"/>
      <c r="M597" s="125"/>
      <c r="N597" s="125"/>
      <c r="O597" s="125"/>
      <c r="P597" s="125"/>
      <c r="Q597" s="125"/>
      <c r="R597" s="125"/>
      <c r="S597" s="125"/>
      <c r="T597" s="125"/>
      <c r="U597" s="125"/>
      <c r="V597" s="125"/>
      <c r="W597" s="125"/>
      <c r="X597" s="125"/>
      <c r="Y597" s="125"/>
      <c r="Z597" s="125"/>
      <c r="AA597" s="125"/>
      <c r="AB597" s="125"/>
      <c r="AC597" s="125"/>
      <c r="AD597" s="125"/>
      <c r="AE597" s="125"/>
      <c r="AF597" s="125"/>
      <c r="AG597" s="125"/>
      <c r="AH597" s="125"/>
      <c r="AI597" s="125"/>
      <c r="AJ597" s="125"/>
      <c r="AK597" s="125"/>
      <c r="AL597" s="125"/>
      <c r="AM597" s="125"/>
      <c r="AN597" s="125"/>
      <c r="AO597" s="125"/>
      <c r="AP597" s="125"/>
      <c r="AQ597" s="125"/>
      <c r="AR597" s="125"/>
      <c r="AS597" s="125"/>
      <c r="AT597" s="125"/>
      <c r="AU597" s="125"/>
      <c r="AV597" s="125"/>
      <c r="AW597" s="125"/>
      <c r="AX597" s="125"/>
      <c r="AY597" s="125"/>
      <c r="AZ597" s="125"/>
      <c r="BA597" s="125"/>
      <c r="BB597" s="125"/>
      <c r="BC597" s="125"/>
      <c r="BD597" s="125"/>
      <c r="BE597" s="125"/>
      <c r="BF597" s="125"/>
    </row>
    <row r="598" spans="1:58" ht="15.75" customHeight="1">
      <c r="A598" s="125"/>
      <c r="B598" s="125"/>
      <c r="C598" s="125"/>
      <c r="D598" s="125"/>
      <c r="E598" s="125"/>
      <c r="F598" s="125"/>
      <c r="G598" s="125"/>
      <c r="H598" s="125"/>
      <c r="I598" s="125"/>
      <c r="J598" s="125"/>
      <c r="K598" s="125"/>
      <c r="L598" s="125"/>
      <c r="M598" s="125"/>
      <c r="N598" s="125"/>
      <c r="O598" s="125"/>
      <c r="P598" s="125"/>
      <c r="Q598" s="125"/>
      <c r="R598" s="125"/>
      <c r="S598" s="125"/>
      <c r="T598" s="125"/>
      <c r="U598" s="125"/>
      <c r="V598" s="125"/>
      <c r="W598" s="125"/>
      <c r="X598" s="125"/>
      <c r="Y598" s="125"/>
      <c r="Z598" s="125"/>
      <c r="AA598" s="125"/>
      <c r="AB598" s="125"/>
      <c r="AC598" s="125"/>
      <c r="AD598" s="125"/>
      <c r="AE598" s="125"/>
      <c r="AF598" s="125"/>
      <c r="AG598" s="125"/>
      <c r="AH598" s="125"/>
      <c r="AI598" s="125"/>
      <c r="AJ598" s="125"/>
      <c r="AK598" s="125"/>
      <c r="AL598" s="125"/>
      <c r="AM598" s="125"/>
      <c r="AN598" s="125"/>
      <c r="AO598" s="125"/>
      <c r="AP598" s="125"/>
      <c r="AQ598" s="125"/>
      <c r="AR598" s="125"/>
      <c r="AS598" s="125"/>
      <c r="AT598" s="125"/>
      <c r="AU598" s="125"/>
      <c r="AV598" s="125"/>
      <c r="AW598" s="125"/>
      <c r="AX598" s="125"/>
      <c r="AY598" s="125"/>
      <c r="AZ598" s="125"/>
      <c r="BA598" s="125"/>
      <c r="BB598" s="125"/>
      <c r="BC598" s="125"/>
      <c r="BD598" s="125"/>
      <c r="BE598" s="125"/>
      <c r="BF598" s="125"/>
    </row>
    <row r="599" spans="1:58" ht="15.75" customHeight="1">
      <c r="A599" s="125"/>
      <c r="B599" s="125"/>
      <c r="C599" s="125"/>
      <c r="D599" s="125"/>
      <c r="E599" s="125"/>
      <c r="F599" s="125"/>
      <c r="G599" s="125"/>
      <c r="H599" s="125"/>
      <c r="I599" s="125"/>
      <c r="J599" s="125"/>
      <c r="K599" s="125"/>
      <c r="L599" s="125"/>
      <c r="M599" s="125"/>
      <c r="N599" s="125"/>
      <c r="O599" s="125"/>
      <c r="P599" s="125"/>
      <c r="Q599" s="125"/>
      <c r="R599" s="125"/>
      <c r="S599" s="125"/>
      <c r="T599" s="125"/>
      <c r="U599" s="125"/>
      <c r="V599" s="125"/>
      <c r="W599" s="125"/>
      <c r="X599" s="125"/>
      <c r="Y599" s="125"/>
      <c r="Z599" s="125"/>
      <c r="AA599" s="125"/>
      <c r="AB599" s="125"/>
      <c r="AC599" s="125"/>
      <c r="AD599" s="125"/>
      <c r="AE599" s="125"/>
      <c r="AF599" s="125"/>
      <c r="AG599" s="125"/>
      <c r="AH599" s="125"/>
      <c r="AI599" s="125"/>
      <c r="AJ599" s="125"/>
      <c r="AK599" s="125"/>
      <c r="AL599" s="125"/>
      <c r="AM599" s="125"/>
      <c r="AN599" s="125"/>
      <c r="AO599" s="125"/>
      <c r="AP599" s="125"/>
      <c r="AQ599" s="125"/>
      <c r="AR599" s="125"/>
      <c r="AS599" s="125"/>
      <c r="AT599" s="125"/>
      <c r="AU599" s="125"/>
      <c r="AV599" s="125"/>
      <c r="AW599" s="125"/>
      <c r="AX599" s="125"/>
      <c r="AY599" s="125"/>
      <c r="AZ599" s="125"/>
      <c r="BA599" s="125"/>
      <c r="BB599" s="125"/>
      <c r="BC599" s="125"/>
      <c r="BD599" s="125"/>
      <c r="BE599" s="125"/>
      <c r="BF599" s="125"/>
    </row>
    <row r="600" spans="1:58" ht="15.75" customHeight="1">
      <c r="A600" s="125"/>
      <c r="B600" s="125"/>
      <c r="C600" s="125"/>
      <c r="D600" s="125"/>
      <c r="E600" s="125"/>
      <c r="F600" s="125"/>
      <c r="G600" s="125"/>
      <c r="H600" s="125"/>
      <c r="I600" s="125"/>
      <c r="J600" s="125"/>
      <c r="K600" s="125"/>
      <c r="L600" s="125"/>
      <c r="M600" s="125"/>
      <c r="N600" s="125"/>
      <c r="O600" s="125"/>
      <c r="P600" s="125"/>
      <c r="Q600" s="125"/>
      <c r="R600" s="125"/>
      <c r="S600" s="125"/>
      <c r="T600" s="125"/>
      <c r="U600" s="125"/>
      <c r="V600" s="125"/>
      <c r="W600" s="125"/>
      <c r="X600" s="125"/>
      <c r="Y600" s="125"/>
      <c r="Z600" s="125"/>
      <c r="AA600" s="125"/>
      <c r="AB600" s="125"/>
      <c r="AC600" s="125"/>
      <c r="AD600" s="125"/>
      <c r="AE600" s="125"/>
      <c r="AF600" s="125"/>
      <c r="AG600" s="125"/>
      <c r="AH600" s="125"/>
      <c r="AI600" s="125"/>
      <c r="AJ600" s="125"/>
      <c r="AK600" s="125"/>
      <c r="AL600" s="125"/>
      <c r="AM600" s="125"/>
      <c r="AN600" s="125"/>
      <c r="AO600" s="125"/>
      <c r="AP600" s="125"/>
      <c r="AQ600" s="125"/>
      <c r="AR600" s="125"/>
      <c r="AS600" s="125"/>
      <c r="AT600" s="125"/>
      <c r="AU600" s="125"/>
      <c r="AV600" s="125"/>
      <c r="AW600" s="125"/>
      <c r="AX600" s="125"/>
      <c r="AY600" s="125"/>
      <c r="AZ600" s="125"/>
      <c r="BA600" s="125"/>
      <c r="BB600" s="125"/>
      <c r="BC600" s="125"/>
      <c r="BD600" s="125"/>
      <c r="BE600" s="125"/>
      <c r="BF600" s="125"/>
    </row>
    <row r="601" spans="1:58" ht="15.75" customHeight="1">
      <c r="A601" s="125"/>
      <c r="B601" s="125"/>
      <c r="C601" s="125"/>
      <c r="D601" s="125"/>
      <c r="E601" s="125"/>
      <c r="F601" s="125"/>
      <c r="G601" s="125"/>
      <c r="H601" s="125"/>
      <c r="I601" s="125"/>
      <c r="J601" s="125"/>
      <c r="K601" s="125"/>
      <c r="L601" s="125"/>
      <c r="M601" s="125"/>
      <c r="N601" s="125"/>
      <c r="O601" s="125"/>
      <c r="P601" s="125"/>
      <c r="Q601" s="125"/>
      <c r="R601" s="125"/>
      <c r="S601" s="125"/>
      <c r="T601" s="125"/>
      <c r="U601" s="125"/>
      <c r="V601" s="125"/>
      <c r="W601" s="125"/>
      <c r="X601" s="125"/>
      <c r="Y601" s="125"/>
      <c r="Z601" s="125"/>
      <c r="AA601" s="125"/>
      <c r="AB601" s="125"/>
      <c r="AC601" s="125"/>
      <c r="AD601" s="125"/>
      <c r="AE601" s="125"/>
      <c r="AF601" s="125"/>
      <c r="AG601" s="125"/>
      <c r="AH601" s="125"/>
      <c r="AI601" s="125"/>
      <c r="AJ601" s="125"/>
      <c r="AK601" s="125"/>
      <c r="AL601" s="125"/>
      <c r="AM601" s="125"/>
      <c r="AN601" s="125"/>
      <c r="AO601" s="125"/>
      <c r="AP601" s="125"/>
      <c r="AQ601" s="125"/>
      <c r="AR601" s="125"/>
      <c r="AS601" s="125"/>
      <c r="AT601" s="125"/>
      <c r="AU601" s="125"/>
      <c r="AV601" s="125"/>
      <c r="AW601" s="125"/>
      <c r="AX601" s="125"/>
      <c r="AY601" s="125"/>
      <c r="AZ601" s="125"/>
      <c r="BA601" s="125"/>
      <c r="BB601" s="125"/>
      <c r="BC601" s="125"/>
      <c r="BD601" s="125"/>
      <c r="BE601" s="125"/>
      <c r="BF601" s="125"/>
    </row>
    <row r="602" spans="1:58" ht="15.75" customHeight="1">
      <c r="A602" s="125"/>
      <c r="B602" s="125"/>
      <c r="C602" s="125"/>
      <c r="D602" s="125"/>
      <c r="E602" s="125"/>
      <c r="F602" s="125"/>
      <c r="G602" s="125"/>
      <c r="H602" s="125"/>
      <c r="I602" s="125"/>
      <c r="J602" s="125"/>
      <c r="K602" s="125"/>
      <c r="L602" s="125"/>
      <c r="M602" s="125"/>
      <c r="N602" s="125"/>
      <c r="O602" s="125"/>
      <c r="P602" s="125"/>
      <c r="Q602" s="125"/>
      <c r="R602" s="125"/>
      <c r="S602" s="125"/>
      <c r="T602" s="125"/>
      <c r="U602" s="125"/>
      <c r="V602" s="125"/>
      <c r="W602" s="125"/>
      <c r="X602" s="125"/>
      <c r="Y602" s="125"/>
      <c r="Z602" s="125"/>
      <c r="AA602" s="125"/>
      <c r="AB602" s="125"/>
      <c r="AC602" s="125"/>
      <c r="AD602" s="125"/>
      <c r="AE602" s="125"/>
      <c r="AF602" s="125"/>
      <c r="AG602" s="125"/>
      <c r="AH602" s="125"/>
      <c r="AI602" s="125"/>
      <c r="AJ602" s="125"/>
      <c r="AK602" s="125"/>
      <c r="AL602" s="125"/>
      <c r="AM602" s="125"/>
      <c r="AN602" s="125"/>
      <c r="AO602" s="125"/>
      <c r="AP602" s="125"/>
      <c r="AQ602" s="125"/>
      <c r="AR602" s="125"/>
      <c r="AS602" s="125"/>
      <c r="AT602" s="125"/>
      <c r="AU602" s="125"/>
      <c r="AV602" s="125"/>
      <c r="AW602" s="125"/>
      <c r="AX602" s="125"/>
      <c r="AY602" s="125"/>
      <c r="AZ602" s="125"/>
      <c r="BA602" s="125"/>
      <c r="BB602" s="125"/>
      <c r="BC602" s="125"/>
      <c r="BD602" s="125"/>
      <c r="BE602" s="125"/>
      <c r="BF602" s="125"/>
    </row>
    <row r="603" spans="1:58" ht="15.75" customHeight="1">
      <c r="A603" s="125"/>
      <c r="B603" s="125"/>
      <c r="C603" s="125"/>
      <c r="D603" s="125"/>
      <c r="E603" s="125"/>
      <c r="F603" s="125"/>
      <c r="G603" s="125"/>
      <c r="H603" s="125"/>
      <c r="I603" s="125"/>
      <c r="J603" s="125"/>
      <c r="K603" s="125"/>
      <c r="L603" s="125"/>
      <c r="M603" s="125"/>
      <c r="N603" s="125"/>
      <c r="O603" s="125"/>
      <c r="P603" s="125"/>
      <c r="Q603" s="125"/>
      <c r="R603" s="125"/>
      <c r="S603" s="125"/>
      <c r="T603" s="125"/>
      <c r="U603" s="125"/>
      <c r="V603" s="125"/>
      <c r="W603" s="125"/>
      <c r="X603" s="125"/>
      <c r="Y603" s="125"/>
      <c r="Z603" s="125"/>
      <c r="AA603" s="125"/>
      <c r="AB603" s="125"/>
      <c r="AC603" s="125"/>
      <c r="AD603" s="125"/>
      <c r="AE603" s="125"/>
      <c r="AF603" s="125"/>
      <c r="AG603" s="125"/>
      <c r="AH603" s="125"/>
      <c r="AI603" s="125"/>
      <c r="AJ603" s="125"/>
      <c r="AK603" s="125"/>
      <c r="AL603" s="125"/>
      <c r="AM603" s="125"/>
      <c r="AN603" s="125"/>
      <c r="AO603" s="125"/>
      <c r="AP603" s="125"/>
      <c r="AQ603" s="125"/>
      <c r="AR603" s="125"/>
      <c r="AS603" s="125"/>
      <c r="AT603" s="125"/>
      <c r="AU603" s="125"/>
      <c r="AV603" s="125"/>
      <c r="AW603" s="125"/>
      <c r="AX603" s="125"/>
      <c r="AY603" s="125"/>
      <c r="AZ603" s="125"/>
      <c r="BA603" s="125"/>
      <c r="BB603" s="125"/>
      <c r="BC603" s="125"/>
      <c r="BD603" s="125"/>
      <c r="BE603" s="125"/>
      <c r="BF603" s="125"/>
    </row>
    <row r="604" spans="1:58" ht="15.75" customHeight="1">
      <c r="A604" s="125"/>
      <c r="B604" s="125"/>
      <c r="C604" s="125"/>
      <c r="D604" s="125"/>
      <c r="E604" s="125"/>
      <c r="F604" s="125"/>
      <c r="G604" s="125"/>
      <c r="H604" s="125"/>
      <c r="I604" s="125"/>
      <c r="J604" s="125"/>
      <c r="K604" s="125"/>
      <c r="L604" s="125"/>
      <c r="M604" s="125"/>
      <c r="N604" s="125"/>
      <c r="O604" s="125"/>
      <c r="P604" s="125"/>
      <c r="Q604" s="125"/>
      <c r="R604" s="125"/>
      <c r="S604" s="125"/>
      <c r="T604" s="125"/>
      <c r="U604" s="125"/>
      <c r="V604" s="125"/>
      <c r="W604" s="125"/>
      <c r="X604" s="125"/>
      <c r="Y604" s="125"/>
      <c r="Z604" s="125"/>
      <c r="AA604" s="125"/>
      <c r="AB604" s="125"/>
      <c r="AC604" s="125"/>
      <c r="AD604" s="125"/>
      <c r="AE604" s="125"/>
      <c r="AF604" s="125"/>
      <c r="AG604" s="125"/>
      <c r="AH604" s="125"/>
      <c r="AI604" s="125"/>
      <c r="AJ604" s="125"/>
      <c r="AK604" s="125"/>
      <c r="AL604" s="125"/>
      <c r="AM604" s="125"/>
      <c r="AN604" s="125"/>
      <c r="AO604" s="125"/>
      <c r="AP604" s="125"/>
      <c r="AQ604" s="125"/>
      <c r="AR604" s="125"/>
      <c r="AS604" s="125"/>
      <c r="AT604" s="125"/>
      <c r="AU604" s="125"/>
      <c r="AV604" s="125"/>
      <c r="AW604" s="125"/>
      <c r="AX604" s="125"/>
      <c r="AY604" s="125"/>
      <c r="AZ604" s="125"/>
      <c r="BA604" s="125"/>
      <c r="BB604" s="125"/>
      <c r="BC604" s="125"/>
      <c r="BD604" s="125"/>
      <c r="BE604" s="125"/>
      <c r="BF604" s="125"/>
    </row>
    <row r="605" spans="1:58" ht="15.75" customHeight="1">
      <c r="A605" s="125"/>
      <c r="B605" s="125"/>
      <c r="C605" s="125"/>
      <c r="D605" s="125"/>
      <c r="E605" s="125"/>
      <c r="F605" s="125"/>
      <c r="G605" s="125"/>
      <c r="H605" s="125"/>
      <c r="I605" s="125"/>
      <c r="J605" s="125"/>
      <c r="K605" s="125"/>
      <c r="L605" s="125"/>
      <c r="M605" s="125"/>
      <c r="N605" s="125"/>
      <c r="O605" s="125"/>
      <c r="P605" s="125"/>
      <c r="Q605" s="125"/>
      <c r="R605" s="125"/>
      <c r="S605" s="125"/>
      <c r="T605" s="125"/>
      <c r="U605" s="125"/>
      <c r="V605" s="125"/>
      <c r="W605" s="125"/>
      <c r="X605" s="125"/>
      <c r="Y605" s="125"/>
      <c r="Z605" s="125"/>
      <c r="AA605" s="125"/>
      <c r="AB605" s="125"/>
      <c r="AC605" s="125"/>
      <c r="AD605" s="125"/>
      <c r="AE605" s="125"/>
      <c r="AF605" s="125"/>
      <c r="AG605" s="125"/>
      <c r="AH605" s="125"/>
      <c r="AI605" s="125"/>
      <c r="AJ605" s="125"/>
      <c r="AK605" s="125"/>
      <c r="AL605" s="125"/>
      <c r="AM605" s="125"/>
      <c r="AN605" s="125"/>
      <c r="AO605" s="125"/>
      <c r="AP605" s="125"/>
      <c r="AQ605" s="125"/>
      <c r="AR605" s="125"/>
      <c r="AS605" s="125"/>
      <c r="AT605" s="125"/>
      <c r="AU605" s="125"/>
      <c r="AV605" s="125"/>
      <c r="AW605" s="125"/>
      <c r="AX605" s="125"/>
      <c r="AY605" s="125"/>
      <c r="AZ605" s="125"/>
      <c r="BA605" s="125"/>
      <c r="BB605" s="125"/>
      <c r="BC605" s="125"/>
      <c r="BD605" s="125"/>
      <c r="BE605" s="125"/>
      <c r="BF605" s="125"/>
    </row>
    <row r="606" spans="1:58" ht="15.75" customHeight="1">
      <c r="A606" s="125"/>
      <c r="B606" s="125"/>
      <c r="C606" s="125"/>
      <c r="D606" s="125"/>
      <c r="E606" s="125"/>
      <c r="F606" s="125"/>
      <c r="G606" s="125"/>
      <c r="H606" s="125"/>
      <c r="I606" s="125"/>
      <c r="J606" s="125"/>
      <c r="K606" s="125"/>
      <c r="L606" s="125"/>
      <c r="M606" s="125"/>
      <c r="N606" s="125"/>
      <c r="O606" s="125"/>
      <c r="P606" s="125"/>
      <c r="Q606" s="125"/>
      <c r="R606" s="125"/>
      <c r="S606" s="125"/>
      <c r="T606" s="125"/>
      <c r="U606" s="125"/>
      <c r="V606" s="125"/>
      <c r="W606" s="125"/>
      <c r="X606" s="125"/>
      <c r="Y606" s="125"/>
      <c r="Z606" s="125"/>
      <c r="AA606" s="125"/>
      <c r="AB606" s="125"/>
      <c r="AC606" s="125"/>
      <c r="AD606" s="125"/>
      <c r="AE606" s="125"/>
      <c r="AF606" s="125"/>
      <c r="AG606" s="125"/>
      <c r="AH606" s="125"/>
      <c r="AI606" s="125"/>
      <c r="AJ606" s="125"/>
      <c r="AK606" s="125"/>
      <c r="AL606" s="125"/>
      <c r="AM606" s="125"/>
      <c r="AN606" s="125"/>
      <c r="AO606" s="125"/>
      <c r="AP606" s="125"/>
      <c r="AQ606" s="125"/>
      <c r="AR606" s="125"/>
      <c r="AS606" s="125"/>
      <c r="AT606" s="125"/>
      <c r="AU606" s="125"/>
      <c r="AV606" s="125"/>
      <c r="AW606" s="125"/>
      <c r="AX606" s="125"/>
      <c r="AY606" s="125"/>
      <c r="AZ606" s="125"/>
      <c r="BA606" s="125"/>
      <c r="BB606" s="125"/>
      <c r="BC606" s="125"/>
      <c r="BD606" s="125"/>
      <c r="BE606" s="125"/>
      <c r="BF606" s="125"/>
    </row>
    <row r="607" spans="1:58" ht="15.75" customHeight="1">
      <c r="A607" s="125"/>
      <c r="B607" s="125"/>
      <c r="C607" s="125"/>
      <c r="D607" s="125"/>
      <c r="E607" s="125"/>
      <c r="F607" s="125"/>
      <c r="G607" s="125"/>
      <c r="H607" s="125"/>
      <c r="I607" s="125"/>
      <c r="J607" s="125"/>
      <c r="K607" s="125"/>
      <c r="L607" s="125"/>
      <c r="M607" s="125"/>
      <c r="N607" s="125"/>
      <c r="O607" s="125"/>
      <c r="P607" s="125"/>
      <c r="Q607" s="125"/>
      <c r="R607" s="125"/>
      <c r="S607" s="125"/>
      <c r="T607" s="125"/>
      <c r="U607" s="125"/>
      <c r="V607" s="125"/>
      <c r="W607" s="125"/>
      <c r="X607" s="125"/>
      <c r="Y607" s="125"/>
      <c r="Z607" s="125"/>
      <c r="AA607" s="125"/>
      <c r="AB607" s="125"/>
      <c r="AC607" s="125"/>
      <c r="AD607" s="125"/>
      <c r="AE607" s="125"/>
      <c r="AF607" s="125"/>
      <c r="AG607" s="125"/>
      <c r="AH607" s="125"/>
      <c r="AI607" s="125"/>
      <c r="AJ607" s="125"/>
      <c r="AK607" s="125"/>
      <c r="AL607" s="125"/>
      <c r="AM607" s="125"/>
      <c r="AN607" s="125"/>
      <c r="AO607" s="125"/>
      <c r="AP607" s="125"/>
      <c r="AQ607" s="125"/>
      <c r="AR607" s="125"/>
      <c r="AS607" s="125"/>
      <c r="AT607" s="125"/>
      <c r="AU607" s="125"/>
      <c r="AV607" s="125"/>
      <c r="AW607" s="125"/>
      <c r="AX607" s="125"/>
      <c r="AY607" s="125"/>
      <c r="AZ607" s="125"/>
      <c r="BA607" s="125"/>
      <c r="BB607" s="125"/>
      <c r="BC607" s="125"/>
      <c r="BD607" s="125"/>
      <c r="BE607" s="125"/>
      <c r="BF607" s="125"/>
    </row>
    <row r="608" spans="1:58" ht="15.75" customHeight="1">
      <c r="A608" s="125"/>
      <c r="B608" s="125"/>
      <c r="C608" s="125"/>
      <c r="D608" s="125"/>
      <c r="E608" s="125"/>
      <c r="F608" s="125"/>
      <c r="G608" s="125"/>
      <c r="H608" s="125"/>
      <c r="I608" s="125"/>
      <c r="J608" s="125"/>
      <c r="K608" s="125"/>
      <c r="L608" s="125"/>
      <c r="M608" s="125"/>
      <c r="N608" s="125"/>
      <c r="O608" s="125"/>
      <c r="P608" s="125"/>
      <c r="Q608" s="125"/>
      <c r="R608" s="125"/>
      <c r="S608" s="125"/>
      <c r="T608" s="125"/>
      <c r="U608" s="125"/>
      <c r="V608" s="125"/>
      <c r="W608" s="125"/>
      <c r="X608" s="125"/>
      <c r="Y608" s="125"/>
      <c r="Z608" s="125"/>
      <c r="AA608" s="125"/>
      <c r="AB608" s="125"/>
      <c r="AC608" s="125"/>
      <c r="AD608" s="125"/>
      <c r="AE608" s="125"/>
      <c r="AF608" s="125"/>
      <c r="AG608" s="125"/>
      <c r="AH608" s="125"/>
      <c r="AI608" s="125"/>
      <c r="AJ608" s="125"/>
      <c r="AK608" s="125"/>
      <c r="AL608" s="125"/>
      <c r="AM608" s="125"/>
      <c r="AN608" s="125"/>
      <c r="AO608" s="125"/>
      <c r="AP608" s="125"/>
      <c r="AQ608" s="125"/>
      <c r="AR608" s="125"/>
      <c r="AS608" s="125"/>
      <c r="AT608" s="125"/>
      <c r="AU608" s="125"/>
      <c r="AV608" s="125"/>
      <c r="AW608" s="125"/>
      <c r="AX608" s="125"/>
      <c r="AY608" s="125"/>
      <c r="AZ608" s="125"/>
      <c r="BA608" s="125"/>
      <c r="BB608" s="125"/>
      <c r="BC608" s="125"/>
      <c r="BD608" s="125"/>
      <c r="BE608" s="125"/>
      <c r="BF608" s="125"/>
    </row>
    <row r="609" spans="1:58" ht="15.75" customHeight="1">
      <c r="A609" s="125"/>
      <c r="B609" s="125"/>
      <c r="C609" s="125"/>
      <c r="D609" s="125"/>
      <c r="E609" s="125"/>
      <c r="F609" s="125"/>
      <c r="G609" s="125"/>
      <c r="H609" s="125"/>
      <c r="I609" s="125"/>
      <c r="J609" s="125"/>
      <c r="K609" s="125"/>
      <c r="L609" s="125"/>
      <c r="M609" s="125"/>
      <c r="N609" s="125"/>
      <c r="O609" s="125"/>
      <c r="P609" s="125"/>
      <c r="Q609" s="125"/>
      <c r="R609" s="125"/>
      <c r="S609" s="125"/>
      <c r="T609" s="125"/>
      <c r="U609" s="125"/>
      <c r="V609" s="125"/>
      <c r="W609" s="125"/>
      <c r="X609" s="125"/>
      <c r="Y609" s="125"/>
      <c r="Z609" s="125"/>
      <c r="AA609" s="125"/>
      <c r="AB609" s="125"/>
      <c r="AC609" s="125"/>
      <c r="AD609" s="125"/>
      <c r="AE609" s="125"/>
      <c r="AF609" s="125"/>
      <c r="AG609" s="125"/>
      <c r="AH609" s="125"/>
      <c r="AI609" s="125"/>
      <c r="AJ609" s="125"/>
      <c r="AK609" s="125"/>
      <c r="AL609" s="125"/>
      <c r="AM609" s="125"/>
      <c r="AN609" s="125"/>
      <c r="AO609" s="125"/>
      <c r="AP609" s="125"/>
      <c r="AQ609" s="125"/>
      <c r="AR609" s="125"/>
      <c r="AS609" s="125"/>
      <c r="AT609" s="125"/>
      <c r="AU609" s="125"/>
      <c r="AV609" s="125"/>
      <c r="AW609" s="125"/>
      <c r="AX609" s="125"/>
      <c r="AY609" s="125"/>
      <c r="AZ609" s="125"/>
      <c r="BA609" s="125"/>
      <c r="BB609" s="125"/>
      <c r="BC609" s="125"/>
      <c r="BD609" s="125"/>
      <c r="BE609" s="125"/>
      <c r="BF609" s="125"/>
    </row>
    <row r="610" spans="1:58" ht="15.75" customHeight="1">
      <c r="A610" s="125"/>
      <c r="B610" s="125"/>
      <c r="C610" s="125"/>
      <c r="D610" s="125"/>
      <c r="E610" s="125"/>
      <c r="F610" s="125"/>
      <c r="G610" s="125"/>
      <c r="H610" s="125"/>
      <c r="I610" s="125"/>
      <c r="J610" s="125"/>
      <c r="K610" s="125"/>
      <c r="L610" s="125"/>
      <c r="M610" s="125"/>
      <c r="N610" s="125"/>
      <c r="O610" s="125"/>
      <c r="P610" s="125"/>
      <c r="Q610" s="125"/>
      <c r="R610" s="125"/>
      <c r="S610" s="125"/>
      <c r="T610" s="125"/>
      <c r="U610" s="125"/>
      <c r="V610" s="125"/>
      <c r="W610" s="125"/>
      <c r="X610" s="125"/>
      <c r="Y610" s="125"/>
      <c r="Z610" s="125"/>
      <c r="AA610" s="125"/>
      <c r="AB610" s="125"/>
      <c r="AC610" s="125"/>
      <c r="AD610" s="125"/>
      <c r="AE610" s="125"/>
      <c r="AF610" s="125"/>
      <c r="AG610" s="125"/>
      <c r="AH610" s="125"/>
      <c r="AI610" s="125"/>
      <c r="AJ610" s="125"/>
      <c r="AK610" s="125"/>
      <c r="AL610" s="125"/>
      <c r="AM610" s="125"/>
      <c r="AN610" s="125"/>
      <c r="AO610" s="125"/>
      <c r="AP610" s="125"/>
      <c r="AQ610" s="125"/>
      <c r="AR610" s="125"/>
      <c r="AS610" s="125"/>
      <c r="AT610" s="125"/>
      <c r="AU610" s="125"/>
      <c r="AV610" s="125"/>
      <c r="AW610" s="125"/>
      <c r="AX610" s="125"/>
      <c r="AY610" s="125"/>
      <c r="AZ610" s="125"/>
      <c r="BA610" s="125"/>
      <c r="BB610" s="125"/>
      <c r="BC610" s="125"/>
      <c r="BD610" s="125"/>
      <c r="BE610" s="125"/>
      <c r="BF610" s="125"/>
    </row>
    <row r="611" spans="1:58" ht="15.75" customHeight="1">
      <c r="A611" s="125"/>
      <c r="B611" s="125"/>
      <c r="C611" s="125"/>
      <c r="D611" s="125"/>
      <c r="E611" s="125"/>
      <c r="F611" s="125"/>
      <c r="G611" s="125"/>
      <c r="H611" s="125"/>
      <c r="I611" s="125"/>
      <c r="J611" s="125"/>
      <c r="K611" s="125"/>
      <c r="L611" s="125"/>
      <c r="M611" s="125"/>
      <c r="N611" s="125"/>
      <c r="O611" s="125"/>
      <c r="P611" s="125"/>
      <c r="Q611" s="125"/>
      <c r="R611" s="125"/>
      <c r="S611" s="125"/>
      <c r="T611" s="125"/>
      <c r="U611" s="125"/>
      <c r="V611" s="125"/>
      <c r="W611" s="125"/>
      <c r="X611" s="125"/>
      <c r="Y611" s="125"/>
      <c r="Z611" s="125"/>
      <c r="AA611" s="125"/>
      <c r="AB611" s="125"/>
      <c r="AC611" s="125"/>
      <c r="AD611" s="125"/>
      <c r="AE611" s="125"/>
      <c r="AF611" s="125"/>
      <c r="AG611" s="125"/>
      <c r="AH611" s="125"/>
      <c r="AI611" s="125"/>
      <c r="AJ611" s="125"/>
      <c r="AK611" s="125"/>
      <c r="AL611" s="125"/>
      <c r="AM611" s="125"/>
      <c r="AN611" s="125"/>
      <c r="AO611" s="125"/>
      <c r="AP611" s="125"/>
      <c r="AQ611" s="125"/>
      <c r="AR611" s="125"/>
      <c r="AS611" s="125"/>
      <c r="AT611" s="125"/>
      <c r="AU611" s="125"/>
      <c r="AV611" s="125"/>
      <c r="AW611" s="125"/>
      <c r="AX611" s="125"/>
      <c r="AY611" s="125"/>
      <c r="AZ611" s="125"/>
      <c r="BA611" s="125"/>
      <c r="BB611" s="125"/>
      <c r="BC611" s="125"/>
      <c r="BD611" s="125"/>
      <c r="BE611" s="125"/>
      <c r="BF611" s="125"/>
    </row>
    <row r="612" spans="1:58" ht="15.75" customHeight="1">
      <c r="A612" s="125"/>
      <c r="B612" s="125"/>
      <c r="C612" s="125"/>
      <c r="D612" s="125"/>
      <c r="E612" s="125"/>
      <c r="F612" s="125"/>
      <c r="G612" s="125"/>
      <c r="H612" s="125"/>
      <c r="I612" s="125"/>
      <c r="J612" s="125"/>
      <c r="K612" s="125"/>
      <c r="L612" s="125"/>
      <c r="M612" s="125"/>
      <c r="N612" s="125"/>
      <c r="O612" s="125"/>
      <c r="P612" s="125"/>
      <c r="Q612" s="125"/>
      <c r="R612" s="125"/>
      <c r="S612" s="125"/>
      <c r="T612" s="125"/>
      <c r="U612" s="125"/>
      <c r="V612" s="125"/>
      <c r="W612" s="125"/>
      <c r="X612" s="125"/>
      <c r="Y612" s="125"/>
      <c r="Z612" s="125"/>
      <c r="AA612" s="125"/>
      <c r="AB612" s="125"/>
      <c r="AC612" s="125"/>
      <c r="AD612" s="125"/>
      <c r="AE612" s="125"/>
      <c r="AF612" s="125"/>
      <c r="AG612" s="125"/>
      <c r="AH612" s="125"/>
      <c r="AI612" s="125"/>
      <c r="AJ612" s="125"/>
      <c r="AK612" s="125"/>
      <c r="AL612" s="125"/>
      <c r="AM612" s="125"/>
      <c r="AN612" s="125"/>
      <c r="AO612" s="125"/>
      <c r="AP612" s="125"/>
      <c r="AQ612" s="125"/>
      <c r="AR612" s="125"/>
      <c r="AS612" s="125"/>
      <c r="AT612" s="125"/>
      <c r="AU612" s="125"/>
      <c r="AV612" s="125"/>
      <c r="AW612" s="125"/>
      <c r="AX612" s="125"/>
      <c r="AY612" s="125"/>
      <c r="AZ612" s="125"/>
      <c r="BA612" s="125"/>
      <c r="BB612" s="125"/>
      <c r="BC612" s="125"/>
      <c r="BD612" s="125"/>
      <c r="BE612" s="125"/>
      <c r="BF612" s="125"/>
    </row>
    <row r="613" spans="1:58" ht="15.75" customHeight="1">
      <c r="A613" s="125"/>
      <c r="B613" s="125"/>
      <c r="C613" s="125"/>
      <c r="D613" s="125"/>
      <c r="E613" s="125"/>
      <c r="F613" s="125"/>
      <c r="G613" s="125"/>
      <c r="H613" s="125"/>
      <c r="I613" s="125"/>
      <c r="J613" s="125"/>
      <c r="K613" s="125"/>
      <c r="L613" s="125"/>
      <c r="M613" s="125"/>
      <c r="N613" s="125"/>
      <c r="O613" s="125"/>
      <c r="P613" s="125"/>
      <c r="Q613" s="125"/>
      <c r="R613" s="125"/>
      <c r="S613" s="125"/>
      <c r="T613" s="125"/>
      <c r="U613" s="125"/>
      <c r="V613" s="125"/>
      <c r="W613" s="125"/>
      <c r="X613" s="125"/>
      <c r="Y613" s="125"/>
      <c r="Z613" s="125"/>
      <c r="AA613" s="125"/>
      <c r="AB613" s="125"/>
      <c r="AC613" s="125"/>
      <c r="AD613" s="125"/>
      <c r="AE613" s="125"/>
      <c r="AF613" s="125"/>
      <c r="AG613" s="125"/>
      <c r="AH613" s="125"/>
      <c r="AI613" s="125"/>
      <c r="AJ613" s="125"/>
      <c r="AK613" s="125"/>
      <c r="AL613" s="125"/>
      <c r="AM613" s="125"/>
      <c r="AN613" s="125"/>
      <c r="AO613" s="125"/>
      <c r="AP613" s="125"/>
      <c r="AQ613" s="125"/>
      <c r="AR613" s="125"/>
      <c r="AS613" s="125"/>
      <c r="AT613" s="125"/>
      <c r="AU613" s="125"/>
      <c r="AV613" s="125"/>
      <c r="AW613" s="125"/>
      <c r="AX613" s="125"/>
      <c r="AY613" s="125"/>
      <c r="AZ613" s="125"/>
      <c r="BA613" s="125"/>
      <c r="BB613" s="125"/>
      <c r="BC613" s="125"/>
      <c r="BD613" s="125"/>
      <c r="BE613" s="125"/>
      <c r="BF613" s="125"/>
    </row>
    <row r="614" spans="1:58" ht="15.75" customHeight="1">
      <c r="A614" s="125"/>
      <c r="B614" s="125"/>
      <c r="C614" s="125"/>
      <c r="D614" s="125"/>
      <c r="E614" s="125"/>
      <c r="F614" s="125"/>
      <c r="G614" s="125"/>
      <c r="H614" s="125"/>
      <c r="I614" s="125"/>
      <c r="J614" s="125"/>
      <c r="K614" s="125"/>
      <c r="L614" s="125"/>
      <c r="M614" s="125"/>
      <c r="N614" s="125"/>
      <c r="O614" s="125"/>
      <c r="P614" s="125"/>
      <c r="Q614" s="125"/>
      <c r="R614" s="125"/>
      <c r="S614" s="125"/>
      <c r="T614" s="125"/>
      <c r="U614" s="125"/>
      <c r="V614" s="125"/>
      <c r="W614" s="125"/>
      <c r="X614" s="125"/>
      <c r="Y614" s="125"/>
      <c r="Z614" s="125"/>
      <c r="AA614" s="125"/>
      <c r="AB614" s="125"/>
      <c r="AC614" s="125"/>
      <c r="AD614" s="125"/>
      <c r="AE614" s="125"/>
      <c r="AF614" s="125"/>
      <c r="AG614" s="125"/>
      <c r="AH614" s="125"/>
      <c r="AI614" s="125"/>
      <c r="AJ614" s="125"/>
      <c r="AK614" s="125"/>
      <c r="AL614" s="125"/>
      <c r="AM614" s="125"/>
      <c r="AN614" s="125"/>
      <c r="AO614" s="125"/>
      <c r="AP614" s="125"/>
      <c r="AQ614" s="125"/>
      <c r="AR614" s="125"/>
      <c r="AS614" s="125"/>
      <c r="AT614" s="125"/>
      <c r="AU614" s="125"/>
      <c r="AV614" s="125"/>
      <c r="AW614" s="125"/>
      <c r="AX614" s="125"/>
      <c r="AY614" s="125"/>
      <c r="AZ614" s="125"/>
      <c r="BA614" s="125"/>
      <c r="BB614" s="125"/>
      <c r="BC614" s="125"/>
      <c r="BD614" s="125"/>
      <c r="BE614" s="125"/>
      <c r="BF614" s="125"/>
    </row>
    <row r="615" spans="1:58" ht="15.75" customHeight="1">
      <c r="A615" s="125"/>
      <c r="B615" s="125"/>
      <c r="C615" s="125"/>
      <c r="D615" s="125"/>
      <c r="E615" s="125"/>
      <c r="F615" s="125"/>
      <c r="G615" s="125"/>
      <c r="H615" s="125"/>
      <c r="I615" s="125"/>
      <c r="J615" s="125"/>
      <c r="K615" s="125"/>
      <c r="L615" s="125"/>
      <c r="M615" s="125"/>
      <c r="N615" s="125"/>
      <c r="O615" s="125"/>
      <c r="P615" s="125"/>
      <c r="Q615" s="125"/>
      <c r="R615" s="125"/>
      <c r="S615" s="125"/>
      <c r="T615" s="125"/>
      <c r="U615" s="125"/>
      <c r="V615" s="125"/>
      <c r="W615" s="125"/>
      <c r="X615" s="125"/>
      <c r="Y615" s="125"/>
      <c r="Z615" s="125"/>
      <c r="AA615" s="125"/>
      <c r="AB615" s="125"/>
      <c r="AC615" s="125"/>
      <c r="AD615" s="125"/>
      <c r="AE615" s="125"/>
      <c r="AF615" s="125"/>
      <c r="AG615" s="125"/>
      <c r="AH615" s="125"/>
      <c r="AI615" s="125"/>
      <c r="AJ615" s="125"/>
      <c r="AK615" s="125"/>
      <c r="AL615" s="125"/>
      <c r="AM615" s="125"/>
      <c r="AN615" s="125"/>
      <c r="AO615" s="125"/>
      <c r="AP615" s="125"/>
      <c r="AQ615" s="125"/>
      <c r="AR615" s="125"/>
      <c r="AS615" s="125"/>
      <c r="AT615" s="125"/>
      <c r="AU615" s="125"/>
      <c r="AV615" s="125"/>
      <c r="AW615" s="125"/>
      <c r="AX615" s="125"/>
      <c r="AY615" s="125"/>
      <c r="AZ615" s="125"/>
      <c r="BA615" s="125"/>
      <c r="BB615" s="125"/>
      <c r="BC615" s="125"/>
      <c r="BD615" s="125"/>
      <c r="BE615" s="125"/>
      <c r="BF615" s="125"/>
    </row>
    <row r="616" spans="1:58" ht="15.75" customHeight="1">
      <c r="A616" s="125"/>
      <c r="B616" s="125"/>
      <c r="C616" s="125"/>
      <c r="D616" s="125"/>
      <c r="E616" s="125"/>
      <c r="F616" s="125"/>
      <c r="G616" s="125"/>
      <c r="H616" s="125"/>
      <c r="I616" s="125"/>
      <c r="J616" s="125"/>
      <c r="K616" s="125"/>
      <c r="L616" s="125"/>
      <c r="M616" s="125"/>
      <c r="N616" s="125"/>
      <c r="O616" s="125"/>
      <c r="P616" s="125"/>
      <c r="Q616" s="125"/>
      <c r="R616" s="125"/>
      <c r="S616" s="125"/>
      <c r="T616" s="125"/>
      <c r="U616" s="125"/>
      <c r="V616" s="125"/>
      <c r="W616" s="125"/>
      <c r="X616" s="125"/>
      <c r="Y616" s="125"/>
      <c r="Z616" s="125"/>
      <c r="AA616" s="125"/>
      <c r="AB616" s="125"/>
      <c r="AC616" s="125"/>
      <c r="AD616" s="125"/>
      <c r="AE616" s="125"/>
      <c r="AF616" s="125"/>
      <c r="AG616" s="125"/>
      <c r="AH616" s="125"/>
      <c r="AI616" s="125"/>
      <c r="AJ616" s="125"/>
      <c r="AK616" s="125"/>
      <c r="AL616" s="125"/>
      <c r="AM616" s="125"/>
      <c r="AN616" s="125"/>
      <c r="AO616" s="125"/>
      <c r="AP616" s="125"/>
      <c r="AQ616" s="125"/>
      <c r="AR616" s="125"/>
      <c r="AS616" s="125"/>
      <c r="AT616" s="125"/>
      <c r="AU616" s="125"/>
      <c r="AV616" s="125"/>
      <c r="AW616" s="125"/>
      <c r="AX616" s="125"/>
      <c r="AY616" s="125"/>
      <c r="AZ616" s="125"/>
      <c r="BA616" s="125"/>
      <c r="BB616" s="125"/>
      <c r="BC616" s="125"/>
      <c r="BD616" s="125"/>
      <c r="BE616" s="125"/>
      <c r="BF616" s="125"/>
    </row>
    <row r="617" spans="1:58" ht="15.75" customHeight="1">
      <c r="A617" s="125"/>
      <c r="B617" s="125"/>
      <c r="C617" s="125"/>
      <c r="D617" s="125"/>
      <c r="E617" s="125"/>
      <c r="F617" s="125"/>
      <c r="G617" s="125"/>
      <c r="H617" s="125"/>
      <c r="I617" s="125"/>
      <c r="J617" s="125"/>
      <c r="K617" s="125"/>
      <c r="L617" s="125"/>
      <c r="M617" s="125"/>
      <c r="N617" s="125"/>
      <c r="O617" s="125"/>
      <c r="P617" s="125"/>
      <c r="Q617" s="125"/>
      <c r="R617" s="125"/>
      <c r="S617" s="125"/>
      <c r="T617" s="125"/>
      <c r="U617" s="125"/>
      <c r="V617" s="125"/>
      <c r="W617" s="125"/>
      <c r="X617" s="125"/>
      <c r="Y617" s="125"/>
      <c r="Z617" s="125"/>
      <c r="AA617" s="125"/>
      <c r="AB617" s="125"/>
      <c r="AC617" s="125"/>
      <c r="AD617" s="125"/>
      <c r="AE617" s="125"/>
      <c r="AF617" s="125"/>
      <c r="AG617" s="125"/>
      <c r="AH617" s="125"/>
      <c r="AI617" s="125"/>
      <c r="AJ617" s="125"/>
      <c r="AK617" s="125"/>
      <c r="AL617" s="125"/>
      <c r="AM617" s="125"/>
      <c r="AN617" s="125"/>
      <c r="AO617" s="125"/>
      <c r="AP617" s="125"/>
      <c r="AQ617" s="125"/>
      <c r="AR617" s="125"/>
      <c r="AS617" s="125"/>
      <c r="AT617" s="125"/>
      <c r="AU617" s="125"/>
      <c r="AV617" s="125"/>
      <c r="AW617" s="125"/>
      <c r="AX617" s="125"/>
      <c r="AY617" s="125"/>
      <c r="AZ617" s="125"/>
      <c r="BA617" s="125"/>
      <c r="BB617" s="125"/>
      <c r="BC617" s="125"/>
      <c r="BD617" s="125"/>
      <c r="BE617" s="125"/>
      <c r="BF617" s="125"/>
    </row>
    <row r="618" spans="1:58" ht="15.75" customHeight="1">
      <c r="A618" s="125"/>
      <c r="B618" s="125"/>
      <c r="C618" s="125"/>
      <c r="D618" s="125"/>
      <c r="E618" s="125"/>
      <c r="F618" s="125"/>
      <c r="G618" s="125"/>
      <c r="H618" s="125"/>
      <c r="I618" s="125"/>
      <c r="J618" s="125"/>
      <c r="K618" s="125"/>
      <c r="L618" s="125"/>
      <c r="M618" s="125"/>
      <c r="N618" s="125"/>
      <c r="O618" s="125"/>
      <c r="P618" s="125"/>
      <c r="Q618" s="125"/>
      <c r="R618" s="125"/>
      <c r="S618" s="125"/>
      <c r="T618" s="125"/>
      <c r="U618" s="125"/>
      <c r="V618" s="125"/>
      <c r="W618" s="125"/>
      <c r="X618" s="125"/>
      <c r="Y618" s="125"/>
      <c r="Z618" s="125"/>
      <c r="AA618" s="125"/>
      <c r="AB618" s="125"/>
      <c r="AC618" s="125"/>
      <c r="AD618" s="125"/>
      <c r="AE618" s="125"/>
      <c r="AF618" s="125"/>
      <c r="AG618" s="125"/>
      <c r="AH618" s="125"/>
      <c r="AI618" s="125"/>
      <c r="AJ618" s="125"/>
      <c r="AK618" s="125"/>
      <c r="AL618" s="125"/>
      <c r="AM618" s="125"/>
      <c r="AN618" s="125"/>
      <c r="AO618" s="125"/>
      <c r="AP618" s="125"/>
      <c r="AQ618" s="125"/>
      <c r="AR618" s="125"/>
      <c r="AS618" s="125"/>
      <c r="AT618" s="125"/>
      <c r="AU618" s="125"/>
      <c r="AV618" s="125"/>
      <c r="AW618" s="125"/>
      <c r="AX618" s="125"/>
      <c r="AY618" s="125"/>
      <c r="AZ618" s="125"/>
      <c r="BA618" s="125"/>
      <c r="BB618" s="125"/>
      <c r="BC618" s="125"/>
      <c r="BD618" s="125"/>
      <c r="BE618" s="125"/>
      <c r="BF618" s="125"/>
    </row>
    <row r="619" spans="1:58" ht="15.75" customHeight="1">
      <c r="A619" s="125"/>
      <c r="B619" s="125"/>
      <c r="C619" s="125"/>
      <c r="D619" s="125"/>
      <c r="E619" s="125"/>
      <c r="F619" s="125"/>
      <c r="G619" s="125"/>
      <c r="H619" s="125"/>
      <c r="I619" s="125"/>
      <c r="J619" s="125"/>
      <c r="K619" s="125"/>
      <c r="L619" s="125"/>
      <c r="M619" s="125"/>
      <c r="N619" s="125"/>
      <c r="O619" s="125"/>
      <c r="P619" s="125"/>
      <c r="Q619" s="125"/>
      <c r="R619" s="125"/>
      <c r="S619" s="125"/>
      <c r="T619" s="125"/>
      <c r="U619" s="125"/>
      <c r="V619" s="125"/>
      <c r="W619" s="125"/>
      <c r="X619" s="125"/>
      <c r="Y619" s="125"/>
      <c r="Z619" s="125"/>
      <c r="AA619" s="125"/>
      <c r="AB619" s="125"/>
      <c r="AC619" s="125"/>
      <c r="AD619" s="125"/>
      <c r="AE619" s="125"/>
      <c r="AF619" s="125"/>
      <c r="AG619" s="125"/>
      <c r="AH619" s="125"/>
      <c r="AI619" s="125"/>
      <c r="AJ619" s="125"/>
      <c r="AK619" s="125"/>
      <c r="AL619" s="125"/>
      <c r="AM619" s="125"/>
      <c r="AN619" s="125"/>
      <c r="AO619" s="125"/>
      <c r="AP619" s="125"/>
      <c r="AQ619" s="125"/>
      <c r="AR619" s="125"/>
      <c r="AS619" s="125"/>
      <c r="AT619" s="125"/>
      <c r="AU619" s="125"/>
      <c r="AV619" s="125"/>
      <c r="AW619" s="125"/>
      <c r="AX619" s="125"/>
      <c r="AY619" s="125"/>
      <c r="AZ619" s="125"/>
      <c r="BA619" s="125"/>
      <c r="BB619" s="125"/>
      <c r="BC619" s="125"/>
      <c r="BD619" s="125"/>
      <c r="BE619" s="125"/>
      <c r="BF619" s="125"/>
    </row>
    <row r="620" spans="1:58" ht="15.75" customHeight="1">
      <c r="A620" s="125"/>
      <c r="B620" s="125"/>
      <c r="C620" s="125"/>
      <c r="D620" s="125"/>
      <c r="E620" s="125"/>
      <c r="F620" s="125"/>
      <c r="G620" s="125"/>
      <c r="H620" s="125"/>
      <c r="I620" s="125"/>
      <c r="J620" s="125"/>
      <c r="K620" s="125"/>
      <c r="L620" s="125"/>
      <c r="M620" s="125"/>
      <c r="N620" s="125"/>
      <c r="O620" s="125"/>
      <c r="P620" s="125"/>
      <c r="Q620" s="125"/>
      <c r="R620" s="125"/>
      <c r="S620" s="125"/>
      <c r="T620" s="125"/>
      <c r="U620" s="125"/>
      <c r="V620" s="125"/>
      <c r="W620" s="125"/>
      <c r="X620" s="125"/>
      <c r="Y620" s="125"/>
      <c r="Z620" s="125"/>
      <c r="AA620" s="125"/>
      <c r="AB620" s="125"/>
      <c r="AC620" s="125"/>
      <c r="AD620" s="125"/>
      <c r="AE620" s="125"/>
      <c r="AF620" s="125"/>
      <c r="AG620" s="125"/>
      <c r="AH620" s="125"/>
      <c r="AI620" s="125"/>
      <c r="AJ620" s="125"/>
      <c r="AK620" s="125"/>
      <c r="AL620" s="125"/>
      <c r="AM620" s="125"/>
      <c r="AN620" s="125"/>
      <c r="AO620" s="125"/>
      <c r="AP620" s="125"/>
      <c r="AQ620" s="125"/>
      <c r="AR620" s="125"/>
      <c r="AS620" s="125"/>
      <c r="AT620" s="125"/>
      <c r="AU620" s="125"/>
      <c r="AV620" s="125"/>
      <c r="AW620" s="125"/>
      <c r="AX620" s="125"/>
      <c r="AY620" s="125"/>
      <c r="AZ620" s="125"/>
      <c r="BA620" s="125"/>
      <c r="BB620" s="125"/>
      <c r="BC620" s="125"/>
      <c r="BD620" s="125"/>
      <c r="BE620" s="125"/>
      <c r="BF620" s="125"/>
    </row>
    <row r="621" spans="1:58" ht="15.75" customHeight="1">
      <c r="A621" s="125"/>
      <c r="B621" s="125"/>
      <c r="C621" s="125"/>
      <c r="D621" s="125"/>
      <c r="E621" s="125"/>
      <c r="F621" s="125"/>
      <c r="G621" s="125"/>
      <c r="H621" s="125"/>
      <c r="I621" s="125"/>
      <c r="J621" s="125"/>
      <c r="K621" s="125"/>
      <c r="L621" s="125"/>
      <c r="M621" s="125"/>
      <c r="N621" s="125"/>
      <c r="O621" s="125"/>
      <c r="P621" s="125"/>
      <c r="Q621" s="125"/>
      <c r="R621" s="125"/>
      <c r="S621" s="125"/>
      <c r="T621" s="125"/>
      <c r="U621" s="125"/>
      <c r="V621" s="125"/>
      <c r="W621" s="125"/>
      <c r="X621" s="125"/>
      <c r="Y621" s="125"/>
      <c r="Z621" s="125"/>
      <c r="AA621" s="125"/>
      <c r="AB621" s="125"/>
      <c r="AC621" s="125"/>
      <c r="AD621" s="125"/>
      <c r="AE621" s="125"/>
      <c r="AF621" s="125"/>
      <c r="AG621" s="125"/>
      <c r="AH621" s="125"/>
      <c r="AI621" s="125"/>
      <c r="AJ621" s="125"/>
      <c r="AK621" s="125"/>
      <c r="AL621" s="125"/>
      <c r="AM621" s="125"/>
      <c r="AN621" s="125"/>
      <c r="AO621" s="125"/>
      <c r="AP621" s="125"/>
      <c r="AQ621" s="125"/>
      <c r="AR621" s="125"/>
      <c r="AS621" s="125"/>
      <c r="AT621" s="125"/>
      <c r="AU621" s="125"/>
      <c r="AV621" s="125"/>
      <c r="AW621" s="125"/>
      <c r="AX621" s="125"/>
      <c r="AY621" s="125"/>
      <c r="AZ621" s="125"/>
      <c r="BA621" s="125"/>
      <c r="BB621" s="125"/>
      <c r="BC621" s="125"/>
      <c r="BD621" s="125"/>
      <c r="BE621" s="125"/>
      <c r="BF621" s="125"/>
    </row>
    <row r="622" spans="1:58" ht="15.75" customHeight="1">
      <c r="A622" s="125"/>
      <c r="B622" s="125"/>
      <c r="C622" s="125"/>
      <c r="D622" s="125"/>
      <c r="E622" s="125"/>
      <c r="F622" s="125"/>
      <c r="G622" s="125"/>
      <c r="H622" s="125"/>
      <c r="I622" s="125"/>
      <c r="J622" s="125"/>
      <c r="K622" s="125"/>
      <c r="L622" s="125"/>
      <c r="M622" s="125"/>
      <c r="N622" s="125"/>
      <c r="O622" s="125"/>
      <c r="P622" s="125"/>
      <c r="Q622" s="125"/>
      <c r="R622" s="125"/>
      <c r="S622" s="125"/>
      <c r="T622" s="125"/>
      <c r="U622" s="125"/>
      <c r="V622" s="125"/>
      <c r="W622" s="125"/>
      <c r="X622" s="125"/>
      <c r="Y622" s="125"/>
      <c r="Z622" s="125"/>
      <c r="AA622" s="125"/>
      <c r="AB622" s="125"/>
      <c r="AC622" s="125"/>
      <c r="AD622" s="125"/>
      <c r="AE622" s="125"/>
      <c r="AF622" s="125"/>
      <c r="AG622" s="125"/>
      <c r="AH622" s="125"/>
      <c r="AI622" s="125"/>
      <c r="AJ622" s="125"/>
      <c r="AK622" s="125"/>
      <c r="AL622" s="125"/>
      <c r="AM622" s="125"/>
      <c r="AN622" s="125"/>
      <c r="AO622" s="125"/>
      <c r="AP622" s="125"/>
      <c r="AQ622" s="125"/>
      <c r="AR622" s="125"/>
      <c r="AS622" s="125"/>
      <c r="AT622" s="125"/>
      <c r="AU622" s="125"/>
      <c r="AV622" s="125"/>
      <c r="AW622" s="125"/>
      <c r="AX622" s="125"/>
      <c r="AY622" s="125"/>
      <c r="AZ622" s="125"/>
      <c r="BA622" s="125"/>
      <c r="BB622" s="125"/>
      <c r="BC622" s="125"/>
      <c r="BD622" s="125"/>
      <c r="BE622" s="125"/>
      <c r="BF622" s="125"/>
    </row>
    <row r="623" spans="1:58" ht="15.75" customHeight="1">
      <c r="A623" s="125"/>
      <c r="B623" s="125"/>
      <c r="C623" s="125"/>
      <c r="D623" s="125"/>
      <c r="E623" s="125"/>
      <c r="F623" s="125"/>
      <c r="G623" s="125"/>
      <c r="H623" s="125"/>
      <c r="I623" s="125"/>
      <c r="J623" s="125"/>
      <c r="K623" s="125"/>
      <c r="L623" s="125"/>
      <c r="M623" s="125"/>
      <c r="N623" s="125"/>
      <c r="O623" s="125"/>
      <c r="P623" s="125"/>
      <c r="Q623" s="125"/>
      <c r="R623" s="125"/>
      <c r="S623" s="125"/>
      <c r="T623" s="125"/>
      <c r="U623" s="125"/>
      <c r="V623" s="125"/>
      <c r="W623" s="125"/>
      <c r="X623" s="125"/>
      <c r="Y623" s="125"/>
      <c r="Z623" s="125"/>
      <c r="AA623" s="125"/>
      <c r="AB623" s="125"/>
      <c r="AC623" s="125"/>
      <c r="AD623" s="125"/>
      <c r="AE623" s="125"/>
      <c r="AF623" s="125"/>
      <c r="AG623" s="125"/>
      <c r="AH623" s="125"/>
      <c r="AI623" s="125"/>
      <c r="AJ623" s="125"/>
      <c r="AK623" s="125"/>
      <c r="AL623" s="125"/>
      <c r="AM623" s="125"/>
      <c r="AN623" s="125"/>
      <c r="AO623" s="125"/>
      <c r="AP623" s="125"/>
      <c r="AQ623" s="125"/>
      <c r="AR623" s="125"/>
      <c r="AS623" s="125"/>
      <c r="AT623" s="125"/>
      <c r="AU623" s="125"/>
      <c r="AV623" s="125"/>
      <c r="AW623" s="125"/>
      <c r="AX623" s="125"/>
      <c r="AY623" s="125"/>
      <c r="AZ623" s="125"/>
      <c r="BA623" s="125"/>
      <c r="BB623" s="125"/>
      <c r="BC623" s="125"/>
      <c r="BD623" s="125"/>
      <c r="BE623" s="125"/>
      <c r="BF623" s="125"/>
    </row>
    <row r="624" spans="1:58" ht="15.75" customHeight="1">
      <c r="A624" s="125"/>
      <c r="B624" s="125"/>
      <c r="C624" s="125"/>
      <c r="D624" s="125"/>
      <c r="E624" s="125"/>
      <c r="F624" s="125"/>
      <c r="G624" s="125"/>
      <c r="H624" s="125"/>
      <c r="I624" s="125"/>
      <c r="J624" s="125"/>
      <c r="K624" s="125"/>
      <c r="L624" s="125"/>
      <c r="M624" s="125"/>
      <c r="N624" s="125"/>
      <c r="O624" s="125"/>
      <c r="P624" s="125"/>
      <c r="Q624" s="125"/>
      <c r="R624" s="125"/>
      <c r="S624" s="125"/>
      <c r="T624" s="125"/>
      <c r="U624" s="125"/>
      <c r="V624" s="125"/>
      <c r="W624" s="125"/>
      <c r="X624" s="125"/>
      <c r="Y624" s="125"/>
      <c r="Z624" s="125"/>
      <c r="AA624" s="125"/>
      <c r="AB624" s="125"/>
      <c r="AC624" s="125"/>
      <c r="AD624" s="125"/>
      <c r="AE624" s="125"/>
      <c r="AF624" s="125"/>
      <c r="AG624" s="125"/>
      <c r="AH624" s="125"/>
      <c r="AI624" s="125"/>
      <c r="AJ624" s="125"/>
      <c r="AK624" s="125"/>
      <c r="AL624" s="125"/>
      <c r="AM624" s="125"/>
      <c r="AN624" s="125"/>
      <c r="AO624" s="125"/>
      <c r="AP624" s="125"/>
      <c r="AQ624" s="125"/>
      <c r="AR624" s="125"/>
      <c r="AS624" s="125"/>
      <c r="AT624" s="125"/>
      <c r="AU624" s="125"/>
      <c r="AV624" s="125"/>
      <c r="AW624" s="125"/>
      <c r="AX624" s="125"/>
      <c r="AY624" s="125"/>
      <c r="AZ624" s="125"/>
      <c r="BA624" s="125"/>
      <c r="BB624" s="125"/>
      <c r="BC624" s="125"/>
      <c r="BD624" s="125"/>
      <c r="BE624" s="125"/>
      <c r="BF624" s="125"/>
    </row>
    <row r="625" spans="1:58" ht="15.75" customHeight="1">
      <c r="A625" s="125"/>
      <c r="B625" s="125"/>
      <c r="C625" s="125"/>
      <c r="D625" s="125"/>
      <c r="E625" s="125"/>
      <c r="F625" s="125"/>
      <c r="G625" s="125"/>
      <c r="H625" s="125"/>
      <c r="I625" s="125"/>
      <c r="J625" s="125"/>
      <c r="K625" s="125"/>
      <c r="L625" s="125"/>
      <c r="M625" s="125"/>
      <c r="N625" s="125"/>
      <c r="O625" s="125"/>
      <c r="P625" s="125"/>
      <c r="Q625" s="125"/>
      <c r="R625" s="125"/>
      <c r="S625" s="125"/>
      <c r="T625" s="125"/>
      <c r="U625" s="125"/>
      <c r="V625" s="125"/>
      <c r="W625" s="125"/>
      <c r="X625" s="125"/>
      <c r="Y625" s="125"/>
      <c r="Z625" s="125"/>
      <c r="AA625" s="125"/>
      <c r="AB625" s="125"/>
      <c r="AC625" s="125"/>
      <c r="AD625" s="125"/>
      <c r="AE625" s="125"/>
      <c r="AF625" s="125"/>
      <c r="AG625" s="125"/>
      <c r="AH625" s="125"/>
      <c r="AI625" s="125"/>
      <c r="AJ625" s="125"/>
      <c r="AK625" s="125"/>
      <c r="AL625" s="125"/>
      <c r="AM625" s="125"/>
      <c r="AN625" s="125"/>
      <c r="AO625" s="125"/>
      <c r="AP625" s="125"/>
      <c r="AQ625" s="125"/>
      <c r="AR625" s="125"/>
      <c r="AS625" s="125"/>
      <c r="AT625" s="125"/>
      <c r="AU625" s="125"/>
      <c r="AV625" s="125"/>
      <c r="AW625" s="125"/>
      <c r="AX625" s="125"/>
      <c r="AY625" s="125"/>
      <c r="AZ625" s="125"/>
      <c r="BA625" s="125"/>
      <c r="BB625" s="125"/>
      <c r="BC625" s="125"/>
      <c r="BD625" s="125"/>
      <c r="BE625" s="125"/>
      <c r="BF625" s="125"/>
    </row>
    <row r="626" spans="1:58" ht="15.75" customHeight="1">
      <c r="A626" s="125"/>
      <c r="B626" s="125"/>
      <c r="C626" s="125"/>
      <c r="D626" s="125"/>
      <c r="E626" s="125"/>
      <c r="F626" s="125"/>
      <c r="G626" s="125"/>
      <c r="H626" s="125"/>
      <c r="I626" s="125"/>
      <c r="J626" s="125"/>
      <c r="K626" s="125"/>
      <c r="L626" s="125"/>
      <c r="M626" s="125"/>
      <c r="N626" s="125"/>
      <c r="O626" s="125"/>
      <c r="P626" s="125"/>
      <c r="Q626" s="125"/>
      <c r="R626" s="125"/>
      <c r="S626" s="125"/>
      <c r="T626" s="125"/>
      <c r="U626" s="125"/>
      <c r="V626" s="125"/>
      <c r="W626" s="125"/>
      <c r="X626" s="125"/>
      <c r="Y626" s="125"/>
      <c r="Z626" s="125"/>
      <c r="AA626" s="125"/>
      <c r="AB626" s="125"/>
      <c r="AC626" s="125"/>
      <c r="AD626" s="125"/>
      <c r="AE626" s="125"/>
      <c r="AF626" s="125"/>
      <c r="AG626" s="125"/>
      <c r="AH626" s="125"/>
      <c r="AI626" s="125"/>
      <c r="AJ626" s="125"/>
      <c r="AK626" s="125"/>
      <c r="AL626" s="125"/>
      <c r="AM626" s="125"/>
      <c r="AN626" s="125"/>
      <c r="AO626" s="125"/>
      <c r="AP626" s="125"/>
      <c r="AQ626" s="125"/>
      <c r="AR626" s="125"/>
      <c r="AS626" s="125"/>
      <c r="AT626" s="125"/>
      <c r="AU626" s="125"/>
      <c r="AV626" s="125"/>
      <c r="AW626" s="125"/>
      <c r="AX626" s="125"/>
      <c r="AY626" s="125"/>
      <c r="AZ626" s="125"/>
      <c r="BA626" s="125"/>
      <c r="BB626" s="125"/>
      <c r="BC626" s="125"/>
      <c r="BD626" s="125"/>
      <c r="BE626" s="125"/>
      <c r="BF626" s="125"/>
    </row>
    <row r="627" spans="1:58" ht="15.75" customHeight="1">
      <c r="A627" s="125"/>
      <c r="B627" s="125"/>
      <c r="C627" s="125"/>
      <c r="D627" s="125"/>
      <c r="E627" s="125"/>
      <c r="F627" s="125"/>
      <c r="G627" s="125"/>
      <c r="H627" s="125"/>
      <c r="I627" s="125"/>
      <c r="J627" s="125"/>
      <c r="K627" s="125"/>
      <c r="L627" s="125"/>
      <c r="M627" s="125"/>
      <c r="N627" s="125"/>
      <c r="O627" s="125"/>
      <c r="P627" s="125"/>
      <c r="Q627" s="125"/>
      <c r="R627" s="125"/>
      <c r="S627" s="125"/>
      <c r="T627" s="125"/>
      <c r="U627" s="125"/>
      <c r="V627" s="125"/>
      <c r="W627" s="125"/>
      <c r="X627" s="125"/>
      <c r="Y627" s="125"/>
      <c r="Z627" s="125"/>
      <c r="AA627" s="125"/>
      <c r="AB627" s="125"/>
      <c r="AC627" s="125"/>
      <c r="AD627" s="125"/>
      <c r="AE627" s="125"/>
      <c r="AF627" s="125"/>
      <c r="AG627" s="125"/>
      <c r="AH627" s="125"/>
      <c r="AI627" s="125"/>
      <c r="AJ627" s="125"/>
      <c r="AK627" s="125"/>
      <c r="AL627" s="125"/>
      <c r="AM627" s="125"/>
      <c r="AN627" s="125"/>
      <c r="AO627" s="125"/>
      <c r="AP627" s="125"/>
      <c r="AQ627" s="125"/>
      <c r="AR627" s="125"/>
      <c r="AS627" s="125"/>
      <c r="AT627" s="125"/>
      <c r="AU627" s="125"/>
      <c r="AV627" s="125"/>
      <c r="AW627" s="125"/>
      <c r="AX627" s="125"/>
      <c r="AY627" s="125"/>
      <c r="AZ627" s="125"/>
      <c r="BA627" s="125"/>
      <c r="BB627" s="125"/>
      <c r="BC627" s="125"/>
      <c r="BD627" s="125"/>
      <c r="BE627" s="125"/>
      <c r="BF627" s="125"/>
    </row>
    <row r="628" spans="1:58" ht="15.75" customHeight="1">
      <c r="A628" s="125"/>
      <c r="B628" s="125"/>
      <c r="C628" s="125"/>
      <c r="D628" s="125"/>
      <c r="E628" s="125"/>
      <c r="F628" s="125"/>
      <c r="G628" s="125"/>
      <c r="H628" s="125"/>
      <c r="I628" s="125"/>
      <c r="J628" s="125"/>
      <c r="K628" s="125"/>
      <c r="L628" s="125"/>
      <c r="M628" s="125"/>
      <c r="N628" s="125"/>
      <c r="O628" s="125"/>
      <c r="P628" s="125"/>
      <c r="Q628" s="125"/>
      <c r="R628" s="125"/>
      <c r="S628" s="125"/>
      <c r="T628" s="125"/>
      <c r="U628" s="125"/>
      <c r="V628" s="125"/>
      <c r="W628" s="125"/>
      <c r="X628" s="125"/>
      <c r="Y628" s="125"/>
      <c r="Z628" s="125"/>
      <c r="AA628" s="125"/>
      <c r="AB628" s="125"/>
      <c r="AC628" s="125"/>
      <c r="AD628" s="125"/>
      <c r="AE628" s="125"/>
      <c r="AF628" s="125"/>
      <c r="AG628" s="125"/>
      <c r="AH628" s="125"/>
      <c r="AI628" s="125"/>
      <c r="AJ628" s="125"/>
      <c r="AK628" s="125"/>
      <c r="AL628" s="125"/>
      <c r="AM628" s="125"/>
      <c r="AN628" s="125"/>
      <c r="AO628" s="125"/>
      <c r="AP628" s="125"/>
      <c r="AQ628" s="125"/>
      <c r="AR628" s="125"/>
      <c r="AS628" s="125"/>
      <c r="AT628" s="125"/>
      <c r="AU628" s="125"/>
      <c r="AV628" s="125"/>
      <c r="AW628" s="125"/>
      <c r="AX628" s="125"/>
      <c r="AY628" s="125"/>
      <c r="AZ628" s="125"/>
      <c r="BA628" s="125"/>
      <c r="BB628" s="125"/>
      <c r="BC628" s="125"/>
      <c r="BD628" s="125"/>
      <c r="BE628" s="125"/>
      <c r="BF628" s="125"/>
    </row>
    <row r="629" spans="1:58" ht="15.75" customHeight="1">
      <c r="A629" s="125"/>
      <c r="B629" s="125"/>
      <c r="C629" s="125"/>
      <c r="D629" s="125"/>
      <c r="E629" s="125"/>
      <c r="F629" s="125"/>
      <c r="G629" s="125"/>
      <c r="H629" s="125"/>
      <c r="I629" s="125"/>
      <c r="J629" s="125"/>
      <c r="K629" s="125"/>
      <c r="L629" s="125"/>
      <c r="M629" s="125"/>
      <c r="N629" s="125"/>
      <c r="O629" s="125"/>
      <c r="P629" s="125"/>
      <c r="Q629" s="125"/>
      <c r="R629" s="125"/>
      <c r="S629" s="125"/>
      <c r="T629" s="125"/>
      <c r="U629" s="125"/>
      <c r="V629" s="125"/>
      <c r="W629" s="125"/>
      <c r="X629" s="125"/>
      <c r="Y629" s="125"/>
      <c r="Z629" s="125"/>
      <c r="AA629" s="125"/>
      <c r="AB629" s="125"/>
      <c r="AC629" s="125"/>
      <c r="AD629" s="125"/>
      <c r="AE629" s="125"/>
      <c r="AF629" s="125"/>
      <c r="AG629" s="125"/>
      <c r="AH629" s="125"/>
      <c r="AI629" s="125"/>
      <c r="AJ629" s="125"/>
      <c r="AK629" s="125"/>
      <c r="AL629" s="125"/>
      <c r="AM629" s="125"/>
      <c r="AN629" s="125"/>
      <c r="AO629" s="125"/>
      <c r="AP629" s="125"/>
      <c r="AQ629" s="125"/>
      <c r="AR629" s="125"/>
      <c r="AS629" s="125"/>
      <c r="AT629" s="125"/>
      <c r="AU629" s="125"/>
      <c r="AV629" s="125"/>
      <c r="AW629" s="125"/>
      <c r="AX629" s="125"/>
      <c r="AY629" s="125"/>
      <c r="AZ629" s="125"/>
      <c r="BA629" s="125"/>
      <c r="BB629" s="125"/>
      <c r="BC629" s="125"/>
      <c r="BD629" s="125"/>
      <c r="BE629" s="125"/>
      <c r="BF629" s="125"/>
    </row>
    <row r="630" spans="1:58" ht="15.75" customHeight="1">
      <c r="A630" s="125"/>
      <c r="B630" s="125"/>
      <c r="C630" s="125"/>
      <c r="D630" s="125"/>
      <c r="E630" s="125"/>
      <c r="F630" s="125"/>
      <c r="G630" s="125"/>
      <c r="H630" s="125"/>
      <c r="I630" s="125"/>
      <c r="J630" s="125"/>
      <c r="K630" s="125"/>
      <c r="L630" s="125"/>
      <c r="M630" s="125"/>
      <c r="N630" s="125"/>
      <c r="O630" s="125"/>
      <c r="P630" s="125"/>
      <c r="Q630" s="125"/>
      <c r="R630" s="125"/>
      <c r="S630" s="125"/>
      <c r="T630" s="125"/>
      <c r="U630" s="125"/>
      <c r="V630" s="125"/>
      <c r="W630" s="125"/>
      <c r="X630" s="125"/>
      <c r="Y630" s="125"/>
      <c r="Z630" s="125"/>
      <c r="AA630" s="125"/>
      <c r="AB630" s="125"/>
      <c r="AC630" s="125"/>
      <c r="AD630" s="125"/>
      <c r="AE630" s="125"/>
      <c r="AF630" s="125"/>
      <c r="AG630" s="125"/>
      <c r="AH630" s="125"/>
      <c r="AI630" s="125"/>
      <c r="AJ630" s="125"/>
      <c r="AK630" s="125"/>
      <c r="AL630" s="125"/>
      <c r="AM630" s="125"/>
      <c r="AN630" s="125"/>
      <c r="AO630" s="125"/>
      <c r="AP630" s="125"/>
      <c r="AQ630" s="125"/>
      <c r="AR630" s="125"/>
      <c r="AS630" s="125"/>
      <c r="AT630" s="125"/>
      <c r="AU630" s="125"/>
      <c r="AV630" s="125"/>
      <c r="AW630" s="125"/>
      <c r="AX630" s="125"/>
      <c r="AY630" s="125"/>
      <c r="AZ630" s="125"/>
      <c r="BA630" s="125"/>
      <c r="BB630" s="125"/>
      <c r="BC630" s="125"/>
      <c r="BD630" s="125"/>
      <c r="BE630" s="125"/>
      <c r="BF630" s="125"/>
    </row>
    <row r="631" spans="1:58" ht="15.75" customHeight="1">
      <c r="A631" s="125"/>
      <c r="B631" s="125"/>
      <c r="C631" s="125"/>
      <c r="D631" s="125"/>
      <c r="E631" s="125"/>
      <c r="F631" s="125"/>
      <c r="G631" s="125"/>
      <c r="H631" s="125"/>
      <c r="I631" s="125"/>
      <c r="J631" s="125"/>
      <c r="K631" s="125"/>
      <c r="L631" s="125"/>
      <c r="M631" s="125"/>
      <c r="N631" s="125"/>
      <c r="O631" s="125"/>
      <c r="P631" s="125"/>
      <c r="Q631" s="125"/>
      <c r="R631" s="125"/>
      <c r="S631" s="125"/>
      <c r="T631" s="125"/>
      <c r="U631" s="125"/>
      <c r="V631" s="125"/>
      <c r="W631" s="125"/>
      <c r="X631" s="125"/>
      <c r="Y631" s="125"/>
      <c r="Z631" s="125"/>
      <c r="AA631" s="125"/>
      <c r="AB631" s="125"/>
      <c r="AC631" s="125"/>
      <c r="AD631" s="125"/>
      <c r="AE631" s="125"/>
      <c r="AF631" s="125"/>
      <c r="AG631" s="125"/>
      <c r="AH631" s="125"/>
      <c r="AI631" s="125"/>
      <c r="AJ631" s="125"/>
      <c r="AK631" s="125"/>
      <c r="AL631" s="125"/>
      <c r="AM631" s="125"/>
      <c r="AN631" s="125"/>
      <c r="AO631" s="125"/>
      <c r="AP631" s="125"/>
      <c r="AQ631" s="125"/>
      <c r="AR631" s="125"/>
      <c r="AS631" s="125"/>
      <c r="AT631" s="125"/>
      <c r="AU631" s="125"/>
      <c r="AV631" s="125"/>
      <c r="AW631" s="125"/>
      <c r="AX631" s="125"/>
      <c r="AY631" s="125"/>
      <c r="AZ631" s="125"/>
      <c r="BA631" s="125"/>
      <c r="BB631" s="125"/>
      <c r="BC631" s="125"/>
      <c r="BD631" s="125"/>
      <c r="BE631" s="125"/>
      <c r="BF631" s="125"/>
    </row>
    <row r="632" spans="1:58" ht="15.75" customHeight="1">
      <c r="A632" s="125"/>
      <c r="B632" s="125"/>
      <c r="C632" s="125"/>
      <c r="D632" s="125"/>
      <c r="E632" s="125"/>
      <c r="F632" s="125"/>
      <c r="G632" s="125"/>
      <c r="H632" s="125"/>
      <c r="I632" s="125"/>
      <c r="J632" s="125"/>
      <c r="K632" s="125"/>
      <c r="L632" s="125"/>
      <c r="M632" s="125"/>
      <c r="N632" s="125"/>
      <c r="O632" s="125"/>
      <c r="P632" s="125"/>
      <c r="Q632" s="125"/>
      <c r="R632" s="125"/>
      <c r="S632" s="125"/>
      <c r="T632" s="125"/>
      <c r="U632" s="125"/>
      <c r="V632" s="125"/>
      <c r="W632" s="125"/>
      <c r="X632" s="125"/>
      <c r="Y632" s="125"/>
      <c r="Z632" s="125"/>
      <c r="AA632" s="125"/>
      <c r="AB632" s="125"/>
      <c r="AC632" s="125"/>
      <c r="AD632" s="125"/>
      <c r="AE632" s="125"/>
      <c r="AF632" s="125"/>
      <c r="AG632" s="125"/>
      <c r="AH632" s="125"/>
      <c r="AI632" s="125"/>
      <c r="AJ632" s="125"/>
      <c r="AK632" s="125"/>
      <c r="AL632" s="125"/>
      <c r="AM632" s="125"/>
      <c r="AN632" s="125"/>
      <c r="AO632" s="125"/>
      <c r="AP632" s="125"/>
      <c r="AQ632" s="125"/>
      <c r="AR632" s="125"/>
      <c r="AS632" s="125"/>
      <c r="AT632" s="125"/>
      <c r="AU632" s="125"/>
      <c r="AV632" s="125"/>
      <c r="AW632" s="125"/>
      <c r="AX632" s="125"/>
      <c r="AY632" s="125"/>
      <c r="AZ632" s="125"/>
      <c r="BA632" s="125"/>
      <c r="BB632" s="125"/>
      <c r="BC632" s="125"/>
      <c r="BD632" s="125"/>
      <c r="BE632" s="125"/>
      <c r="BF632" s="125"/>
    </row>
    <row r="633" spans="1:58" ht="15.75" customHeight="1">
      <c r="A633" s="125"/>
      <c r="B633" s="125"/>
      <c r="C633" s="125"/>
      <c r="D633" s="125"/>
      <c r="E633" s="125"/>
      <c r="F633" s="125"/>
      <c r="G633" s="125"/>
      <c r="H633" s="125"/>
      <c r="I633" s="125"/>
      <c r="J633" s="125"/>
      <c r="K633" s="125"/>
      <c r="L633" s="125"/>
      <c r="M633" s="125"/>
      <c r="N633" s="125"/>
      <c r="O633" s="125"/>
      <c r="P633" s="125"/>
      <c r="Q633" s="125"/>
      <c r="R633" s="125"/>
      <c r="S633" s="125"/>
      <c r="T633" s="125"/>
      <c r="U633" s="125"/>
      <c r="V633" s="125"/>
      <c r="W633" s="125"/>
      <c r="X633" s="125"/>
      <c r="Y633" s="125"/>
      <c r="Z633" s="125"/>
      <c r="AA633" s="125"/>
      <c r="AB633" s="125"/>
      <c r="AC633" s="125"/>
      <c r="AD633" s="125"/>
      <c r="AE633" s="125"/>
      <c r="AF633" s="125"/>
      <c r="AG633" s="125"/>
      <c r="AH633" s="125"/>
      <c r="AI633" s="125"/>
      <c r="AJ633" s="125"/>
      <c r="AK633" s="125"/>
      <c r="AL633" s="125"/>
      <c r="AM633" s="125"/>
      <c r="AN633" s="125"/>
      <c r="AO633" s="125"/>
      <c r="AP633" s="125"/>
      <c r="AQ633" s="125"/>
      <c r="AR633" s="125"/>
      <c r="AS633" s="125"/>
      <c r="AT633" s="125"/>
      <c r="AU633" s="125"/>
      <c r="AV633" s="125"/>
      <c r="AW633" s="125"/>
      <c r="AX633" s="125"/>
      <c r="AY633" s="125"/>
      <c r="AZ633" s="125"/>
      <c r="BA633" s="125"/>
      <c r="BB633" s="125"/>
      <c r="BC633" s="125"/>
      <c r="BD633" s="125"/>
      <c r="BE633" s="125"/>
      <c r="BF633" s="125"/>
    </row>
    <row r="634" spans="1:58" ht="15.75" customHeight="1">
      <c r="A634" s="125"/>
      <c r="B634" s="125"/>
      <c r="C634" s="125"/>
      <c r="D634" s="125"/>
      <c r="E634" s="125"/>
      <c r="F634" s="125"/>
      <c r="G634" s="125"/>
      <c r="H634" s="125"/>
      <c r="I634" s="125"/>
      <c r="J634" s="125"/>
      <c r="K634" s="125"/>
      <c r="L634" s="125"/>
      <c r="M634" s="125"/>
      <c r="N634" s="125"/>
      <c r="O634" s="125"/>
      <c r="P634" s="125"/>
      <c r="Q634" s="125"/>
      <c r="R634" s="125"/>
      <c r="S634" s="125"/>
      <c r="T634" s="125"/>
      <c r="U634" s="125"/>
      <c r="V634" s="125"/>
      <c r="W634" s="125"/>
      <c r="X634" s="125"/>
      <c r="Y634" s="125"/>
      <c r="Z634" s="125"/>
      <c r="AA634" s="125"/>
      <c r="AB634" s="125"/>
      <c r="AC634" s="125"/>
      <c r="AD634" s="125"/>
      <c r="AE634" s="125"/>
      <c r="AF634" s="125"/>
      <c r="AG634" s="125"/>
      <c r="AH634" s="125"/>
      <c r="AI634" s="125"/>
      <c r="AJ634" s="125"/>
      <c r="AK634" s="125"/>
      <c r="AL634" s="125"/>
      <c r="AM634" s="125"/>
      <c r="AN634" s="125"/>
      <c r="AO634" s="125"/>
      <c r="AP634" s="125"/>
      <c r="AQ634" s="125"/>
      <c r="AR634" s="125"/>
      <c r="AS634" s="125"/>
      <c r="AT634" s="125"/>
      <c r="AU634" s="125"/>
      <c r="AV634" s="125"/>
      <c r="AW634" s="125"/>
      <c r="AX634" s="125"/>
      <c r="AY634" s="125"/>
      <c r="AZ634" s="125"/>
      <c r="BA634" s="125"/>
      <c r="BB634" s="125"/>
      <c r="BC634" s="125"/>
      <c r="BD634" s="125"/>
      <c r="BE634" s="125"/>
      <c r="BF634" s="125"/>
    </row>
    <row r="635" spans="1:58" ht="15.75" customHeight="1">
      <c r="A635" s="125"/>
      <c r="B635" s="125"/>
      <c r="C635" s="125"/>
      <c r="D635" s="125"/>
      <c r="E635" s="125"/>
      <c r="F635" s="125"/>
      <c r="G635" s="125"/>
      <c r="H635" s="125"/>
      <c r="I635" s="125"/>
      <c r="J635" s="125"/>
      <c r="K635" s="125"/>
      <c r="L635" s="125"/>
      <c r="M635" s="125"/>
      <c r="N635" s="125"/>
      <c r="O635" s="125"/>
      <c r="P635" s="125"/>
      <c r="Q635" s="125"/>
      <c r="R635" s="125"/>
      <c r="S635" s="125"/>
      <c r="T635" s="125"/>
      <c r="U635" s="125"/>
      <c r="V635" s="125"/>
      <c r="W635" s="125"/>
      <c r="X635" s="125"/>
      <c r="Y635" s="125"/>
      <c r="Z635" s="125"/>
      <c r="AA635" s="125"/>
      <c r="AB635" s="125"/>
      <c r="AC635" s="125"/>
      <c r="AD635" s="125"/>
      <c r="AE635" s="125"/>
      <c r="AF635" s="125"/>
      <c r="AG635" s="125"/>
      <c r="AH635" s="125"/>
      <c r="AI635" s="125"/>
      <c r="AJ635" s="125"/>
      <c r="AK635" s="125"/>
      <c r="AL635" s="125"/>
      <c r="AM635" s="125"/>
      <c r="AN635" s="125"/>
      <c r="AO635" s="125"/>
      <c r="AP635" s="125"/>
      <c r="AQ635" s="125"/>
      <c r="AR635" s="125"/>
      <c r="AS635" s="125"/>
      <c r="AT635" s="125"/>
      <c r="AU635" s="125"/>
      <c r="AV635" s="125"/>
      <c r="AW635" s="125"/>
      <c r="AX635" s="125"/>
      <c r="AY635" s="125"/>
      <c r="AZ635" s="125"/>
      <c r="BA635" s="125"/>
      <c r="BB635" s="125"/>
      <c r="BC635" s="125"/>
      <c r="BD635" s="125"/>
      <c r="BE635" s="125"/>
      <c r="BF635" s="125"/>
    </row>
    <row r="636" spans="1:58" ht="15.75" customHeight="1">
      <c r="A636" s="125"/>
      <c r="B636" s="125"/>
      <c r="C636" s="125"/>
      <c r="D636" s="125"/>
      <c r="E636" s="125"/>
      <c r="F636" s="125"/>
      <c r="G636" s="125"/>
      <c r="H636" s="125"/>
      <c r="I636" s="125"/>
      <c r="J636" s="125"/>
      <c r="K636" s="125"/>
      <c r="L636" s="125"/>
      <c r="M636" s="125"/>
      <c r="N636" s="125"/>
      <c r="O636" s="125"/>
      <c r="P636" s="125"/>
      <c r="Q636" s="125"/>
      <c r="R636" s="125"/>
      <c r="S636" s="125"/>
      <c r="T636" s="125"/>
      <c r="U636" s="125"/>
      <c r="V636" s="125"/>
      <c r="W636" s="125"/>
      <c r="X636" s="125"/>
      <c r="Y636" s="125"/>
      <c r="Z636" s="125"/>
      <c r="AA636" s="125"/>
      <c r="AB636" s="125"/>
      <c r="AC636" s="125"/>
      <c r="AD636" s="125"/>
      <c r="AE636" s="125"/>
      <c r="AF636" s="125"/>
      <c r="AG636" s="125"/>
      <c r="AH636" s="125"/>
      <c r="AI636" s="125"/>
      <c r="AJ636" s="125"/>
      <c r="AK636" s="125"/>
      <c r="AL636" s="125"/>
      <c r="AM636" s="125"/>
      <c r="AN636" s="125"/>
      <c r="AO636" s="125"/>
      <c r="AP636" s="125"/>
      <c r="AQ636" s="125"/>
      <c r="AR636" s="125"/>
      <c r="AS636" s="125"/>
      <c r="AT636" s="125"/>
      <c r="AU636" s="125"/>
      <c r="AV636" s="125"/>
      <c r="AW636" s="125"/>
      <c r="AX636" s="125"/>
      <c r="AY636" s="125"/>
      <c r="AZ636" s="125"/>
      <c r="BA636" s="125"/>
      <c r="BB636" s="125"/>
      <c r="BC636" s="125"/>
      <c r="BD636" s="125"/>
      <c r="BE636" s="125"/>
      <c r="BF636" s="125"/>
    </row>
    <row r="637" spans="1:58" ht="15.75" customHeight="1">
      <c r="A637" s="125"/>
      <c r="B637" s="125"/>
      <c r="C637" s="125"/>
      <c r="D637" s="125"/>
      <c r="E637" s="125"/>
      <c r="F637" s="125"/>
      <c r="G637" s="125"/>
      <c r="H637" s="125"/>
      <c r="I637" s="125"/>
      <c r="J637" s="125"/>
      <c r="K637" s="125"/>
      <c r="L637" s="125"/>
      <c r="M637" s="125"/>
      <c r="N637" s="125"/>
      <c r="O637" s="125"/>
      <c r="P637" s="125"/>
      <c r="Q637" s="125"/>
      <c r="R637" s="125"/>
      <c r="S637" s="125"/>
      <c r="T637" s="125"/>
      <c r="U637" s="125"/>
      <c r="V637" s="125"/>
      <c r="W637" s="125"/>
      <c r="X637" s="125"/>
      <c r="Y637" s="125"/>
      <c r="Z637" s="125"/>
      <c r="AA637" s="125"/>
      <c r="AB637" s="125"/>
      <c r="AC637" s="125"/>
      <c r="AD637" s="125"/>
      <c r="AE637" s="125"/>
      <c r="AF637" s="125"/>
      <c r="AG637" s="125"/>
      <c r="AH637" s="125"/>
      <c r="AI637" s="125"/>
      <c r="AJ637" s="125"/>
      <c r="AK637" s="125"/>
      <c r="AL637" s="125"/>
      <c r="AM637" s="125"/>
      <c r="AN637" s="125"/>
      <c r="AO637" s="125"/>
      <c r="AP637" s="125"/>
      <c r="AQ637" s="125"/>
      <c r="AR637" s="125"/>
      <c r="AS637" s="125"/>
      <c r="AT637" s="125"/>
      <c r="AU637" s="125"/>
      <c r="AV637" s="125"/>
      <c r="AW637" s="125"/>
      <c r="AX637" s="125"/>
      <c r="AY637" s="125"/>
      <c r="AZ637" s="125"/>
      <c r="BA637" s="125"/>
      <c r="BB637" s="125"/>
      <c r="BC637" s="125"/>
      <c r="BD637" s="125"/>
      <c r="BE637" s="125"/>
      <c r="BF637" s="125"/>
    </row>
    <row r="638" spans="1:58" ht="15.75" customHeight="1">
      <c r="A638" s="125"/>
      <c r="B638" s="125"/>
      <c r="C638" s="125"/>
      <c r="D638" s="125"/>
      <c r="E638" s="125"/>
      <c r="F638" s="125"/>
      <c r="G638" s="125"/>
      <c r="H638" s="125"/>
      <c r="I638" s="125"/>
      <c r="J638" s="125"/>
      <c r="K638" s="125"/>
      <c r="L638" s="125"/>
      <c r="M638" s="125"/>
      <c r="N638" s="125"/>
      <c r="O638" s="125"/>
      <c r="P638" s="125"/>
      <c r="Q638" s="125"/>
      <c r="R638" s="125"/>
      <c r="S638" s="125"/>
      <c r="T638" s="125"/>
      <c r="U638" s="125"/>
      <c r="V638" s="125"/>
      <c r="W638" s="125"/>
      <c r="X638" s="125"/>
      <c r="Y638" s="125"/>
      <c r="Z638" s="125"/>
      <c r="AA638" s="125"/>
      <c r="AB638" s="125"/>
      <c r="AC638" s="125"/>
      <c r="AD638" s="125"/>
      <c r="AE638" s="125"/>
      <c r="AF638" s="125"/>
      <c r="AG638" s="125"/>
      <c r="AH638" s="125"/>
      <c r="AI638" s="125"/>
      <c r="AJ638" s="125"/>
      <c r="AK638" s="125"/>
      <c r="AL638" s="125"/>
      <c r="AM638" s="125"/>
      <c r="AN638" s="125"/>
      <c r="AO638" s="125"/>
      <c r="AP638" s="125"/>
      <c r="AQ638" s="125"/>
      <c r="AR638" s="125"/>
      <c r="AS638" s="125"/>
      <c r="AT638" s="125"/>
      <c r="AU638" s="125"/>
      <c r="AV638" s="125"/>
      <c r="AW638" s="125"/>
      <c r="AX638" s="125"/>
      <c r="AY638" s="125"/>
      <c r="AZ638" s="125"/>
      <c r="BA638" s="125"/>
      <c r="BB638" s="125"/>
      <c r="BC638" s="125"/>
      <c r="BD638" s="125"/>
      <c r="BE638" s="125"/>
      <c r="BF638" s="125"/>
    </row>
    <row r="639" spans="1:58" ht="15.75" customHeight="1">
      <c r="A639" s="125"/>
      <c r="B639" s="125"/>
      <c r="C639" s="125"/>
      <c r="D639" s="125"/>
      <c r="E639" s="125"/>
      <c r="F639" s="125"/>
      <c r="G639" s="125"/>
      <c r="H639" s="125"/>
      <c r="I639" s="125"/>
      <c r="J639" s="125"/>
      <c r="K639" s="125"/>
      <c r="L639" s="125"/>
      <c r="M639" s="125"/>
      <c r="N639" s="125"/>
      <c r="O639" s="125"/>
      <c r="P639" s="125"/>
      <c r="Q639" s="125"/>
      <c r="R639" s="125"/>
      <c r="S639" s="125"/>
      <c r="T639" s="125"/>
      <c r="U639" s="125"/>
      <c r="V639" s="125"/>
      <c r="W639" s="125"/>
      <c r="X639" s="125"/>
      <c r="Y639" s="125"/>
      <c r="Z639" s="125"/>
      <c r="AA639" s="125"/>
      <c r="AB639" s="125"/>
      <c r="AC639" s="125"/>
      <c r="AD639" s="125"/>
      <c r="AE639" s="125"/>
      <c r="AF639" s="125"/>
      <c r="AG639" s="125"/>
      <c r="AH639" s="125"/>
      <c r="AI639" s="125"/>
      <c r="AJ639" s="125"/>
      <c r="AK639" s="125"/>
      <c r="AL639" s="125"/>
      <c r="AM639" s="125"/>
      <c r="AN639" s="125"/>
      <c r="AO639" s="125"/>
      <c r="AP639" s="125"/>
      <c r="AQ639" s="125"/>
      <c r="AR639" s="125"/>
      <c r="AS639" s="125"/>
      <c r="AT639" s="125"/>
      <c r="AU639" s="125"/>
      <c r="AV639" s="125"/>
      <c r="AW639" s="125"/>
      <c r="AX639" s="125"/>
      <c r="AY639" s="125"/>
      <c r="AZ639" s="125"/>
      <c r="BA639" s="125"/>
      <c r="BB639" s="125"/>
      <c r="BC639" s="125"/>
      <c r="BD639" s="125"/>
      <c r="BE639" s="125"/>
      <c r="BF639" s="125"/>
    </row>
    <row r="640" spans="1:58" ht="15.75" customHeight="1">
      <c r="A640" s="125"/>
      <c r="B640" s="125"/>
      <c r="C640" s="125"/>
      <c r="D640" s="125"/>
      <c r="E640" s="125"/>
      <c r="F640" s="125"/>
      <c r="G640" s="125"/>
      <c r="H640" s="125"/>
      <c r="I640" s="125"/>
      <c r="J640" s="125"/>
      <c r="K640" s="125"/>
      <c r="L640" s="125"/>
      <c r="M640" s="125"/>
      <c r="N640" s="125"/>
      <c r="O640" s="125"/>
      <c r="P640" s="125"/>
      <c r="Q640" s="125"/>
      <c r="R640" s="125"/>
      <c r="S640" s="125"/>
      <c r="T640" s="125"/>
      <c r="U640" s="125"/>
      <c r="V640" s="125"/>
      <c r="W640" s="125"/>
      <c r="X640" s="125"/>
      <c r="Y640" s="125"/>
      <c r="Z640" s="125"/>
      <c r="AA640" s="125"/>
      <c r="AB640" s="125"/>
      <c r="AC640" s="125"/>
      <c r="AD640" s="125"/>
      <c r="AE640" s="125"/>
      <c r="AF640" s="125"/>
      <c r="AG640" s="125"/>
      <c r="AH640" s="125"/>
      <c r="AI640" s="125"/>
      <c r="AJ640" s="125"/>
      <c r="AK640" s="125"/>
      <c r="AL640" s="125"/>
      <c r="AM640" s="125"/>
      <c r="AN640" s="125"/>
      <c r="AO640" s="125"/>
      <c r="AP640" s="125"/>
      <c r="AQ640" s="125"/>
      <c r="AR640" s="125"/>
      <c r="AS640" s="125"/>
      <c r="AT640" s="125"/>
      <c r="AU640" s="125"/>
      <c r="AV640" s="125"/>
      <c r="AW640" s="125"/>
      <c r="AX640" s="125"/>
      <c r="AY640" s="125"/>
      <c r="AZ640" s="125"/>
      <c r="BA640" s="125"/>
      <c r="BB640" s="125"/>
      <c r="BC640" s="125"/>
      <c r="BD640" s="125"/>
      <c r="BE640" s="125"/>
      <c r="BF640" s="125"/>
    </row>
    <row r="641" spans="1:58" ht="15.75" customHeight="1">
      <c r="A641" s="125"/>
      <c r="B641" s="125"/>
      <c r="C641" s="125"/>
      <c r="D641" s="125"/>
      <c r="E641" s="125"/>
      <c r="F641" s="125"/>
      <c r="G641" s="125"/>
      <c r="H641" s="125"/>
      <c r="I641" s="125"/>
      <c r="J641" s="125"/>
      <c r="K641" s="125"/>
      <c r="L641" s="125"/>
      <c r="M641" s="125"/>
      <c r="N641" s="125"/>
      <c r="O641" s="125"/>
      <c r="P641" s="125"/>
      <c r="Q641" s="125"/>
      <c r="R641" s="125"/>
      <c r="S641" s="125"/>
      <c r="T641" s="125"/>
      <c r="U641" s="125"/>
      <c r="V641" s="125"/>
      <c r="W641" s="125"/>
      <c r="X641" s="125"/>
      <c r="Y641" s="125"/>
      <c r="Z641" s="125"/>
      <c r="AA641" s="125"/>
      <c r="AB641" s="125"/>
      <c r="AC641" s="125"/>
      <c r="AD641" s="125"/>
      <c r="AE641" s="125"/>
      <c r="AF641" s="125"/>
      <c r="AG641" s="125"/>
      <c r="AH641" s="125"/>
      <c r="AI641" s="125"/>
      <c r="AJ641" s="125"/>
      <c r="AK641" s="125"/>
      <c r="AL641" s="125"/>
      <c r="AM641" s="125"/>
      <c r="AN641" s="125"/>
      <c r="AO641" s="125"/>
      <c r="AP641" s="125"/>
      <c r="AQ641" s="125"/>
      <c r="AR641" s="125"/>
      <c r="AS641" s="125"/>
      <c r="AT641" s="125"/>
      <c r="AU641" s="125"/>
      <c r="AV641" s="125"/>
      <c r="AW641" s="125"/>
      <c r="AX641" s="125"/>
      <c r="AY641" s="125"/>
      <c r="AZ641" s="125"/>
      <c r="BA641" s="125"/>
      <c r="BB641" s="125"/>
      <c r="BC641" s="125"/>
      <c r="BD641" s="125"/>
      <c r="BE641" s="125"/>
      <c r="BF641" s="125"/>
    </row>
    <row r="642" spans="1:58" ht="15.75" customHeight="1">
      <c r="A642" s="125"/>
      <c r="B642" s="125"/>
      <c r="C642" s="125"/>
      <c r="D642" s="125"/>
      <c r="E642" s="125"/>
      <c r="F642" s="125"/>
      <c r="G642" s="125"/>
      <c r="H642" s="125"/>
      <c r="I642" s="125"/>
      <c r="J642" s="125"/>
      <c r="K642" s="125"/>
      <c r="L642" s="125"/>
      <c r="M642" s="125"/>
      <c r="N642" s="125"/>
      <c r="O642" s="125"/>
      <c r="P642" s="125"/>
      <c r="Q642" s="125"/>
      <c r="R642" s="125"/>
      <c r="S642" s="125"/>
      <c r="T642" s="125"/>
      <c r="U642" s="125"/>
      <c r="V642" s="125"/>
      <c r="W642" s="125"/>
      <c r="X642" s="125"/>
      <c r="Y642" s="125"/>
      <c r="Z642" s="125"/>
      <c r="AA642" s="125"/>
      <c r="AB642" s="125"/>
      <c r="AC642" s="125"/>
      <c r="AD642" s="125"/>
      <c r="AE642" s="125"/>
      <c r="AF642" s="125"/>
      <c r="AG642" s="125"/>
      <c r="AH642" s="125"/>
      <c r="AI642" s="125"/>
      <c r="AJ642" s="125"/>
      <c r="AK642" s="125"/>
      <c r="AL642" s="125"/>
      <c r="AM642" s="125"/>
      <c r="AN642" s="125"/>
      <c r="AO642" s="125"/>
      <c r="AP642" s="125"/>
      <c r="AQ642" s="125"/>
      <c r="AR642" s="125"/>
      <c r="AS642" s="125"/>
      <c r="AT642" s="125"/>
      <c r="AU642" s="125"/>
      <c r="AV642" s="125"/>
      <c r="AW642" s="125"/>
      <c r="AX642" s="125"/>
      <c r="AY642" s="125"/>
      <c r="AZ642" s="125"/>
      <c r="BA642" s="125"/>
      <c r="BB642" s="125"/>
      <c r="BC642" s="125"/>
      <c r="BD642" s="125"/>
      <c r="BE642" s="125"/>
      <c r="BF642" s="125"/>
    </row>
    <row r="643" spans="1:58" ht="15.75" customHeight="1">
      <c r="A643" s="125"/>
      <c r="B643" s="125"/>
      <c r="C643" s="125"/>
      <c r="D643" s="125"/>
      <c r="E643" s="125"/>
      <c r="F643" s="125"/>
      <c r="G643" s="125"/>
      <c r="H643" s="125"/>
      <c r="I643" s="125"/>
      <c r="J643" s="125"/>
      <c r="K643" s="125"/>
      <c r="L643" s="125"/>
      <c r="M643" s="125"/>
      <c r="N643" s="125"/>
      <c r="O643" s="125"/>
      <c r="P643" s="125"/>
      <c r="Q643" s="125"/>
      <c r="R643" s="125"/>
      <c r="S643" s="125"/>
      <c r="T643" s="125"/>
      <c r="U643" s="125"/>
      <c r="V643" s="125"/>
      <c r="W643" s="125"/>
      <c r="X643" s="125"/>
      <c r="Y643" s="125"/>
      <c r="Z643" s="125"/>
      <c r="AA643" s="125"/>
      <c r="AB643" s="125"/>
      <c r="AC643" s="125"/>
      <c r="AD643" s="125"/>
      <c r="AE643" s="125"/>
      <c r="AF643" s="125"/>
      <c r="AG643" s="125"/>
      <c r="AH643" s="125"/>
      <c r="AI643" s="125"/>
      <c r="AJ643" s="125"/>
      <c r="AK643" s="125"/>
      <c r="AL643" s="125"/>
      <c r="AM643" s="125"/>
      <c r="AN643" s="125"/>
      <c r="AO643" s="125"/>
      <c r="AP643" s="125"/>
      <c r="AQ643" s="125"/>
      <c r="AR643" s="125"/>
      <c r="AS643" s="125"/>
      <c r="AT643" s="125"/>
      <c r="AU643" s="125"/>
      <c r="AV643" s="125"/>
      <c r="AW643" s="125"/>
      <c r="AX643" s="125"/>
      <c r="AY643" s="125"/>
      <c r="AZ643" s="125"/>
      <c r="BA643" s="125"/>
      <c r="BB643" s="125"/>
      <c r="BC643" s="125"/>
      <c r="BD643" s="125"/>
      <c r="BE643" s="125"/>
      <c r="BF643" s="125"/>
    </row>
    <row r="644" spans="1:58" ht="15.75" customHeight="1">
      <c r="A644" s="125"/>
      <c r="B644" s="125"/>
      <c r="C644" s="125"/>
      <c r="D644" s="125"/>
      <c r="E644" s="125"/>
      <c r="F644" s="125"/>
      <c r="G644" s="125"/>
      <c r="H644" s="125"/>
      <c r="I644" s="125"/>
      <c r="J644" s="125"/>
      <c r="K644" s="125"/>
      <c r="L644" s="125"/>
      <c r="M644" s="125"/>
      <c r="N644" s="125"/>
      <c r="O644" s="125"/>
      <c r="P644" s="125"/>
      <c r="Q644" s="125"/>
      <c r="R644" s="125"/>
      <c r="S644" s="125"/>
      <c r="T644" s="125"/>
      <c r="U644" s="125"/>
      <c r="V644" s="125"/>
      <c r="W644" s="125"/>
      <c r="X644" s="125"/>
      <c r="Y644" s="125"/>
      <c r="Z644" s="125"/>
      <c r="AA644" s="125"/>
      <c r="AB644" s="125"/>
      <c r="AC644" s="125"/>
      <c r="AD644" s="125"/>
      <c r="AE644" s="125"/>
      <c r="AF644" s="125"/>
      <c r="AG644" s="125"/>
      <c r="AH644" s="125"/>
      <c r="AI644" s="125"/>
      <c r="AJ644" s="125"/>
      <c r="AK644" s="125"/>
      <c r="AL644" s="125"/>
      <c r="AM644" s="125"/>
      <c r="AN644" s="125"/>
      <c r="AO644" s="125"/>
      <c r="AP644" s="125"/>
      <c r="AQ644" s="125"/>
      <c r="AR644" s="125"/>
      <c r="AS644" s="125"/>
      <c r="AT644" s="125"/>
      <c r="AU644" s="125"/>
      <c r="AV644" s="125"/>
      <c r="AW644" s="125"/>
      <c r="AX644" s="125"/>
      <c r="AY644" s="125"/>
      <c r="AZ644" s="125"/>
      <c r="BA644" s="125"/>
      <c r="BB644" s="125"/>
      <c r="BC644" s="125"/>
      <c r="BD644" s="125"/>
      <c r="BE644" s="125"/>
      <c r="BF644" s="125"/>
    </row>
    <row r="645" spans="1:58" ht="15.75" customHeight="1">
      <c r="A645" s="125"/>
      <c r="B645" s="125"/>
      <c r="C645" s="125"/>
      <c r="D645" s="125"/>
      <c r="E645" s="125"/>
      <c r="F645" s="125"/>
      <c r="G645" s="125"/>
      <c r="H645" s="125"/>
      <c r="I645" s="125"/>
      <c r="J645" s="125"/>
      <c r="K645" s="125"/>
      <c r="L645" s="125"/>
      <c r="M645" s="125"/>
      <c r="N645" s="125"/>
      <c r="O645" s="125"/>
      <c r="P645" s="125"/>
      <c r="Q645" s="125"/>
      <c r="R645" s="125"/>
      <c r="S645" s="125"/>
      <c r="T645" s="125"/>
      <c r="U645" s="125"/>
      <c r="V645" s="125"/>
      <c r="W645" s="125"/>
      <c r="X645" s="125"/>
      <c r="Y645" s="125"/>
      <c r="Z645" s="125"/>
      <c r="AA645" s="125"/>
      <c r="AB645" s="125"/>
      <c r="AC645" s="125"/>
      <c r="AD645" s="125"/>
      <c r="AE645" s="125"/>
      <c r="AF645" s="125"/>
      <c r="AG645" s="125"/>
      <c r="AH645" s="125"/>
      <c r="AI645" s="125"/>
      <c r="AJ645" s="125"/>
      <c r="AK645" s="125"/>
      <c r="AL645" s="125"/>
      <c r="AM645" s="125"/>
      <c r="AN645" s="125"/>
      <c r="AO645" s="125"/>
      <c r="AP645" s="125"/>
      <c r="AQ645" s="125"/>
      <c r="AR645" s="125"/>
      <c r="AS645" s="125"/>
      <c r="AT645" s="125"/>
      <c r="AU645" s="125"/>
      <c r="AV645" s="125"/>
      <c r="AW645" s="125"/>
      <c r="AX645" s="125"/>
      <c r="AY645" s="125"/>
      <c r="AZ645" s="125"/>
      <c r="BA645" s="125"/>
      <c r="BB645" s="125"/>
      <c r="BC645" s="125"/>
      <c r="BD645" s="125"/>
      <c r="BE645" s="125"/>
      <c r="BF645" s="125"/>
    </row>
    <row r="646" spans="1:58" ht="15.75" customHeight="1">
      <c r="A646" s="125"/>
      <c r="B646" s="125"/>
      <c r="C646" s="125"/>
      <c r="D646" s="125"/>
      <c r="E646" s="125"/>
      <c r="F646" s="125"/>
      <c r="G646" s="125"/>
      <c r="H646" s="125"/>
      <c r="I646" s="125"/>
      <c r="J646" s="125"/>
      <c r="K646" s="125"/>
      <c r="L646" s="125"/>
      <c r="M646" s="125"/>
      <c r="N646" s="125"/>
      <c r="O646" s="125"/>
      <c r="P646" s="125"/>
      <c r="Q646" s="125"/>
      <c r="R646" s="125"/>
      <c r="S646" s="125"/>
      <c r="T646" s="125"/>
      <c r="U646" s="125"/>
      <c r="V646" s="125"/>
      <c r="W646" s="125"/>
      <c r="X646" s="125"/>
      <c r="Y646" s="125"/>
      <c r="Z646" s="125"/>
      <c r="AA646" s="125"/>
      <c r="AB646" s="125"/>
      <c r="AC646" s="125"/>
      <c r="AD646" s="125"/>
      <c r="AE646" s="125"/>
      <c r="AF646" s="125"/>
      <c r="AG646" s="125"/>
      <c r="AH646" s="125"/>
      <c r="AI646" s="125"/>
      <c r="AJ646" s="125"/>
      <c r="AK646" s="125"/>
      <c r="AL646" s="125"/>
      <c r="AM646" s="125"/>
      <c r="AN646" s="125"/>
      <c r="AO646" s="125"/>
      <c r="AP646" s="125"/>
      <c r="AQ646" s="125"/>
      <c r="AR646" s="125"/>
      <c r="AS646" s="125"/>
      <c r="AT646" s="125"/>
      <c r="AU646" s="125"/>
      <c r="AV646" s="125"/>
      <c r="AW646" s="125"/>
      <c r="AX646" s="125"/>
      <c r="AY646" s="125"/>
      <c r="AZ646" s="125"/>
      <c r="BA646" s="125"/>
      <c r="BB646" s="125"/>
      <c r="BC646" s="125"/>
      <c r="BD646" s="125"/>
      <c r="BE646" s="125"/>
      <c r="BF646" s="125"/>
    </row>
    <row r="647" spans="1:58" ht="15.75" customHeight="1">
      <c r="A647" s="125"/>
      <c r="B647" s="125"/>
      <c r="C647" s="125"/>
      <c r="D647" s="125"/>
      <c r="E647" s="125"/>
      <c r="F647" s="125"/>
      <c r="G647" s="125"/>
      <c r="H647" s="125"/>
      <c r="I647" s="125"/>
      <c r="J647" s="125"/>
      <c r="K647" s="125"/>
      <c r="L647" s="125"/>
      <c r="M647" s="125"/>
      <c r="N647" s="125"/>
      <c r="O647" s="125"/>
      <c r="P647" s="125"/>
      <c r="Q647" s="125"/>
      <c r="R647" s="125"/>
      <c r="S647" s="125"/>
      <c r="T647" s="125"/>
      <c r="U647" s="125"/>
      <c r="V647" s="125"/>
      <c r="W647" s="125"/>
      <c r="X647" s="125"/>
      <c r="Y647" s="125"/>
      <c r="Z647" s="125"/>
      <c r="AA647" s="125"/>
      <c r="AB647" s="125"/>
      <c r="AC647" s="125"/>
      <c r="AD647" s="125"/>
      <c r="AE647" s="125"/>
      <c r="AF647" s="125"/>
      <c r="AG647" s="125"/>
      <c r="AH647" s="125"/>
      <c r="AI647" s="125"/>
      <c r="AJ647" s="125"/>
      <c r="AK647" s="125"/>
      <c r="AL647" s="125"/>
      <c r="AM647" s="125"/>
      <c r="AN647" s="125"/>
      <c r="AO647" s="125"/>
      <c r="AP647" s="125"/>
      <c r="AQ647" s="125"/>
      <c r="AR647" s="125"/>
      <c r="AS647" s="125"/>
      <c r="AT647" s="125"/>
      <c r="AU647" s="125"/>
      <c r="AV647" s="125"/>
      <c r="AW647" s="125"/>
      <c r="AX647" s="125"/>
      <c r="AY647" s="125"/>
      <c r="AZ647" s="125"/>
      <c r="BA647" s="125"/>
      <c r="BB647" s="125"/>
      <c r="BC647" s="125"/>
      <c r="BD647" s="125"/>
      <c r="BE647" s="125"/>
      <c r="BF647" s="125"/>
    </row>
    <row r="648" spans="1:58" ht="15.75" customHeight="1">
      <c r="A648" s="125"/>
      <c r="B648" s="125"/>
      <c r="C648" s="125"/>
      <c r="D648" s="125"/>
      <c r="E648" s="125"/>
      <c r="F648" s="125"/>
      <c r="G648" s="125"/>
      <c r="H648" s="125"/>
      <c r="I648" s="125"/>
      <c r="J648" s="125"/>
      <c r="K648" s="125"/>
      <c r="L648" s="125"/>
      <c r="M648" s="125"/>
      <c r="N648" s="125"/>
      <c r="O648" s="125"/>
      <c r="P648" s="125"/>
      <c r="Q648" s="125"/>
      <c r="R648" s="125"/>
      <c r="S648" s="125"/>
      <c r="T648" s="125"/>
      <c r="U648" s="125"/>
      <c r="V648" s="125"/>
      <c r="W648" s="125"/>
      <c r="X648" s="125"/>
      <c r="Y648" s="125"/>
      <c r="Z648" s="125"/>
      <c r="AA648" s="125"/>
      <c r="AB648" s="125"/>
      <c r="AC648" s="125"/>
      <c r="AD648" s="125"/>
      <c r="AE648" s="125"/>
      <c r="AF648" s="125"/>
      <c r="AG648" s="125"/>
      <c r="AH648" s="125"/>
      <c r="AI648" s="125"/>
      <c r="AJ648" s="125"/>
      <c r="AK648" s="125"/>
      <c r="AL648" s="125"/>
      <c r="AM648" s="125"/>
      <c r="AN648" s="125"/>
      <c r="AO648" s="125"/>
      <c r="AP648" s="125"/>
      <c r="AQ648" s="125"/>
      <c r="AR648" s="125"/>
      <c r="AS648" s="125"/>
      <c r="AT648" s="125"/>
      <c r="AU648" s="125"/>
      <c r="AV648" s="125"/>
      <c r="AW648" s="125"/>
      <c r="AX648" s="125"/>
      <c r="AY648" s="125"/>
      <c r="AZ648" s="125"/>
      <c r="BA648" s="125"/>
      <c r="BB648" s="125"/>
      <c r="BC648" s="125"/>
      <c r="BD648" s="125"/>
      <c r="BE648" s="125"/>
      <c r="BF648" s="125"/>
    </row>
    <row r="649" spans="1:58" ht="15.75" customHeight="1">
      <c r="A649" s="125"/>
      <c r="B649" s="125"/>
      <c r="C649" s="125"/>
      <c r="D649" s="125"/>
      <c r="E649" s="125"/>
      <c r="F649" s="125"/>
      <c r="G649" s="125"/>
      <c r="H649" s="125"/>
      <c r="I649" s="125"/>
      <c r="J649" s="125"/>
      <c r="K649" s="125"/>
      <c r="L649" s="125"/>
      <c r="M649" s="125"/>
      <c r="N649" s="125"/>
      <c r="O649" s="125"/>
      <c r="P649" s="125"/>
      <c r="Q649" s="125"/>
      <c r="R649" s="125"/>
      <c r="S649" s="125"/>
      <c r="T649" s="125"/>
      <c r="U649" s="125"/>
      <c r="V649" s="125"/>
      <c r="W649" s="125"/>
      <c r="X649" s="125"/>
      <c r="Y649" s="125"/>
      <c r="Z649" s="125"/>
      <c r="AA649" s="125"/>
      <c r="AB649" s="125"/>
      <c r="AC649" s="125"/>
      <c r="AD649" s="125"/>
      <c r="AE649" s="125"/>
      <c r="AF649" s="125"/>
      <c r="AG649" s="125"/>
      <c r="AH649" s="125"/>
      <c r="AI649" s="125"/>
      <c r="AJ649" s="125"/>
      <c r="AK649" s="125"/>
      <c r="AL649" s="125"/>
      <c r="AM649" s="125"/>
      <c r="AN649" s="125"/>
      <c r="AO649" s="125"/>
      <c r="AP649" s="125"/>
      <c r="AQ649" s="125"/>
      <c r="AR649" s="125"/>
      <c r="AS649" s="125"/>
      <c r="AT649" s="125"/>
      <c r="AU649" s="125"/>
      <c r="AV649" s="125"/>
      <c r="AW649" s="125"/>
      <c r="AX649" s="125"/>
      <c r="AY649" s="125"/>
      <c r="AZ649" s="125"/>
      <c r="BA649" s="125"/>
      <c r="BB649" s="125"/>
      <c r="BC649" s="125"/>
      <c r="BD649" s="125"/>
      <c r="BE649" s="125"/>
      <c r="BF649" s="125"/>
    </row>
    <row r="650" spans="1:58" ht="15.75" customHeight="1">
      <c r="A650" s="125"/>
      <c r="B650" s="125"/>
      <c r="C650" s="125"/>
      <c r="D650" s="125"/>
      <c r="E650" s="125"/>
      <c r="F650" s="125"/>
      <c r="G650" s="125"/>
      <c r="H650" s="125"/>
      <c r="I650" s="125"/>
      <c r="J650" s="125"/>
      <c r="K650" s="125"/>
      <c r="L650" s="125"/>
      <c r="M650" s="125"/>
      <c r="N650" s="125"/>
      <c r="O650" s="125"/>
      <c r="P650" s="125"/>
      <c r="Q650" s="125"/>
      <c r="R650" s="125"/>
      <c r="S650" s="125"/>
      <c r="T650" s="125"/>
      <c r="U650" s="125"/>
      <c r="V650" s="125"/>
      <c r="W650" s="125"/>
      <c r="X650" s="125"/>
      <c r="Y650" s="125"/>
      <c r="Z650" s="125"/>
      <c r="AA650" s="125"/>
      <c r="AB650" s="125"/>
      <c r="AC650" s="125"/>
      <c r="AD650" s="125"/>
      <c r="AE650" s="125"/>
      <c r="AF650" s="125"/>
      <c r="AG650" s="125"/>
      <c r="AH650" s="125"/>
      <c r="AI650" s="125"/>
      <c r="AJ650" s="125"/>
      <c r="AK650" s="125"/>
      <c r="AL650" s="125"/>
      <c r="AM650" s="125"/>
      <c r="AN650" s="125"/>
      <c r="AO650" s="125"/>
      <c r="AP650" s="125"/>
      <c r="AQ650" s="125"/>
      <c r="AR650" s="125"/>
      <c r="AS650" s="125"/>
      <c r="AT650" s="125"/>
      <c r="AU650" s="125"/>
      <c r="AV650" s="125"/>
      <c r="AW650" s="125"/>
      <c r="AX650" s="125"/>
      <c r="AY650" s="125"/>
      <c r="AZ650" s="125"/>
      <c r="BA650" s="125"/>
      <c r="BB650" s="125"/>
      <c r="BC650" s="125"/>
      <c r="BD650" s="125"/>
      <c r="BE650" s="125"/>
      <c r="BF650" s="125"/>
    </row>
    <row r="651" spans="1:58" ht="15.75" customHeight="1">
      <c r="A651" s="125"/>
      <c r="B651" s="125"/>
      <c r="C651" s="125"/>
      <c r="D651" s="125"/>
      <c r="E651" s="125"/>
      <c r="F651" s="125"/>
      <c r="G651" s="125"/>
      <c r="H651" s="125"/>
      <c r="I651" s="125"/>
      <c r="J651" s="125"/>
      <c r="K651" s="125"/>
      <c r="L651" s="125"/>
      <c r="M651" s="125"/>
      <c r="N651" s="125"/>
      <c r="O651" s="125"/>
      <c r="P651" s="125"/>
      <c r="Q651" s="125"/>
      <c r="R651" s="125"/>
      <c r="S651" s="125"/>
      <c r="T651" s="125"/>
      <c r="U651" s="125"/>
      <c r="V651" s="125"/>
      <c r="W651" s="125"/>
      <c r="X651" s="125"/>
      <c r="Y651" s="125"/>
      <c r="Z651" s="125"/>
      <c r="AA651" s="125"/>
      <c r="AB651" s="125"/>
      <c r="AC651" s="125"/>
      <c r="AD651" s="125"/>
      <c r="AE651" s="125"/>
      <c r="AF651" s="125"/>
      <c r="AG651" s="125"/>
      <c r="AH651" s="125"/>
      <c r="AI651" s="125"/>
      <c r="AJ651" s="125"/>
      <c r="AK651" s="125"/>
      <c r="AL651" s="125"/>
      <c r="AM651" s="125"/>
      <c r="AN651" s="125"/>
      <c r="AO651" s="125"/>
      <c r="AP651" s="125"/>
      <c r="AQ651" s="125"/>
      <c r="AR651" s="125"/>
      <c r="AS651" s="125"/>
      <c r="AT651" s="125"/>
      <c r="AU651" s="125"/>
      <c r="AV651" s="125"/>
      <c r="AW651" s="125"/>
      <c r="AX651" s="125"/>
      <c r="AY651" s="125"/>
      <c r="AZ651" s="125"/>
      <c r="BA651" s="125"/>
      <c r="BB651" s="125"/>
      <c r="BC651" s="125"/>
      <c r="BD651" s="125"/>
      <c r="BE651" s="125"/>
      <c r="BF651" s="125"/>
    </row>
    <row r="652" spans="1:58" ht="15.75" customHeight="1">
      <c r="A652" s="125"/>
      <c r="B652" s="125"/>
      <c r="C652" s="125"/>
      <c r="D652" s="125"/>
      <c r="E652" s="125"/>
      <c r="F652" s="125"/>
      <c r="G652" s="125"/>
      <c r="H652" s="125"/>
      <c r="I652" s="125"/>
      <c r="J652" s="125"/>
      <c r="K652" s="125"/>
      <c r="L652" s="125"/>
      <c r="M652" s="125"/>
      <c r="N652" s="125"/>
      <c r="O652" s="125"/>
      <c r="P652" s="125"/>
      <c r="Q652" s="125"/>
      <c r="R652" s="125"/>
      <c r="S652" s="125"/>
      <c r="T652" s="125"/>
      <c r="U652" s="125"/>
      <c r="V652" s="125"/>
      <c r="W652" s="125"/>
      <c r="X652" s="125"/>
      <c r="Y652" s="125"/>
      <c r="Z652" s="125"/>
      <c r="AA652" s="125"/>
      <c r="AB652" s="125"/>
      <c r="AC652" s="125"/>
      <c r="AD652" s="125"/>
      <c r="AE652" s="125"/>
      <c r="AF652" s="125"/>
      <c r="AG652" s="125"/>
      <c r="AH652" s="125"/>
      <c r="AI652" s="125"/>
      <c r="AJ652" s="125"/>
      <c r="AK652" s="125"/>
      <c r="AL652" s="125"/>
      <c r="AM652" s="125"/>
      <c r="AN652" s="125"/>
      <c r="AO652" s="125"/>
      <c r="AP652" s="125"/>
      <c r="AQ652" s="125"/>
      <c r="AR652" s="125"/>
      <c r="AS652" s="125"/>
      <c r="AT652" s="125"/>
      <c r="AU652" s="125"/>
      <c r="AV652" s="125"/>
      <c r="AW652" s="125"/>
      <c r="AX652" s="125"/>
      <c r="AY652" s="125"/>
      <c r="AZ652" s="125"/>
      <c r="BA652" s="125"/>
      <c r="BB652" s="125"/>
      <c r="BC652" s="125"/>
      <c r="BD652" s="125"/>
      <c r="BE652" s="125"/>
      <c r="BF652" s="125"/>
    </row>
    <row r="653" spans="1:58" ht="15.75" customHeight="1">
      <c r="A653" s="125"/>
      <c r="B653" s="125"/>
      <c r="C653" s="125"/>
      <c r="D653" s="125"/>
      <c r="E653" s="125"/>
      <c r="F653" s="125"/>
      <c r="G653" s="125"/>
      <c r="H653" s="125"/>
      <c r="I653" s="125"/>
      <c r="J653" s="125"/>
      <c r="K653" s="125"/>
      <c r="L653" s="125"/>
      <c r="M653" s="125"/>
      <c r="N653" s="125"/>
      <c r="O653" s="125"/>
      <c r="P653" s="125"/>
      <c r="Q653" s="125"/>
      <c r="R653" s="125"/>
      <c r="S653" s="125"/>
      <c r="T653" s="125"/>
      <c r="U653" s="125"/>
      <c r="V653" s="125"/>
      <c r="W653" s="125"/>
      <c r="X653" s="125"/>
      <c r="Y653" s="125"/>
      <c r="Z653" s="125"/>
      <c r="AA653" s="125"/>
      <c r="AB653" s="125"/>
      <c r="AC653" s="125"/>
      <c r="AD653" s="125"/>
      <c r="AE653" s="125"/>
      <c r="AF653" s="125"/>
      <c r="AG653" s="125"/>
      <c r="AH653" s="125"/>
      <c r="AI653" s="125"/>
      <c r="AJ653" s="125"/>
      <c r="AK653" s="125"/>
      <c r="AL653" s="125"/>
      <c r="AM653" s="125"/>
      <c r="AN653" s="125"/>
      <c r="AO653" s="125"/>
      <c r="AP653" s="125"/>
      <c r="AQ653" s="125"/>
      <c r="AR653" s="125"/>
      <c r="AS653" s="125"/>
      <c r="AT653" s="125"/>
      <c r="AU653" s="125"/>
      <c r="AV653" s="125"/>
      <c r="AW653" s="125"/>
      <c r="AX653" s="125"/>
      <c r="AY653" s="125"/>
      <c r="AZ653" s="125"/>
      <c r="BA653" s="125"/>
      <c r="BB653" s="125"/>
      <c r="BC653" s="125"/>
      <c r="BD653" s="125"/>
      <c r="BE653" s="125"/>
      <c r="BF653" s="125"/>
    </row>
    <row r="654" spans="1:58" ht="15.75" customHeight="1">
      <c r="A654" s="125"/>
      <c r="B654" s="125"/>
      <c r="C654" s="125"/>
      <c r="D654" s="125"/>
      <c r="E654" s="125"/>
      <c r="F654" s="125"/>
      <c r="G654" s="125"/>
      <c r="H654" s="125"/>
      <c r="I654" s="125"/>
      <c r="J654" s="125"/>
      <c r="K654" s="125"/>
      <c r="L654" s="125"/>
      <c r="M654" s="125"/>
      <c r="N654" s="125"/>
      <c r="O654" s="125"/>
      <c r="P654" s="125"/>
      <c r="Q654" s="125"/>
      <c r="R654" s="125"/>
      <c r="S654" s="125"/>
      <c r="T654" s="125"/>
      <c r="U654" s="125"/>
      <c r="V654" s="125"/>
      <c r="W654" s="125"/>
      <c r="X654" s="125"/>
      <c r="Y654" s="125"/>
      <c r="Z654" s="125"/>
      <c r="AA654" s="125"/>
      <c r="AB654" s="125"/>
      <c r="AC654" s="125"/>
      <c r="AD654" s="125"/>
      <c r="AE654" s="125"/>
      <c r="AF654" s="125"/>
      <c r="AG654" s="125"/>
      <c r="AH654" s="125"/>
      <c r="AI654" s="125"/>
      <c r="AJ654" s="125"/>
      <c r="AK654" s="125"/>
      <c r="AL654" s="125"/>
      <c r="AM654" s="125"/>
      <c r="AN654" s="125"/>
      <c r="AO654" s="125"/>
      <c r="AP654" s="125"/>
      <c r="AQ654" s="125"/>
      <c r="AR654" s="125"/>
      <c r="AS654" s="125"/>
      <c r="AT654" s="125"/>
      <c r="AU654" s="125"/>
      <c r="AV654" s="125"/>
      <c r="AW654" s="125"/>
      <c r="AX654" s="125"/>
      <c r="AY654" s="125"/>
      <c r="AZ654" s="125"/>
      <c r="BA654" s="125"/>
      <c r="BB654" s="125"/>
      <c r="BC654" s="125"/>
      <c r="BD654" s="125"/>
      <c r="BE654" s="125"/>
      <c r="BF654" s="125"/>
    </row>
    <row r="655" spans="1:58" ht="15.75" customHeight="1">
      <c r="A655" s="125"/>
      <c r="B655" s="125"/>
      <c r="C655" s="125"/>
      <c r="D655" s="125"/>
      <c r="E655" s="125"/>
      <c r="F655" s="125"/>
      <c r="G655" s="125"/>
      <c r="H655" s="125"/>
      <c r="I655" s="125"/>
      <c r="J655" s="125"/>
      <c r="K655" s="125"/>
      <c r="L655" s="125"/>
      <c r="M655" s="125"/>
      <c r="N655" s="125"/>
      <c r="O655" s="125"/>
      <c r="P655" s="125"/>
      <c r="Q655" s="125"/>
      <c r="R655" s="125"/>
      <c r="S655" s="125"/>
      <c r="T655" s="125"/>
      <c r="U655" s="125"/>
      <c r="V655" s="125"/>
      <c r="W655" s="125"/>
      <c r="X655" s="125"/>
      <c r="Y655" s="125"/>
      <c r="Z655" s="125"/>
      <c r="AA655" s="125"/>
      <c r="AB655" s="125"/>
      <c r="AC655" s="125"/>
      <c r="AD655" s="125"/>
      <c r="AE655" s="125"/>
      <c r="AF655" s="125"/>
      <c r="AG655" s="125"/>
      <c r="AH655" s="125"/>
      <c r="AI655" s="125"/>
      <c r="AJ655" s="125"/>
      <c r="AK655" s="125"/>
      <c r="AL655" s="125"/>
      <c r="AM655" s="125"/>
      <c r="AN655" s="125"/>
      <c r="AO655" s="125"/>
      <c r="AP655" s="125"/>
      <c r="AQ655" s="125"/>
      <c r="AR655" s="125"/>
      <c r="AS655" s="125"/>
      <c r="AT655" s="125"/>
      <c r="AU655" s="125"/>
      <c r="AV655" s="125"/>
      <c r="AW655" s="125"/>
      <c r="AX655" s="125"/>
      <c r="AY655" s="125"/>
      <c r="AZ655" s="125"/>
      <c r="BA655" s="125"/>
      <c r="BB655" s="125"/>
      <c r="BC655" s="125"/>
      <c r="BD655" s="125"/>
      <c r="BE655" s="125"/>
      <c r="BF655" s="125"/>
    </row>
    <row r="656" spans="1:58" ht="15.75" customHeight="1">
      <c r="A656" s="125"/>
      <c r="B656" s="125"/>
      <c r="C656" s="125"/>
      <c r="D656" s="125"/>
      <c r="E656" s="125"/>
      <c r="F656" s="125"/>
      <c r="G656" s="125"/>
      <c r="H656" s="125"/>
      <c r="I656" s="125"/>
      <c r="J656" s="125"/>
      <c r="K656" s="125"/>
      <c r="L656" s="125"/>
      <c r="M656" s="125"/>
      <c r="N656" s="125"/>
      <c r="O656" s="125"/>
      <c r="P656" s="125"/>
      <c r="Q656" s="125"/>
      <c r="R656" s="125"/>
      <c r="S656" s="125"/>
      <c r="T656" s="125"/>
      <c r="U656" s="125"/>
      <c r="V656" s="125"/>
      <c r="W656" s="125"/>
      <c r="X656" s="125"/>
      <c r="Y656" s="125"/>
      <c r="Z656" s="125"/>
      <c r="AA656" s="125"/>
      <c r="AB656" s="125"/>
      <c r="AC656" s="125"/>
      <c r="AD656" s="125"/>
      <c r="AE656" s="125"/>
      <c r="AF656" s="125"/>
      <c r="AG656" s="125"/>
      <c r="AH656" s="125"/>
      <c r="AI656" s="125"/>
      <c r="AJ656" s="125"/>
      <c r="AK656" s="125"/>
      <c r="AL656" s="125"/>
      <c r="AM656" s="125"/>
      <c r="AN656" s="125"/>
      <c r="AO656" s="125"/>
      <c r="AP656" s="125"/>
      <c r="AQ656" s="125"/>
      <c r="AR656" s="125"/>
      <c r="AS656" s="125"/>
      <c r="AT656" s="125"/>
      <c r="AU656" s="125"/>
      <c r="AV656" s="125"/>
      <c r="AW656" s="125"/>
      <c r="AX656" s="125"/>
      <c r="AY656" s="125"/>
      <c r="AZ656" s="125"/>
      <c r="BA656" s="125"/>
      <c r="BB656" s="125"/>
      <c r="BC656" s="125"/>
      <c r="BD656" s="125"/>
      <c r="BE656" s="125"/>
      <c r="BF656" s="125"/>
    </row>
    <row r="657" spans="1:58" ht="15.75" customHeight="1">
      <c r="A657" s="125"/>
      <c r="B657" s="125"/>
      <c r="C657" s="125"/>
      <c r="D657" s="125"/>
      <c r="E657" s="125"/>
      <c r="F657" s="125"/>
      <c r="G657" s="125"/>
      <c r="H657" s="125"/>
      <c r="I657" s="125"/>
      <c r="J657" s="125"/>
      <c r="K657" s="125"/>
      <c r="L657" s="125"/>
      <c r="M657" s="125"/>
      <c r="N657" s="125"/>
      <c r="O657" s="125"/>
      <c r="P657" s="125"/>
      <c r="Q657" s="125"/>
      <c r="R657" s="125"/>
      <c r="S657" s="125"/>
      <c r="T657" s="125"/>
      <c r="U657" s="125"/>
      <c r="V657" s="125"/>
      <c r="W657" s="125"/>
      <c r="X657" s="125"/>
      <c r="Y657" s="125"/>
      <c r="Z657" s="125"/>
      <c r="AA657" s="125"/>
      <c r="AB657" s="125"/>
      <c r="AC657" s="125"/>
      <c r="AD657" s="125"/>
      <c r="AE657" s="125"/>
      <c r="AF657" s="125"/>
      <c r="AG657" s="125"/>
      <c r="AH657" s="125"/>
      <c r="AI657" s="125"/>
      <c r="AJ657" s="125"/>
      <c r="AK657" s="125"/>
      <c r="AL657" s="125"/>
      <c r="AM657" s="125"/>
      <c r="AN657" s="125"/>
      <c r="AO657" s="125"/>
      <c r="AP657" s="125"/>
      <c r="AQ657" s="125"/>
      <c r="AR657" s="125"/>
      <c r="AS657" s="125"/>
      <c r="AT657" s="125"/>
      <c r="AU657" s="125"/>
      <c r="AV657" s="125"/>
      <c r="AW657" s="125"/>
      <c r="AX657" s="125"/>
      <c r="AY657" s="125"/>
      <c r="AZ657" s="125"/>
      <c r="BA657" s="125"/>
      <c r="BB657" s="125"/>
      <c r="BC657" s="125"/>
      <c r="BD657" s="125"/>
      <c r="BE657" s="125"/>
      <c r="BF657" s="125"/>
    </row>
    <row r="658" spans="1:58" ht="15.75" customHeight="1">
      <c r="A658" s="125"/>
      <c r="B658" s="125"/>
      <c r="C658" s="125"/>
      <c r="D658" s="125"/>
      <c r="E658" s="125"/>
      <c r="F658" s="125"/>
      <c r="G658" s="125"/>
      <c r="H658" s="125"/>
      <c r="I658" s="125"/>
      <c r="J658" s="125"/>
      <c r="K658" s="125"/>
      <c r="L658" s="125"/>
      <c r="M658" s="125"/>
      <c r="N658" s="125"/>
      <c r="O658" s="125"/>
      <c r="P658" s="125"/>
      <c r="Q658" s="125"/>
      <c r="R658" s="125"/>
      <c r="S658" s="125"/>
      <c r="T658" s="125"/>
      <c r="U658" s="125"/>
      <c r="V658" s="125"/>
      <c r="W658" s="125"/>
      <c r="X658" s="125"/>
      <c r="Y658" s="125"/>
      <c r="Z658" s="125"/>
      <c r="AA658" s="125"/>
      <c r="AB658" s="125"/>
      <c r="AC658" s="125"/>
      <c r="AD658" s="125"/>
      <c r="AE658" s="125"/>
      <c r="AF658" s="125"/>
      <c r="AG658" s="125"/>
      <c r="AH658" s="125"/>
      <c r="AI658" s="125"/>
      <c r="AJ658" s="125"/>
      <c r="AK658" s="125"/>
      <c r="AL658" s="125"/>
      <c r="AM658" s="125"/>
      <c r="AN658" s="125"/>
      <c r="AO658" s="125"/>
      <c r="AP658" s="125"/>
      <c r="AQ658" s="125"/>
      <c r="AR658" s="125"/>
      <c r="AS658" s="125"/>
      <c r="AT658" s="125"/>
      <c r="AU658" s="125"/>
      <c r="AV658" s="125"/>
      <c r="AW658" s="125"/>
      <c r="AX658" s="125"/>
      <c r="AY658" s="125"/>
      <c r="AZ658" s="125"/>
      <c r="BA658" s="125"/>
      <c r="BB658" s="125"/>
      <c r="BC658" s="125"/>
      <c r="BD658" s="125"/>
      <c r="BE658" s="125"/>
      <c r="BF658" s="125"/>
    </row>
    <row r="659" spans="1:58" ht="15.75" customHeight="1">
      <c r="A659" s="125"/>
      <c r="B659" s="125"/>
      <c r="C659" s="125"/>
      <c r="D659" s="125"/>
      <c r="E659" s="125"/>
      <c r="F659" s="125"/>
      <c r="G659" s="125"/>
      <c r="H659" s="125"/>
      <c r="I659" s="125"/>
      <c r="J659" s="125"/>
      <c r="K659" s="125"/>
      <c r="L659" s="125"/>
      <c r="M659" s="125"/>
      <c r="N659" s="125"/>
      <c r="O659" s="125"/>
      <c r="P659" s="125"/>
      <c r="Q659" s="125"/>
      <c r="R659" s="125"/>
      <c r="S659" s="125"/>
      <c r="T659" s="125"/>
      <c r="U659" s="125"/>
      <c r="V659" s="125"/>
      <c r="W659" s="125"/>
      <c r="X659" s="125"/>
      <c r="Y659" s="125"/>
      <c r="Z659" s="125"/>
      <c r="AA659" s="125"/>
      <c r="AB659" s="125"/>
      <c r="AC659" s="125"/>
      <c r="AD659" s="125"/>
      <c r="AE659" s="125"/>
      <c r="AF659" s="125"/>
      <c r="AG659" s="125"/>
      <c r="AH659" s="125"/>
      <c r="AI659" s="125"/>
      <c r="AJ659" s="125"/>
      <c r="AK659" s="125"/>
      <c r="AL659" s="125"/>
      <c r="AM659" s="125"/>
      <c r="AN659" s="125"/>
      <c r="AO659" s="125"/>
      <c r="AP659" s="125"/>
      <c r="AQ659" s="125"/>
      <c r="AR659" s="125"/>
      <c r="AS659" s="125"/>
      <c r="AT659" s="125"/>
      <c r="AU659" s="125"/>
      <c r="AV659" s="125"/>
      <c r="AW659" s="125"/>
      <c r="AX659" s="125"/>
      <c r="AY659" s="125"/>
      <c r="AZ659" s="125"/>
      <c r="BA659" s="125"/>
      <c r="BB659" s="125"/>
      <c r="BC659" s="125"/>
      <c r="BD659" s="125"/>
      <c r="BE659" s="125"/>
      <c r="BF659" s="125"/>
    </row>
    <row r="660" spans="1:58" ht="15.75" customHeight="1">
      <c r="A660" s="125"/>
      <c r="B660" s="125"/>
      <c r="C660" s="125"/>
      <c r="D660" s="125"/>
      <c r="E660" s="125"/>
      <c r="F660" s="125"/>
      <c r="G660" s="125"/>
      <c r="H660" s="125"/>
      <c r="I660" s="125"/>
      <c r="J660" s="125"/>
      <c r="K660" s="125"/>
      <c r="L660" s="125"/>
      <c r="M660" s="125"/>
      <c r="N660" s="125"/>
      <c r="O660" s="125"/>
      <c r="P660" s="125"/>
      <c r="Q660" s="125"/>
      <c r="R660" s="125"/>
      <c r="S660" s="125"/>
      <c r="T660" s="125"/>
      <c r="U660" s="125"/>
      <c r="V660" s="125"/>
      <c r="W660" s="125"/>
      <c r="X660" s="125"/>
      <c r="Y660" s="125"/>
      <c r="Z660" s="125"/>
      <c r="AA660" s="125"/>
      <c r="AB660" s="125"/>
      <c r="AC660" s="125"/>
      <c r="AD660" s="125"/>
      <c r="AE660" s="125"/>
      <c r="AF660" s="125"/>
      <c r="AG660" s="125"/>
      <c r="AH660" s="125"/>
      <c r="AI660" s="125"/>
      <c r="AJ660" s="125"/>
      <c r="AK660" s="125"/>
      <c r="AL660" s="125"/>
      <c r="AM660" s="125"/>
      <c r="AN660" s="125"/>
      <c r="AO660" s="125"/>
      <c r="AP660" s="125"/>
      <c r="AQ660" s="125"/>
      <c r="AR660" s="125"/>
      <c r="AS660" s="125"/>
      <c r="AT660" s="125"/>
      <c r="AU660" s="125"/>
      <c r="AV660" s="125"/>
      <c r="AW660" s="125"/>
      <c r="AX660" s="125"/>
      <c r="AY660" s="125"/>
      <c r="AZ660" s="125"/>
      <c r="BA660" s="125"/>
      <c r="BB660" s="125"/>
      <c r="BC660" s="125"/>
      <c r="BD660" s="125"/>
      <c r="BE660" s="125"/>
      <c r="BF660" s="125"/>
    </row>
    <row r="661" spans="1:58" ht="15.75" customHeight="1">
      <c r="A661" s="125"/>
      <c r="B661" s="125"/>
      <c r="C661" s="125"/>
      <c r="D661" s="125"/>
      <c r="E661" s="125"/>
      <c r="F661" s="125"/>
      <c r="G661" s="125"/>
      <c r="H661" s="125"/>
      <c r="I661" s="125"/>
      <c r="J661" s="125"/>
      <c r="K661" s="125"/>
      <c r="L661" s="125"/>
      <c r="M661" s="125"/>
      <c r="N661" s="125"/>
      <c r="O661" s="125"/>
      <c r="P661" s="125"/>
      <c r="Q661" s="125"/>
      <c r="R661" s="125"/>
      <c r="S661" s="125"/>
      <c r="T661" s="125"/>
      <c r="U661" s="125"/>
      <c r="V661" s="125"/>
      <c r="W661" s="125"/>
      <c r="X661" s="125"/>
      <c r="Y661" s="125"/>
      <c r="Z661" s="125"/>
      <c r="AA661" s="125"/>
      <c r="AB661" s="125"/>
      <c r="AC661" s="125"/>
      <c r="AD661" s="125"/>
      <c r="AE661" s="125"/>
      <c r="AF661" s="125"/>
      <c r="AG661" s="125"/>
      <c r="AH661" s="125"/>
      <c r="AI661" s="125"/>
      <c r="AJ661" s="125"/>
      <c r="AK661" s="125"/>
      <c r="AL661" s="125"/>
      <c r="AM661" s="125"/>
      <c r="AN661" s="125"/>
      <c r="AO661" s="125"/>
      <c r="AP661" s="125"/>
      <c r="AQ661" s="125"/>
      <c r="AR661" s="125"/>
      <c r="AS661" s="125"/>
      <c r="AT661" s="125"/>
      <c r="AU661" s="125"/>
      <c r="AV661" s="125"/>
      <c r="AW661" s="125"/>
      <c r="AX661" s="125"/>
      <c r="AY661" s="125"/>
      <c r="AZ661" s="125"/>
      <c r="BA661" s="125"/>
      <c r="BB661" s="125"/>
      <c r="BC661" s="125"/>
      <c r="BD661" s="125"/>
      <c r="BE661" s="125"/>
      <c r="BF661" s="125"/>
    </row>
    <row r="662" spans="1:58" ht="15.75" customHeight="1">
      <c r="A662" s="125"/>
      <c r="B662" s="125"/>
      <c r="C662" s="125"/>
      <c r="D662" s="125"/>
      <c r="E662" s="125"/>
      <c r="F662" s="125"/>
      <c r="G662" s="125"/>
      <c r="H662" s="125"/>
      <c r="I662" s="125"/>
      <c r="J662" s="125"/>
      <c r="K662" s="125"/>
      <c r="L662" s="125"/>
      <c r="M662" s="125"/>
      <c r="N662" s="125"/>
      <c r="O662" s="125"/>
      <c r="P662" s="125"/>
      <c r="Q662" s="125"/>
      <c r="R662" s="125"/>
      <c r="S662" s="125"/>
      <c r="T662" s="125"/>
      <c r="U662" s="125"/>
      <c r="V662" s="125"/>
      <c r="W662" s="125"/>
      <c r="X662" s="125"/>
      <c r="Y662" s="125"/>
      <c r="Z662" s="125"/>
      <c r="AA662" s="125"/>
      <c r="AB662" s="125"/>
      <c r="AC662" s="125"/>
      <c r="AD662" s="125"/>
      <c r="AE662" s="125"/>
      <c r="AF662" s="125"/>
      <c r="AG662" s="125"/>
      <c r="AH662" s="125"/>
      <c r="AI662" s="125"/>
      <c r="AJ662" s="125"/>
      <c r="AK662" s="125"/>
      <c r="AL662" s="125"/>
      <c r="AM662" s="125"/>
      <c r="AN662" s="125"/>
      <c r="AO662" s="125"/>
      <c r="AP662" s="125"/>
      <c r="AQ662" s="125"/>
      <c r="AR662" s="125"/>
      <c r="AS662" s="125"/>
      <c r="AT662" s="125"/>
      <c r="AU662" s="125"/>
      <c r="AV662" s="125"/>
      <c r="AW662" s="125"/>
      <c r="AX662" s="125"/>
      <c r="AY662" s="125"/>
      <c r="AZ662" s="125"/>
      <c r="BA662" s="125"/>
      <c r="BB662" s="125"/>
      <c r="BC662" s="125"/>
      <c r="BD662" s="125"/>
      <c r="BE662" s="125"/>
      <c r="BF662" s="125"/>
    </row>
    <row r="663" spans="1:58" ht="15.75" customHeight="1">
      <c r="A663" s="125"/>
      <c r="B663" s="125"/>
      <c r="C663" s="125"/>
      <c r="D663" s="125"/>
      <c r="E663" s="125"/>
      <c r="F663" s="125"/>
      <c r="G663" s="125"/>
      <c r="H663" s="125"/>
      <c r="I663" s="125"/>
      <c r="J663" s="125"/>
      <c r="K663" s="125"/>
      <c r="L663" s="125"/>
      <c r="M663" s="125"/>
      <c r="N663" s="125"/>
      <c r="O663" s="125"/>
      <c r="P663" s="125"/>
      <c r="Q663" s="125"/>
      <c r="R663" s="125"/>
      <c r="S663" s="125"/>
      <c r="T663" s="125"/>
      <c r="U663" s="125"/>
      <c r="V663" s="125"/>
      <c r="W663" s="125"/>
      <c r="X663" s="125"/>
      <c r="Y663" s="125"/>
      <c r="Z663" s="125"/>
      <c r="AA663" s="125"/>
      <c r="AB663" s="125"/>
      <c r="AC663" s="125"/>
      <c r="AD663" s="125"/>
      <c r="AE663" s="125"/>
      <c r="AF663" s="125"/>
      <c r="AG663" s="125"/>
      <c r="AH663" s="125"/>
      <c r="AI663" s="125"/>
      <c r="AJ663" s="125"/>
      <c r="AK663" s="125"/>
      <c r="AL663" s="125"/>
      <c r="AM663" s="125"/>
      <c r="AN663" s="125"/>
      <c r="AO663" s="125"/>
      <c r="AP663" s="125"/>
      <c r="AQ663" s="125"/>
      <c r="AR663" s="125"/>
      <c r="AS663" s="125"/>
      <c r="AT663" s="125"/>
      <c r="AU663" s="125"/>
      <c r="AV663" s="125"/>
      <c r="AW663" s="125"/>
      <c r="AX663" s="125"/>
      <c r="AY663" s="125"/>
      <c r="AZ663" s="125"/>
      <c r="BA663" s="125"/>
      <c r="BB663" s="125"/>
      <c r="BC663" s="125"/>
      <c r="BD663" s="125"/>
      <c r="BE663" s="125"/>
      <c r="BF663" s="125"/>
    </row>
    <row r="664" spans="1:58" ht="15.75" customHeight="1">
      <c r="A664" s="125"/>
      <c r="B664" s="125"/>
      <c r="C664" s="125"/>
      <c r="D664" s="125"/>
      <c r="E664" s="125"/>
      <c r="F664" s="125"/>
      <c r="G664" s="125"/>
      <c r="H664" s="125"/>
      <c r="I664" s="125"/>
      <c r="J664" s="125"/>
      <c r="K664" s="125"/>
      <c r="L664" s="125"/>
      <c r="M664" s="125"/>
      <c r="N664" s="125"/>
      <c r="O664" s="125"/>
      <c r="P664" s="125"/>
      <c r="Q664" s="125"/>
      <c r="R664" s="125"/>
      <c r="S664" s="125"/>
      <c r="T664" s="125"/>
      <c r="U664" s="125"/>
      <c r="V664" s="125"/>
      <c r="W664" s="125"/>
      <c r="X664" s="125"/>
      <c r="Y664" s="125"/>
      <c r="Z664" s="125"/>
      <c r="AA664" s="125"/>
      <c r="AB664" s="125"/>
      <c r="AC664" s="125"/>
      <c r="AD664" s="125"/>
      <c r="AE664" s="125"/>
      <c r="AF664" s="125"/>
      <c r="AG664" s="125"/>
      <c r="AH664" s="125"/>
      <c r="AI664" s="125"/>
      <c r="AJ664" s="125"/>
      <c r="AK664" s="125"/>
      <c r="AL664" s="125"/>
      <c r="AM664" s="125"/>
      <c r="AN664" s="125"/>
      <c r="AO664" s="125"/>
      <c r="AP664" s="125"/>
      <c r="AQ664" s="125"/>
      <c r="AR664" s="125"/>
      <c r="AS664" s="125"/>
      <c r="AT664" s="125"/>
      <c r="AU664" s="125"/>
      <c r="AV664" s="125"/>
      <c r="AW664" s="125"/>
      <c r="AX664" s="125"/>
      <c r="AY664" s="125"/>
      <c r="AZ664" s="125"/>
      <c r="BA664" s="125"/>
      <c r="BB664" s="125"/>
      <c r="BC664" s="125"/>
      <c r="BD664" s="125"/>
      <c r="BE664" s="125"/>
      <c r="BF664" s="125"/>
    </row>
    <row r="665" spans="1:58" ht="15.75" customHeight="1">
      <c r="A665" s="125"/>
      <c r="B665" s="125"/>
      <c r="C665" s="125"/>
      <c r="D665" s="125"/>
      <c r="E665" s="125"/>
      <c r="F665" s="125"/>
      <c r="G665" s="125"/>
      <c r="H665" s="125"/>
      <c r="I665" s="125"/>
      <c r="J665" s="125"/>
      <c r="K665" s="125"/>
      <c r="L665" s="125"/>
      <c r="M665" s="125"/>
      <c r="N665" s="125"/>
      <c r="O665" s="125"/>
      <c r="P665" s="125"/>
      <c r="Q665" s="125"/>
      <c r="R665" s="125"/>
      <c r="S665" s="125"/>
      <c r="T665" s="125"/>
      <c r="U665" s="125"/>
      <c r="V665" s="125"/>
      <c r="W665" s="125"/>
      <c r="X665" s="125"/>
      <c r="Y665" s="125"/>
      <c r="Z665" s="125"/>
      <c r="AA665" s="125"/>
      <c r="AB665" s="125"/>
      <c r="AC665" s="125"/>
      <c r="AD665" s="125"/>
      <c r="AE665" s="125"/>
      <c r="AF665" s="125"/>
      <c r="AG665" s="125"/>
      <c r="AH665" s="125"/>
      <c r="AI665" s="125"/>
      <c r="AJ665" s="125"/>
      <c r="AK665" s="125"/>
      <c r="AL665" s="125"/>
      <c r="AM665" s="125"/>
      <c r="AN665" s="125"/>
      <c r="AO665" s="125"/>
      <c r="AP665" s="125"/>
      <c r="AQ665" s="125"/>
      <c r="AR665" s="125"/>
      <c r="AS665" s="125"/>
      <c r="AT665" s="125"/>
      <c r="AU665" s="125"/>
      <c r="AV665" s="125"/>
      <c r="AW665" s="125"/>
      <c r="AX665" s="125"/>
      <c r="AY665" s="125"/>
      <c r="AZ665" s="125"/>
      <c r="BA665" s="125"/>
      <c r="BB665" s="125"/>
      <c r="BC665" s="125"/>
      <c r="BD665" s="125"/>
      <c r="BE665" s="125"/>
      <c r="BF665" s="125"/>
    </row>
    <row r="666" spans="1:58" ht="15.75" customHeight="1">
      <c r="A666" s="125"/>
      <c r="B666" s="125"/>
      <c r="C666" s="125"/>
      <c r="D666" s="125"/>
      <c r="E666" s="125"/>
      <c r="F666" s="125"/>
      <c r="G666" s="125"/>
      <c r="H666" s="125"/>
      <c r="I666" s="125"/>
      <c r="J666" s="125"/>
      <c r="K666" s="125"/>
      <c r="L666" s="125"/>
      <c r="M666" s="125"/>
      <c r="N666" s="125"/>
      <c r="O666" s="125"/>
      <c r="P666" s="125"/>
      <c r="Q666" s="125"/>
      <c r="R666" s="125"/>
      <c r="S666" s="125"/>
      <c r="T666" s="125"/>
      <c r="U666" s="125"/>
      <c r="V666" s="125"/>
      <c r="W666" s="125"/>
      <c r="X666" s="125"/>
      <c r="Y666" s="125"/>
      <c r="Z666" s="125"/>
      <c r="AA666" s="125"/>
      <c r="AB666" s="125"/>
      <c r="AC666" s="125"/>
      <c r="AD666" s="125"/>
      <c r="AE666" s="125"/>
      <c r="AF666" s="125"/>
      <c r="AG666" s="125"/>
      <c r="AH666" s="125"/>
      <c r="AI666" s="125"/>
      <c r="AJ666" s="125"/>
      <c r="AK666" s="125"/>
      <c r="AL666" s="125"/>
      <c r="AM666" s="125"/>
      <c r="AN666" s="125"/>
      <c r="AO666" s="125"/>
      <c r="AP666" s="125"/>
      <c r="AQ666" s="125"/>
      <c r="AR666" s="125"/>
      <c r="AS666" s="125"/>
      <c r="AT666" s="125"/>
      <c r="AU666" s="125"/>
      <c r="AV666" s="125"/>
      <c r="AW666" s="125"/>
      <c r="AX666" s="125"/>
      <c r="AY666" s="125"/>
      <c r="AZ666" s="125"/>
      <c r="BA666" s="125"/>
      <c r="BB666" s="125"/>
      <c r="BC666" s="125"/>
      <c r="BD666" s="125"/>
      <c r="BE666" s="125"/>
      <c r="BF666" s="125"/>
    </row>
    <row r="667" spans="1:58" ht="15.75" customHeight="1">
      <c r="A667" s="125"/>
      <c r="B667" s="125"/>
      <c r="C667" s="125"/>
      <c r="D667" s="125"/>
      <c r="E667" s="125"/>
      <c r="F667" s="125"/>
      <c r="G667" s="125"/>
      <c r="H667" s="125"/>
      <c r="I667" s="125"/>
      <c r="J667" s="125"/>
      <c r="K667" s="125"/>
      <c r="L667" s="125"/>
      <c r="M667" s="125"/>
      <c r="N667" s="125"/>
      <c r="O667" s="125"/>
      <c r="P667" s="125"/>
      <c r="Q667" s="125"/>
      <c r="R667" s="125"/>
      <c r="S667" s="125"/>
      <c r="T667" s="125"/>
      <c r="U667" s="125"/>
      <c r="V667" s="125"/>
      <c r="W667" s="125"/>
      <c r="X667" s="125"/>
      <c r="Y667" s="125"/>
      <c r="Z667" s="125"/>
      <c r="AA667" s="125"/>
      <c r="AB667" s="125"/>
      <c r="AC667" s="125"/>
      <c r="AD667" s="125"/>
      <c r="AE667" s="125"/>
      <c r="AF667" s="125"/>
      <c r="AG667" s="125"/>
      <c r="AH667" s="125"/>
      <c r="AI667" s="125"/>
      <c r="AJ667" s="125"/>
      <c r="AK667" s="125"/>
      <c r="AL667" s="125"/>
      <c r="AM667" s="125"/>
      <c r="AN667" s="125"/>
      <c r="AO667" s="125"/>
      <c r="AP667" s="125"/>
      <c r="AQ667" s="125"/>
      <c r="AR667" s="125"/>
      <c r="AS667" s="125"/>
      <c r="AT667" s="125"/>
      <c r="AU667" s="125"/>
      <c r="AV667" s="125"/>
      <c r="AW667" s="125"/>
      <c r="AX667" s="125"/>
      <c r="AY667" s="125"/>
      <c r="AZ667" s="125"/>
      <c r="BA667" s="125"/>
      <c r="BB667" s="125"/>
      <c r="BC667" s="125"/>
      <c r="BD667" s="125"/>
      <c r="BE667" s="125"/>
      <c r="BF667" s="125"/>
    </row>
    <row r="668" spans="1:58" ht="15.75" customHeight="1">
      <c r="A668" s="125"/>
      <c r="B668" s="125"/>
      <c r="C668" s="125"/>
      <c r="D668" s="125"/>
      <c r="E668" s="125"/>
      <c r="F668" s="125"/>
      <c r="G668" s="125"/>
      <c r="H668" s="125"/>
      <c r="I668" s="125"/>
      <c r="J668" s="125"/>
      <c r="K668" s="125"/>
      <c r="L668" s="125"/>
      <c r="M668" s="125"/>
      <c r="N668" s="125"/>
      <c r="O668" s="125"/>
      <c r="P668" s="125"/>
      <c r="Q668" s="125"/>
      <c r="R668" s="125"/>
      <c r="S668" s="125"/>
      <c r="T668" s="125"/>
      <c r="U668" s="125"/>
      <c r="V668" s="125"/>
      <c r="W668" s="125"/>
      <c r="X668" s="125"/>
      <c r="Y668" s="125"/>
      <c r="Z668" s="125"/>
      <c r="AA668" s="125"/>
      <c r="AB668" s="125"/>
      <c r="AC668" s="125"/>
      <c r="AD668" s="125"/>
      <c r="AE668" s="125"/>
      <c r="AF668" s="125"/>
      <c r="AG668" s="125"/>
      <c r="AH668" s="125"/>
      <c r="AI668" s="125"/>
      <c r="AJ668" s="125"/>
      <c r="AK668" s="125"/>
      <c r="AL668" s="125"/>
      <c r="AM668" s="125"/>
      <c r="AN668" s="125"/>
      <c r="AO668" s="125"/>
      <c r="AP668" s="125"/>
      <c r="AQ668" s="125"/>
      <c r="AR668" s="125"/>
      <c r="AS668" s="125"/>
      <c r="AT668" s="125"/>
      <c r="AU668" s="125"/>
      <c r="AV668" s="125"/>
      <c r="AW668" s="125"/>
      <c r="AX668" s="125"/>
      <c r="AY668" s="125"/>
      <c r="AZ668" s="125"/>
      <c r="BA668" s="125"/>
      <c r="BB668" s="125"/>
      <c r="BC668" s="125"/>
      <c r="BD668" s="125"/>
      <c r="BE668" s="125"/>
      <c r="BF668" s="125"/>
    </row>
    <row r="669" spans="1:58" ht="15.75" customHeight="1">
      <c r="A669" s="125"/>
      <c r="B669" s="125"/>
      <c r="C669" s="125"/>
      <c r="D669" s="125"/>
      <c r="E669" s="125"/>
      <c r="F669" s="125"/>
      <c r="G669" s="125"/>
      <c r="H669" s="125"/>
      <c r="I669" s="125"/>
      <c r="J669" s="125"/>
      <c r="K669" s="125"/>
      <c r="L669" s="125"/>
      <c r="M669" s="125"/>
      <c r="N669" s="125"/>
      <c r="O669" s="125"/>
      <c r="P669" s="125"/>
      <c r="Q669" s="125"/>
      <c r="R669" s="125"/>
      <c r="S669" s="125"/>
      <c r="T669" s="125"/>
      <c r="U669" s="125"/>
      <c r="V669" s="125"/>
      <c r="W669" s="125"/>
      <c r="X669" s="125"/>
      <c r="Y669" s="125"/>
      <c r="Z669" s="125"/>
      <c r="AA669" s="125"/>
      <c r="AB669" s="125"/>
      <c r="AC669" s="125"/>
      <c r="AD669" s="125"/>
      <c r="AE669" s="125"/>
      <c r="AF669" s="125"/>
      <c r="AG669" s="125"/>
      <c r="AH669" s="125"/>
      <c r="AI669" s="125"/>
      <c r="AJ669" s="125"/>
      <c r="AK669" s="125"/>
      <c r="AL669" s="125"/>
      <c r="AM669" s="125"/>
      <c r="AN669" s="125"/>
      <c r="AO669" s="125"/>
      <c r="AP669" s="125"/>
      <c r="AQ669" s="125"/>
      <c r="AR669" s="125"/>
      <c r="AS669" s="125"/>
      <c r="AT669" s="125"/>
      <c r="AU669" s="125"/>
      <c r="AV669" s="125"/>
      <c r="AW669" s="125"/>
      <c r="AX669" s="125"/>
      <c r="AY669" s="125"/>
      <c r="AZ669" s="125"/>
      <c r="BA669" s="125"/>
      <c r="BB669" s="125"/>
      <c r="BC669" s="125"/>
      <c r="BD669" s="125"/>
      <c r="BE669" s="125"/>
      <c r="BF669" s="125"/>
    </row>
    <row r="670" spans="1:58" ht="15.75" customHeight="1">
      <c r="A670" s="125"/>
      <c r="B670" s="125"/>
      <c r="C670" s="125"/>
      <c r="D670" s="125"/>
      <c r="E670" s="125"/>
      <c r="F670" s="125"/>
      <c r="G670" s="125"/>
      <c r="H670" s="125"/>
      <c r="I670" s="125"/>
      <c r="J670" s="125"/>
      <c r="K670" s="125"/>
      <c r="L670" s="125"/>
      <c r="M670" s="125"/>
      <c r="N670" s="125"/>
      <c r="O670" s="125"/>
      <c r="P670" s="125"/>
      <c r="Q670" s="125"/>
      <c r="R670" s="125"/>
      <c r="S670" s="125"/>
      <c r="T670" s="125"/>
      <c r="U670" s="125"/>
      <c r="V670" s="125"/>
      <c r="W670" s="125"/>
      <c r="X670" s="125"/>
      <c r="Y670" s="125"/>
      <c r="Z670" s="125"/>
      <c r="AA670" s="125"/>
      <c r="AB670" s="125"/>
      <c r="AC670" s="125"/>
      <c r="AD670" s="125"/>
      <c r="AE670" s="125"/>
      <c r="AF670" s="125"/>
      <c r="AG670" s="125"/>
      <c r="AH670" s="125"/>
      <c r="AI670" s="125"/>
      <c r="AJ670" s="125"/>
      <c r="AK670" s="125"/>
      <c r="AL670" s="125"/>
      <c r="AM670" s="125"/>
      <c r="AN670" s="125"/>
      <c r="AO670" s="125"/>
      <c r="AP670" s="125"/>
      <c r="AQ670" s="125"/>
      <c r="AR670" s="125"/>
      <c r="AS670" s="125"/>
      <c r="AT670" s="125"/>
      <c r="AU670" s="125"/>
      <c r="AV670" s="125"/>
      <c r="AW670" s="125"/>
      <c r="AX670" s="125"/>
      <c r="AY670" s="125"/>
      <c r="AZ670" s="125"/>
      <c r="BA670" s="125"/>
      <c r="BB670" s="125"/>
      <c r="BC670" s="125"/>
      <c r="BD670" s="125"/>
      <c r="BE670" s="125"/>
      <c r="BF670" s="125"/>
    </row>
    <row r="671" spans="1:58" ht="15.75" customHeight="1">
      <c r="A671" s="125"/>
      <c r="B671" s="125"/>
      <c r="C671" s="125"/>
      <c r="D671" s="125"/>
      <c r="E671" s="125"/>
      <c r="F671" s="125"/>
      <c r="G671" s="125"/>
      <c r="H671" s="125"/>
      <c r="I671" s="125"/>
      <c r="J671" s="125"/>
      <c r="K671" s="125"/>
      <c r="L671" s="125"/>
      <c r="M671" s="125"/>
      <c r="N671" s="125"/>
      <c r="O671" s="125"/>
      <c r="P671" s="125"/>
      <c r="Q671" s="125"/>
      <c r="R671" s="125"/>
      <c r="S671" s="125"/>
      <c r="T671" s="125"/>
      <c r="U671" s="125"/>
      <c r="V671" s="125"/>
      <c r="W671" s="125"/>
      <c r="X671" s="125"/>
      <c r="Y671" s="125"/>
      <c r="Z671" s="125"/>
      <c r="AA671" s="125"/>
      <c r="AB671" s="125"/>
      <c r="AC671" s="125"/>
      <c r="AD671" s="125"/>
      <c r="AE671" s="125"/>
      <c r="AF671" s="125"/>
      <c r="AG671" s="125"/>
      <c r="AH671" s="125"/>
      <c r="AI671" s="125"/>
      <c r="AJ671" s="125"/>
      <c r="AK671" s="125"/>
      <c r="AL671" s="125"/>
      <c r="AM671" s="125"/>
      <c r="AN671" s="125"/>
      <c r="AO671" s="125"/>
      <c r="AP671" s="125"/>
      <c r="AQ671" s="125"/>
      <c r="AR671" s="125"/>
      <c r="AS671" s="125"/>
      <c r="AT671" s="125"/>
      <c r="AU671" s="125"/>
      <c r="AV671" s="125"/>
      <c r="AW671" s="125"/>
      <c r="AX671" s="125"/>
      <c r="AY671" s="125"/>
      <c r="AZ671" s="125"/>
      <c r="BA671" s="125"/>
      <c r="BB671" s="125"/>
      <c r="BC671" s="125"/>
      <c r="BD671" s="125"/>
      <c r="BE671" s="125"/>
      <c r="BF671" s="125"/>
    </row>
    <row r="672" spans="1:58" ht="15.75" customHeight="1">
      <c r="A672" s="125"/>
      <c r="B672" s="125"/>
      <c r="C672" s="125"/>
      <c r="D672" s="125"/>
      <c r="E672" s="125"/>
      <c r="F672" s="125"/>
      <c r="G672" s="125"/>
      <c r="H672" s="125"/>
      <c r="I672" s="125"/>
      <c r="J672" s="125"/>
      <c r="K672" s="125"/>
      <c r="L672" s="125"/>
      <c r="M672" s="125"/>
      <c r="N672" s="125"/>
      <c r="O672" s="125"/>
      <c r="P672" s="125"/>
      <c r="Q672" s="125"/>
      <c r="R672" s="125"/>
      <c r="S672" s="125"/>
      <c r="T672" s="125"/>
      <c r="U672" s="125"/>
      <c r="V672" s="125"/>
      <c r="W672" s="125"/>
      <c r="X672" s="125"/>
      <c r="Y672" s="125"/>
      <c r="Z672" s="125"/>
      <c r="AA672" s="125"/>
      <c r="AB672" s="125"/>
      <c r="AC672" s="125"/>
      <c r="AD672" s="125"/>
      <c r="AE672" s="125"/>
      <c r="AF672" s="125"/>
      <c r="AG672" s="125"/>
      <c r="AH672" s="125"/>
      <c r="AI672" s="125"/>
      <c r="AJ672" s="125"/>
      <c r="AK672" s="125"/>
      <c r="AL672" s="125"/>
      <c r="AM672" s="125"/>
      <c r="AN672" s="125"/>
      <c r="AO672" s="125"/>
      <c r="AP672" s="125"/>
      <c r="AQ672" s="125"/>
      <c r="AR672" s="125"/>
      <c r="AS672" s="125"/>
      <c r="AT672" s="125"/>
      <c r="AU672" s="125"/>
      <c r="AV672" s="125"/>
      <c r="AW672" s="125"/>
      <c r="AX672" s="125"/>
      <c r="AY672" s="125"/>
      <c r="AZ672" s="125"/>
      <c r="BA672" s="125"/>
      <c r="BB672" s="125"/>
      <c r="BC672" s="125"/>
      <c r="BD672" s="125"/>
      <c r="BE672" s="125"/>
      <c r="BF672" s="125"/>
    </row>
    <row r="673" spans="1:58" ht="15.75" customHeight="1">
      <c r="A673" s="125"/>
      <c r="B673" s="125"/>
      <c r="C673" s="125"/>
      <c r="D673" s="125"/>
      <c r="E673" s="125"/>
      <c r="F673" s="125"/>
      <c r="G673" s="125"/>
      <c r="H673" s="125"/>
      <c r="I673" s="125"/>
      <c r="J673" s="125"/>
      <c r="K673" s="125"/>
      <c r="L673" s="125"/>
      <c r="M673" s="125"/>
      <c r="N673" s="125"/>
      <c r="O673" s="125"/>
      <c r="P673" s="125"/>
      <c r="Q673" s="125"/>
      <c r="R673" s="125"/>
      <c r="S673" s="125"/>
      <c r="T673" s="125"/>
      <c r="U673" s="125"/>
      <c r="V673" s="125"/>
      <c r="W673" s="125"/>
      <c r="X673" s="125"/>
      <c r="Y673" s="125"/>
      <c r="Z673" s="125"/>
      <c r="AA673" s="125"/>
      <c r="AB673" s="125"/>
      <c r="AC673" s="125"/>
      <c r="AD673" s="125"/>
      <c r="AE673" s="125"/>
      <c r="AF673" s="125"/>
      <c r="AG673" s="125"/>
      <c r="AH673" s="125"/>
      <c r="AI673" s="125"/>
      <c r="AJ673" s="125"/>
      <c r="AK673" s="125"/>
      <c r="AL673" s="125"/>
      <c r="AM673" s="125"/>
      <c r="AN673" s="125"/>
      <c r="AO673" s="125"/>
      <c r="AP673" s="125"/>
      <c r="AQ673" s="125"/>
      <c r="AR673" s="125"/>
      <c r="AS673" s="125"/>
      <c r="AT673" s="125"/>
      <c r="AU673" s="125"/>
      <c r="AV673" s="125"/>
      <c r="AW673" s="125"/>
      <c r="AX673" s="125"/>
      <c r="AY673" s="125"/>
      <c r="AZ673" s="125"/>
      <c r="BA673" s="125"/>
      <c r="BB673" s="125"/>
      <c r="BC673" s="125"/>
      <c r="BD673" s="125"/>
      <c r="BE673" s="125"/>
      <c r="BF673" s="125"/>
    </row>
    <row r="674" spans="1:58" ht="15.75" customHeight="1">
      <c r="A674" s="125"/>
      <c r="B674" s="125"/>
      <c r="C674" s="125"/>
      <c r="D674" s="125"/>
      <c r="E674" s="125"/>
      <c r="F674" s="125"/>
      <c r="G674" s="125"/>
      <c r="H674" s="125"/>
      <c r="I674" s="125"/>
      <c r="J674" s="125"/>
      <c r="K674" s="125"/>
      <c r="L674" s="125"/>
      <c r="M674" s="125"/>
      <c r="N674" s="125"/>
      <c r="O674" s="125"/>
      <c r="P674" s="125"/>
      <c r="Q674" s="125"/>
      <c r="R674" s="125"/>
      <c r="S674" s="125"/>
      <c r="T674" s="125"/>
      <c r="U674" s="125"/>
      <c r="V674" s="125"/>
      <c r="W674" s="125"/>
      <c r="X674" s="125"/>
      <c r="Y674" s="125"/>
      <c r="Z674" s="125"/>
      <c r="AA674" s="125"/>
      <c r="AB674" s="125"/>
      <c r="AC674" s="125"/>
      <c r="AD674" s="125"/>
      <c r="AE674" s="125"/>
      <c r="AF674" s="125"/>
      <c r="AG674" s="125"/>
      <c r="AH674" s="125"/>
      <c r="AI674" s="125"/>
      <c r="AJ674" s="125"/>
      <c r="AK674" s="125"/>
      <c r="AL674" s="125"/>
      <c r="AM674" s="125"/>
      <c r="AN674" s="125"/>
      <c r="AO674" s="125"/>
      <c r="AP674" s="125"/>
      <c r="AQ674" s="125"/>
      <c r="AR674" s="125"/>
      <c r="AS674" s="125"/>
      <c r="AT674" s="125"/>
      <c r="AU674" s="125"/>
      <c r="AV674" s="125"/>
      <c r="AW674" s="125"/>
      <c r="AX674" s="125"/>
      <c r="AY674" s="125"/>
      <c r="AZ674" s="125"/>
      <c r="BA674" s="125"/>
      <c r="BB674" s="125"/>
      <c r="BC674" s="125"/>
      <c r="BD674" s="125"/>
      <c r="BE674" s="125"/>
      <c r="BF674" s="125"/>
    </row>
    <row r="675" spans="1:58" ht="15.75" customHeight="1">
      <c r="A675" s="125"/>
      <c r="B675" s="125"/>
      <c r="C675" s="125"/>
      <c r="D675" s="125"/>
      <c r="E675" s="125"/>
      <c r="F675" s="125"/>
      <c r="G675" s="125"/>
      <c r="H675" s="125"/>
      <c r="I675" s="125"/>
      <c r="J675" s="125"/>
      <c r="K675" s="125"/>
      <c r="L675" s="125"/>
      <c r="M675" s="125"/>
      <c r="N675" s="125"/>
      <c r="O675" s="125"/>
      <c r="P675" s="125"/>
      <c r="Q675" s="125"/>
      <c r="R675" s="125"/>
      <c r="S675" s="125"/>
      <c r="T675" s="125"/>
      <c r="U675" s="125"/>
      <c r="V675" s="125"/>
      <c r="W675" s="125"/>
      <c r="X675" s="125"/>
      <c r="Y675" s="125"/>
      <c r="Z675" s="125"/>
      <c r="AA675" s="125"/>
      <c r="AB675" s="125"/>
      <c r="AC675" s="125"/>
      <c r="AD675" s="125"/>
      <c r="AE675" s="125"/>
      <c r="AF675" s="125"/>
      <c r="AG675" s="125"/>
      <c r="AH675" s="125"/>
      <c r="AI675" s="125"/>
      <c r="AJ675" s="125"/>
      <c r="AK675" s="125"/>
      <c r="AL675" s="125"/>
      <c r="AM675" s="125"/>
      <c r="AN675" s="125"/>
      <c r="AO675" s="125"/>
      <c r="AP675" s="125"/>
      <c r="AQ675" s="125"/>
      <c r="AR675" s="125"/>
      <c r="AS675" s="125"/>
      <c r="AT675" s="125"/>
      <c r="AU675" s="125"/>
      <c r="AV675" s="125"/>
      <c r="AW675" s="125"/>
      <c r="AX675" s="125"/>
      <c r="AY675" s="125"/>
      <c r="AZ675" s="125"/>
      <c r="BA675" s="125"/>
      <c r="BB675" s="125"/>
      <c r="BC675" s="125"/>
      <c r="BD675" s="125"/>
      <c r="BE675" s="125"/>
      <c r="BF675" s="125"/>
    </row>
    <row r="676" spans="1:58" ht="15.75" customHeight="1">
      <c r="A676" s="125"/>
      <c r="B676" s="125"/>
      <c r="C676" s="125"/>
      <c r="D676" s="125"/>
      <c r="E676" s="125"/>
      <c r="F676" s="125"/>
      <c r="G676" s="125"/>
      <c r="H676" s="125"/>
      <c r="I676" s="125"/>
      <c r="J676" s="125"/>
      <c r="K676" s="125"/>
      <c r="L676" s="125"/>
      <c r="M676" s="125"/>
      <c r="N676" s="125"/>
      <c r="O676" s="125"/>
      <c r="P676" s="125"/>
      <c r="Q676" s="125"/>
      <c r="R676" s="125"/>
      <c r="S676" s="125"/>
      <c r="T676" s="125"/>
      <c r="U676" s="125"/>
      <c r="V676" s="125"/>
      <c r="W676" s="125"/>
      <c r="X676" s="125"/>
      <c r="Y676" s="125"/>
      <c r="Z676" s="125"/>
      <c r="AA676" s="125"/>
      <c r="AB676" s="125"/>
      <c r="AC676" s="125"/>
      <c r="AD676" s="125"/>
      <c r="AE676" s="125"/>
      <c r="AF676" s="125"/>
      <c r="AG676" s="125"/>
      <c r="AH676" s="125"/>
      <c r="AI676" s="125"/>
      <c r="AJ676" s="125"/>
      <c r="AK676" s="125"/>
      <c r="AL676" s="125"/>
      <c r="AM676" s="125"/>
      <c r="AN676" s="125"/>
      <c r="AO676" s="125"/>
      <c r="AP676" s="125"/>
      <c r="AQ676" s="125"/>
      <c r="AR676" s="125"/>
      <c r="AS676" s="125"/>
      <c r="AT676" s="125"/>
      <c r="AU676" s="125"/>
      <c r="AV676" s="125"/>
      <c r="AW676" s="125"/>
      <c r="AX676" s="125"/>
      <c r="AY676" s="125"/>
      <c r="AZ676" s="125"/>
      <c r="BA676" s="125"/>
      <c r="BB676" s="125"/>
      <c r="BC676" s="125"/>
      <c r="BD676" s="125"/>
      <c r="BE676" s="125"/>
      <c r="BF676" s="125"/>
    </row>
    <row r="677" spans="1:58" ht="15.75" customHeight="1">
      <c r="A677" s="125"/>
      <c r="B677" s="125"/>
      <c r="C677" s="125"/>
      <c r="D677" s="125"/>
      <c r="E677" s="125"/>
      <c r="F677" s="125"/>
      <c r="G677" s="125"/>
      <c r="H677" s="125"/>
      <c r="I677" s="125"/>
      <c r="J677" s="125"/>
      <c r="K677" s="125"/>
      <c r="L677" s="125"/>
      <c r="M677" s="125"/>
      <c r="N677" s="125"/>
      <c r="O677" s="125"/>
      <c r="P677" s="125"/>
      <c r="Q677" s="125"/>
      <c r="R677" s="125"/>
      <c r="S677" s="125"/>
      <c r="T677" s="125"/>
      <c r="U677" s="125"/>
      <c r="V677" s="125"/>
      <c r="W677" s="125"/>
      <c r="X677" s="125"/>
      <c r="Y677" s="125"/>
      <c r="Z677" s="125"/>
      <c r="AA677" s="125"/>
      <c r="AB677" s="125"/>
      <c r="AC677" s="125"/>
      <c r="AD677" s="125"/>
      <c r="AE677" s="125"/>
      <c r="AF677" s="125"/>
      <c r="AG677" s="125"/>
      <c r="AH677" s="125"/>
      <c r="AI677" s="125"/>
      <c r="AJ677" s="125"/>
      <c r="AK677" s="125"/>
      <c r="AL677" s="125"/>
      <c r="AM677" s="125"/>
      <c r="AN677" s="125"/>
      <c r="AO677" s="125"/>
      <c r="AP677" s="125"/>
      <c r="AQ677" s="125"/>
      <c r="AR677" s="125"/>
      <c r="AS677" s="125"/>
      <c r="AT677" s="125"/>
      <c r="AU677" s="125"/>
      <c r="AV677" s="125"/>
      <c r="AW677" s="125"/>
      <c r="AX677" s="125"/>
      <c r="AY677" s="125"/>
      <c r="AZ677" s="125"/>
      <c r="BA677" s="125"/>
      <c r="BB677" s="125"/>
      <c r="BC677" s="125"/>
      <c r="BD677" s="125"/>
      <c r="BE677" s="125"/>
      <c r="BF677" s="125"/>
    </row>
    <row r="678" spans="1:58" ht="15.75" customHeight="1">
      <c r="A678" s="125"/>
      <c r="B678" s="125"/>
      <c r="C678" s="125"/>
      <c r="D678" s="125"/>
      <c r="E678" s="125"/>
      <c r="F678" s="125"/>
      <c r="G678" s="125"/>
      <c r="H678" s="125"/>
      <c r="I678" s="125"/>
      <c r="J678" s="125"/>
      <c r="K678" s="125"/>
      <c r="L678" s="125"/>
      <c r="M678" s="125"/>
      <c r="N678" s="125"/>
      <c r="O678" s="125"/>
      <c r="P678" s="125"/>
      <c r="Q678" s="125"/>
      <c r="R678" s="125"/>
      <c r="S678" s="125"/>
      <c r="T678" s="125"/>
      <c r="U678" s="125"/>
      <c r="V678" s="125"/>
      <c r="W678" s="125"/>
      <c r="X678" s="125"/>
      <c r="Y678" s="125"/>
      <c r="Z678" s="125"/>
      <c r="AA678" s="125"/>
      <c r="AB678" s="125"/>
      <c r="AC678" s="125"/>
      <c r="AD678" s="125"/>
      <c r="AE678" s="125"/>
      <c r="AF678" s="125"/>
      <c r="AG678" s="125"/>
      <c r="AH678" s="125"/>
      <c r="AI678" s="125"/>
      <c r="AJ678" s="125"/>
      <c r="AK678" s="125"/>
      <c r="AL678" s="125"/>
      <c r="AM678" s="125"/>
      <c r="AN678" s="125"/>
      <c r="AO678" s="125"/>
      <c r="AP678" s="125"/>
      <c r="AQ678" s="125"/>
      <c r="AR678" s="125"/>
      <c r="AS678" s="125"/>
      <c r="AT678" s="125"/>
      <c r="AU678" s="125"/>
      <c r="AV678" s="125"/>
      <c r="AW678" s="125"/>
      <c r="AX678" s="125"/>
      <c r="AY678" s="125"/>
      <c r="AZ678" s="125"/>
      <c r="BA678" s="125"/>
      <c r="BB678" s="125"/>
      <c r="BC678" s="125"/>
      <c r="BD678" s="125"/>
      <c r="BE678" s="125"/>
      <c r="BF678" s="125"/>
    </row>
    <row r="679" spans="1:58" ht="15.75" customHeight="1">
      <c r="A679" s="125"/>
      <c r="B679" s="125"/>
      <c r="C679" s="125"/>
      <c r="D679" s="125"/>
      <c r="E679" s="125"/>
      <c r="F679" s="125"/>
      <c r="G679" s="125"/>
      <c r="H679" s="125"/>
      <c r="I679" s="125"/>
      <c r="J679" s="125"/>
      <c r="K679" s="125"/>
      <c r="L679" s="125"/>
      <c r="M679" s="125"/>
      <c r="N679" s="125"/>
      <c r="O679" s="125"/>
      <c r="P679" s="125"/>
      <c r="Q679" s="125"/>
      <c r="R679" s="125"/>
      <c r="S679" s="125"/>
      <c r="T679" s="125"/>
      <c r="U679" s="125"/>
      <c r="V679" s="125"/>
      <c r="W679" s="125"/>
      <c r="X679" s="125"/>
      <c r="Y679" s="125"/>
      <c r="Z679" s="125"/>
      <c r="AA679" s="125"/>
      <c r="AB679" s="125"/>
      <c r="AC679" s="125"/>
      <c r="AD679" s="125"/>
      <c r="AE679" s="125"/>
      <c r="AF679" s="125"/>
      <c r="AG679" s="125"/>
      <c r="AH679" s="125"/>
      <c r="AI679" s="125"/>
      <c r="AJ679" s="125"/>
      <c r="AK679" s="125"/>
      <c r="AL679" s="125"/>
      <c r="AM679" s="125"/>
      <c r="AN679" s="125"/>
      <c r="AO679" s="125"/>
      <c r="AP679" s="125"/>
      <c r="AQ679" s="125"/>
      <c r="AR679" s="125"/>
      <c r="AS679" s="125"/>
      <c r="AT679" s="125"/>
      <c r="AU679" s="125"/>
      <c r="AV679" s="125"/>
      <c r="AW679" s="125"/>
      <c r="AX679" s="125"/>
      <c r="AY679" s="125"/>
      <c r="AZ679" s="125"/>
      <c r="BA679" s="125"/>
      <c r="BB679" s="125"/>
      <c r="BC679" s="125"/>
      <c r="BD679" s="125"/>
      <c r="BE679" s="125"/>
      <c r="BF679" s="125"/>
    </row>
    <row r="680" spans="1:58" ht="15.75" customHeight="1">
      <c r="A680" s="125"/>
      <c r="B680" s="125"/>
      <c r="C680" s="125"/>
      <c r="D680" s="125"/>
      <c r="E680" s="125"/>
      <c r="F680" s="125"/>
      <c r="G680" s="125"/>
      <c r="H680" s="125"/>
      <c r="I680" s="125"/>
      <c r="J680" s="125"/>
      <c r="K680" s="125"/>
      <c r="L680" s="125"/>
      <c r="M680" s="125"/>
      <c r="N680" s="125"/>
      <c r="O680" s="125"/>
      <c r="P680" s="125"/>
      <c r="Q680" s="125"/>
      <c r="R680" s="125"/>
      <c r="S680" s="125"/>
      <c r="T680" s="125"/>
      <c r="U680" s="125"/>
      <c r="V680" s="125"/>
      <c r="W680" s="125"/>
      <c r="X680" s="125"/>
      <c r="Y680" s="125"/>
      <c r="Z680" s="125"/>
      <c r="AA680" s="125"/>
      <c r="AB680" s="125"/>
      <c r="AC680" s="125"/>
      <c r="AD680" s="125"/>
      <c r="AE680" s="125"/>
      <c r="AF680" s="125"/>
      <c r="AG680" s="125"/>
      <c r="AH680" s="125"/>
      <c r="AI680" s="125"/>
      <c r="AJ680" s="125"/>
      <c r="AK680" s="125"/>
      <c r="AL680" s="125"/>
      <c r="AM680" s="125"/>
      <c r="AN680" s="125"/>
      <c r="AO680" s="125"/>
      <c r="AP680" s="125"/>
      <c r="AQ680" s="125"/>
      <c r="AR680" s="125"/>
      <c r="AS680" s="125"/>
      <c r="AT680" s="125"/>
      <c r="AU680" s="125"/>
      <c r="AV680" s="125"/>
      <c r="AW680" s="125"/>
      <c r="AX680" s="125"/>
      <c r="AY680" s="125"/>
      <c r="AZ680" s="125"/>
      <c r="BA680" s="125"/>
      <c r="BB680" s="125"/>
      <c r="BC680" s="125"/>
      <c r="BD680" s="125"/>
      <c r="BE680" s="125"/>
      <c r="BF680" s="125"/>
    </row>
    <row r="681" spans="1:58" ht="15.75" customHeight="1">
      <c r="A681" s="125"/>
      <c r="B681" s="125"/>
      <c r="C681" s="125"/>
      <c r="D681" s="125"/>
      <c r="E681" s="125"/>
      <c r="F681" s="125"/>
      <c r="G681" s="125"/>
      <c r="H681" s="125"/>
      <c r="I681" s="125"/>
      <c r="J681" s="125"/>
      <c r="K681" s="125"/>
      <c r="L681" s="125"/>
      <c r="M681" s="125"/>
      <c r="N681" s="125"/>
      <c r="O681" s="125"/>
      <c r="P681" s="125"/>
      <c r="Q681" s="125"/>
      <c r="R681" s="125"/>
      <c r="S681" s="125"/>
      <c r="T681" s="125"/>
      <c r="U681" s="125"/>
      <c r="V681" s="125"/>
      <c r="W681" s="125"/>
      <c r="X681" s="125"/>
      <c r="Y681" s="125"/>
      <c r="Z681" s="125"/>
      <c r="AA681" s="125"/>
      <c r="AB681" s="125"/>
      <c r="AC681" s="125"/>
      <c r="AD681" s="125"/>
      <c r="AE681" s="125"/>
      <c r="AF681" s="125"/>
      <c r="AG681" s="125"/>
      <c r="AH681" s="125"/>
      <c r="AI681" s="125"/>
      <c r="AJ681" s="125"/>
      <c r="AK681" s="125"/>
      <c r="AL681" s="125"/>
      <c r="AM681" s="125"/>
      <c r="AN681" s="125"/>
      <c r="AO681" s="125"/>
      <c r="AP681" s="125"/>
      <c r="AQ681" s="125"/>
      <c r="AR681" s="125"/>
      <c r="AS681" s="125"/>
      <c r="AT681" s="125"/>
      <c r="AU681" s="125"/>
      <c r="AV681" s="125"/>
      <c r="AW681" s="125"/>
      <c r="AX681" s="125"/>
      <c r="AY681" s="125"/>
      <c r="AZ681" s="125"/>
      <c r="BA681" s="125"/>
      <c r="BB681" s="125"/>
      <c r="BC681" s="125"/>
      <c r="BD681" s="125"/>
      <c r="BE681" s="125"/>
      <c r="BF681" s="125"/>
    </row>
    <row r="682" spans="1:58" ht="15.75" customHeight="1">
      <c r="A682" s="125"/>
      <c r="B682" s="125"/>
      <c r="C682" s="125"/>
      <c r="D682" s="125"/>
      <c r="E682" s="125"/>
      <c r="F682" s="125"/>
      <c r="G682" s="125"/>
      <c r="H682" s="125"/>
      <c r="I682" s="125"/>
      <c r="J682" s="125"/>
      <c r="K682" s="125"/>
      <c r="L682" s="125"/>
      <c r="M682" s="125"/>
      <c r="N682" s="125"/>
      <c r="O682" s="125"/>
      <c r="P682" s="125"/>
      <c r="Q682" s="125"/>
      <c r="R682" s="125"/>
      <c r="S682" s="125"/>
      <c r="T682" s="125"/>
      <c r="U682" s="125"/>
      <c r="V682" s="125"/>
      <c r="W682" s="125"/>
      <c r="X682" s="125"/>
      <c r="Y682" s="125"/>
      <c r="Z682" s="125"/>
      <c r="AA682" s="125"/>
      <c r="AB682" s="125"/>
      <c r="AC682" s="125"/>
      <c r="AD682" s="125"/>
      <c r="AE682" s="125"/>
      <c r="AF682" s="125"/>
      <c r="AG682" s="125"/>
      <c r="AH682" s="125"/>
      <c r="AI682" s="125"/>
      <c r="AJ682" s="125"/>
      <c r="AK682" s="125"/>
      <c r="AL682" s="125"/>
      <c r="AM682" s="125"/>
      <c r="AN682" s="125"/>
      <c r="AO682" s="125"/>
      <c r="AP682" s="125"/>
      <c r="AQ682" s="125"/>
      <c r="AR682" s="125"/>
      <c r="AS682" s="125"/>
      <c r="AT682" s="125"/>
      <c r="AU682" s="125"/>
      <c r="AV682" s="125"/>
      <c r="AW682" s="125"/>
      <c r="AX682" s="125"/>
      <c r="AY682" s="125"/>
      <c r="AZ682" s="125"/>
      <c r="BA682" s="125"/>
      <c r="BB682" s="125"/>
      <c r="BC682" s="125"/>
      <c r="BD682" s="125"/>
      <c r="BE682" s="125"/>
      <c r="BF682" s="125"/>
    </row>
    <row r="683" spans="1:58" ht="15.75" customHeight="1">
      <c r="A683" s="125"/>
      <c r="B683" s="125"/>
      <c r="C683" s="125"/>
      <c r="D683" s="125"/>
      <c r="E683" s="125"/>
      <c r="F683" s="125"/>
      <c r="G683" s="125"/>
      <c r="H683" s="125"/>
      <c r="I683" s="125"/>
      <c r="J683" s="125"/>
      <c r="K683" s="125"/>
      <c r="L683" s="125"/>
      <c r="M683" s="125"/>
      <c r="N683" s="125"/>
      <c r="O683" s="125"/>
      <c r="P683" s="125"/>
      <c r="Q683" s="125"/>
      <c r="R683" s="125"/>
      <c r="S683" s="125"/>
      <c r="T683" s="125"/>
      <c r="U683" s="125"/>
      <c r="V683" s="125"/>
      <c r="W683" s="125"/>
      <c r="X683" s="125"/>
      <c r="Y683" s="125"/>
      <c r="Z683" s="125"/>
      <c r="AA683" s="125"/>
      <c r="AB683" s="125"/>
      <c r="AC683" s="125"/>
      <c r="AD683" s="125"/>
      <c r="AE683" s="125"/>
      <c r="AF683" s="125"/>
      <c r="AG683" s="125"/>
      <c r="AH683" s="125"/>
      <c r="AI683" s="125"/>
      <c r="AJ683" s="125"/>
      <c r="AK683" s="125"/>
      <c r="AL683" s="125"/>
      <c r="AM683" s="125"/>
      <c r="AN683" s="125"/>
      <c r="AO683" s="125"/>
      <c r="AP683" s="125"/>
      <c r="AQ683" s="125"/>
      <c r="AR683" s="125"/>
      <c r="AS683" s="125"/>
      <c r="AT683" s="125"/>
      <c r="AU683" s="125"/>
      <c r="AV683" s="125"/>
      <c r="AW683" s="125"/>
      <c r="AX683" s="125"/>
      <c r="AY683" s="125"/>
      <c r="AZ683" s="125"/>
      <c r="BA683" s="125"/>
      <c r="BB683" s="125"/>
      <c r="BC683" s="125"/>
      <c r="BD683" s="125"/>
      <c r="BE683" s="125"/>
      <c r="BF683" s="125"/>
    </row>
    <row r="684" spans="1:58" ht="15.75" customHeight="1">
      <c r="A684" s="125"/>
      <c r="B684" s="125"/>
      <c r="C684" s="125"/>
      <c r="D684" s="125"/>
      <c r="E684" s="125"/>
      <c r="F684" s="125"/>
      <c r="G684" s="125"/>
      <c r="H684" s="125"/>
      <c r="I684" s="125"/>
      <c r="J684" s="125"/>
      <c r="K684" s="125"/>
      <c r="L684" s="125"/>
      <c r="M684" s="125"/>
      <c r="N684" s="125"/>
      <c r="O684" s="125"/>
      <c r="P684" s="125"/>
      <c r="Q684" s="125"/>
      <c r="R684" s="125"/>
      <c r="S684" s="125"/>
      <c r="T684" s="125"/>
      <c r="U684" s="125"/>
      <c r="V684" s="125"/>
      <c r="W684" s="125"/>
      <c r="X684" s="125"/>
      <c r="Y684" s="125"/>
      <c r="Z684" s="125"/>
      <c r="AA684" s="125"/>
      <c r="AB684" s="125"/>
      <c r="AC684" s="125"/>
      <c r="AD684" s="125"/>
      <c r="AE684" s="125"/>
      <c r="AF684" s="125"/>
      <c r="AG684" s="125"/>
      <c r="AH684" s="125"/>
      <c r="AI684" s="125"/>
      <c r="AJ684" s="125"/>
      <c r="AK684" s="125"/>
      <c r="AL684" s="125"/>
      <c r="AM684" s="125"/>
      <c r="AN684" s="125"/>
      <c r="AO684" s="125"/>
      <c r="AP684" s="125"/>
      <c r="AQ684" s="125"/>
      <c r="AR684" s="125"/>
      <c r="AS684" s="125"/>
      <c r="AT684" s="125"/>
      <c r="AU684" s="125"/>
      <c r="AV684" s="125"/>
      <c r="AW684" s="125"/>
      <c r="AX684" s="125"/>
      <c r="AY684" s="125"/>
      <c r="AZ684" s="125"/>
      <c r="BA684" s="125"/>
      <c r="BB684" s="125"/>
      <c r="BC684" s="125"/>
      <c r="BD684" s="125"/>
      <c r="BE684" s="125"/>
      <c r="BF684" s="125"/>
    </row>
    <row r="685" spans="1:58" ht="15.75" customHeight="1">
      <c r="A685" s="125"/>
      <c r="B685" s="125"/>
      <c r="C685" s="125"/>
      <c r="D685" s="125"/>
      <c r="E685" s="125"/>
      <c r="F685" s="125"/>
      <c r="G685" s="125"/>
      <c r="H685" s="125"/>
      <c r="I685" s="125"/>
      <c r="J685" s="125"/>
      <c r="K685" s="125"/>
      <c r="L685" s="125"/>
      <c r="M685" s="125"/>
      <c r="N685" s="125"/>
      <c r="O685" s="125"/>
      <c r="P685" s="125"/>
      <c r="Q685" s="125"/>
      <c r="R685" s="125"/>
      <c r="S685" s="125"/>
      <c r="T685" s="125"/>
      <c r="U685" s="125"/>
      <c r="V685" s="125"/>
      <c r="W685" s="125"/>
      <c r="X685" s="125"/>
      <c r="Y685" s="125"/>
      <c r="Z685" s="125"/>
      <c r="AA685" s="125"/>
      <c r="AB685" s="125"/>
      <c r="AC685" s="125"/>
      <c r="AD685" s="125"/>
      <c r="AE685" s="125"/>
      <c r="AF685" s="125"/>
      <c r="AG685" s="125"/>
      <c r="AH685" s="125"/>
      <c r="AI685" s="125"/>
      <c r="AJ685" s="125"/>
      <c r="AK685" s="125"/>
      <c r="AL685" s="125"/>
      <c r="AM685" s="125"/>
      <c r="AN685" s="125"/>
      <c r="AO685" s="125"/>
      <c r="AP685" s="125"/>
      <c r="AQ685" s="125"/>
      <c r="AR685" s="125"/>
      <c r="AS685" s="125"/>
      <c r="AT685" s="125"/>
      <c r="AU685" s="125"/>
      <c r="AV685" s="125"/>
      <c r="AW685" s="125"/>
      <c r="AX685" s="125"/>
      <c r="AY685" s="125"/>
      <c r="AZ685" s="125"/>
      <c r="BA685" s="125"/>
      <c r="BB685" s="125"/>
      <c r="BC685" s="125"/>
      <c r="BD685" s="125"/>
      <c r="BE685" s="125"/>
      <c r="BF685" s="125"/>
    </row>
    <row r="686" spans="1:58" ht="15.75" customHeight="1">
      <c r="A686" s="125"/>
      <c r="B686" s="125"/>
      <c r="C686" s="125"/>
      <c r="D686" s="125"/>
      <c r="E686" s="125"/>
      <c r="F686" s="125"/>
      <c r="G686" s="125"/>
      <c r="H686" s="125"/>
      <c r="I686" s="125"/>
      <c r="J686" s="125"/>
      <c r="K686" s="125"/>
      <c r="L686" s="125"/>
      <c r="M686" s="125"/>
      <c r="N686" s="125"/>
      <c r="O686" s="125"/>
      <c r="P686" s="125"/>
      <c r="Q686" s="125"/>
      <c r="R686" s="125"/>
      <c r="S686" s="125"/>
      <c r="T686" s="125"/>
      <c r="U686" s="125"/>
      <c r="V686" s="125"/>
      <c r="W686" s="125"/>
      <c r="X686" s="125"/>
      <c r="Y686" s="125"/>
      <c r="Z686" s="125"/>
      <c r="AA686" s="125"/>
      <c r="AB686" s="125"/>
      <c r="AC686" s="125"/>
      <c r="AD686" s="125"/>
      <c r="AE686" s="125"/>
      <c r="AF686" s="125"/>
      <c r="AG686" s="125"/>
      <c r="AH686" s="125"/>
      <c r="AI686" s="125"/>
      <c r="AJ686" s="125"/>
      <c r="AK686" s="125"/>
      <c r="AL686" s="125"/>
      <c r="AM686" s="125"/>
      <c r="AN686" s="125"/>
      <c r="AO686" s="125"/>
      <c r="AP686" s="125"/>
      <c r="AQ686" s="125"/>
      <c r="AR686" s="125"/>
      <c r="AS686" s="125"/>
      <c r="AT686" s="125"/>
      <c r="AU686" s="125"/>
      <c r="AV686" s="125"/>
      <c r="AW686" s="125"/>
      <c r="AX686" s="125"/>
      <c r="AY686" s="125"/>
      <c r="AZ686" s="125"/>
      <c r="BA686" s="125"/>
      <c r="BB686" s="125"/>
      <c r="BC686" s="125"/>
      <c r="BD686" s="125"/>
      <c r="BE686" s="125"/>
      <c r="BF686" s="125"/>
    </row>
    <row r="687" spans="1:58" ht="15.75" customHeight="1">
      <c r="A687" s="125"/>
      <c r="B687" s="125"/>
      <c r="C687" s="125"/>
      <c r="D687" s="125"/>
      <c r="E687" s="125"/>
      <c r="F687" s="125"/>
      <c r="G687" s="125"/>
      <c r="H687" s="125"/>
      <c r="I687" s="125"/>
      <c r="J687" s="125"/>
      <c r="K687" s="125"/>
      <c r="L687" s="125"/>
      <c r="M687" s="125"/>
      <c r="N687" s="125"/>
      <c r="O687" s="125"/>
      <c r="P687" s="125"/>
      <c r="Q687" s="125"/>
      <c r="R687" s="125"/>
      <c r="S687" s="125"/>
      <c r="T687" s="125"/>
      <c r="U687" s="125"/>
      <c r="V687" s="125"/>
      <c r="W687" s="125"/>
      <c r="X687" s="125"/>
      <c r="Y687" s="125"/>
      <c r="Z687" s="125"/>
      <c r="AA687" s="125"/>
      <c r="AB687" s="125"/>
      <c r="AC687" s="125"/>
      <c r="AD687" s="125"/>
      <c r="AE687" s="125"/>
      <c r="AF687" s="125"/>
      <c r="AG687" s="125"/>
      <c r="AH687" s="125"/>
      <c r="AI687" s="125"/>
      <c r="AJ687" s="125"/>
      <c r="AK687" s="125"/>
      <c r="AL687" s="125"/>
      <c r="AM687" s="125"/>
      <c r="AN687" s="125"/>
      <c r="AO687" s="125"/>
      <c r="AP687" s="125"/>
      <c r="AQ687" s="125"/>
      <c r="AR687" s="125"/>
      <c r="AS687" s="125"/>
      <c r="AT687" s="125"/>
      <c r="AU687" s="125"/>
      <c r="AV687" s="125"/>
      <c r="AW687" s="125"/>
      <c r="AX687" s="125"/>
      <c r="AY687" s="125"/>
      <c r="AZ687" s="125"/>
      <c r="BA687" s="125"/>
      <c r="BB687" s="125"/>
      <c r="BC687" s="125"/>
      <c r="BD687" s="125"/>
      <c r="BE687" s="125"/>
      <c r="BF687" s="125"/>
    </row>
    <row r="688" spans="1:58" ht="15.75" customHeight="1">
      <c r="A688" s="125"/>
      <c r="B688" s="125"/>
      <c r="C688" s="125"/>
      <c r="D688" s="125"/>
      <c r="E688" s="125"/>
      <c r="F688" s="125"/>
      <c r="G688" s="125"/>
      <c r="H688" s="125"/>
      <c r="I688" s="125"/>
      <c r="J688" s="125"/>
      <c r="K688" s="125"/>
      <c r="L688" s="125"/>
      <c r="M688" s="125"/>
      <c r="N688" s="125"/>
      <c r="O688" s="125"/>
      <c r="P688" s="125"/>
      <c r="Q688" s="125"/>
      <c r="R688" s="125"/>
      <c r="S688" s="125"/>
      <c r="T688" s="125"/>
      <c r="U688" s="125"/>
      <c r="V688" s="125"/>
      <c r="W688" s="125"/>
      <c r="X688" s="125"/>
      <c r="Y688" s="125"/>
      <c r="Z688" s="125"/>
      <c r="AA688" s="125"/>
      <c r="AB688" s="125"/>
      <c r="AC688" s="125"/>
      <c r="AD688" s="125"/>
      <c r="AE688" s="125"/>
      <c r="AF688" s="125"/>
      <c r="AG688" s="125"/>
      <c r="AH688" s="125"/>
      <c r="AI688" s="125"/>
      <c r="AJ688" s="125"/>
      <c r="AK688" s="125"/>
      <c r="AL688" s="125"/>
      <c r="AM688" s="125"/>
      <c r="AN688" s="125"/>
      <c r="AO688" s="125"/>
      <c r="AP688" s="125"/>
      <c r="AQ688" s="125"/>
      <c r="AR688" s="125"/>
      <c r="AS688" s="125"/>
      <c r="AT688" s="125"/>
      <c r="AU688" s="125"/>
      <c r="AV688" s="125"/>
      <c r="AW688" s="125"/>
      <c r="AX688" s="125"/>
      <c r="AY688" s="125"/>
      <c r="AZ688" s="125"/>
      <c r="BA688" s="125"/>
      <c r="BB688" s="125"/>
      <c r="BC688" s="125"/>
      <c r="BD688" s="125"/>
      <c r="BE688" s="125"/>
      <c r="BF688" s="125"/>
    </row>
    <row r="689" spans="1:58" ht="15.75" customHeight="1">
      <c r="A689" s="125"/>
      <c r="B689" s="125"/>
      <c r="C689" s="125"/>
      <c r="D689" s="125"/>
      <c r="E689" s="125"/>
      <c r="F689" s="125"/>
      <c r="G689" s="125"/>
      <c r="H689" s="125"/>
      <c r="I689" s="125"/>
      <c r="J689" s="125"/>
      <c r="K689" s="125"/>
      <c r="L689" s="125"/>
      <c r="M689" s="125"/>
      <c r="N689" s="125"/>
      <c r="O689" s="125"/>
      <c r="P689" s="125"/>
      <c r="Q689" s="125"/>
      <c r="R689" s="125"/>
      <c r="S689" s="125"/>
      <c r="T689" s="125"/>
      <c r="U689" s="125"/>
      <c r="V689" s="125"/>
      <c r="W689" s="125"/>
      <c r="X689" s="125"/>
      <c r="Y689" s="125"/>
      <c r="Z689" s="125"/>
      <c r="AA689" s="125"/>
      <c r="AB689" s="125"/>
      <c r="AC689" s="125"/>
      <c r="AD689" s="125"/>
      <c r="AE689" s="125"/>
      <c r="AF689" s="125"/>
      <c r="AG689" s="125"/>
      <c r="AH689" s="125"/>
      <c r="AI689" s="125"/>
      <c r="AJ689" s="125"/>
      <c r="AK689" s="125"/>
      <c r="AL689" s="125"/>
      <c r="AM689" s="125"/>
      <c r="AN689" s="125"/>
      <c r="AO689" s="125"/>
      <c r="AP689" s="125"/>
      <c r="AQ689" s="125"/>
      <c r="AR689" s="125"/>
      <c r="AS689" s="125"/>
      <c r="AT689" s="125"/>
      <c r="AU689" s="125"/>
      <c r="AV689" s="125"/>
      <c r="AW689" s="125"/>
      <c r="AX689" s="125"/>
      <c r="AY689" s="125"/>
      <c r="AZ689" s="125"/>
      <c r="BA689" s="125"/>
      <c r="BB689" s="125"/>
      <c r="BC689" s="125"/>
      <c r="BD689" s="125"/>
      <c r="BE689" s="125"/>
      <c r="BF689" s="125"/>
    </row>
    <row r="690" spans="1:58" ht="15.75" customHeight="1">
      <c r="A690" s="125"/>
      <c r="B690" s="125"/>
      <c r="C690" s="125"/>
      <c r="D690" s="125"/>
      <c r="E690" s="125"/>
      <c r="F690" s="125"/>
      <c r="G690" s="125"/>
      <c r="H690" s="125"/>
      <c r="I690" s="125"/>
      <c r="J690" s="125"/>
      <c r="K690" s="125"/>
      <c r="L690" s="125"/>
      <c r="M690" s="125"/>
      <c r="N690" s="125"/>
      <c r="O690" s="125"/>
      <c r="P690" s="125"/>
      <c r="Q690" s="125"/>
      <c r="R690" s="125"/>
      <c r="S690" s="125"/>
      <c r="T690" s="125"/>
      <c r="U690" s="125"/>
      <c r="V690" s="125"/>
      <c r="W690" s="125"/>
      <c r="X690" s="125"/>
      <c r="Y690" s="125"/>
      <c r="Z690" s="125"/>
      <c r="AA690" s="125"/>
      <c r="AB690" s="125"/>
      <c r="AC690" s="125"/>
      <c r="AD690" s="125"/>
      <c r="AE690" s="125"/>
      <c r="AF690" s="125"/>
      <c r="AG690" s="125"/>
      <c r="AH690" s="125"/>
      <c r="AI690" s="125"/>
      <c r="AJ690" s="125"/>
      <c r="AK690" s="125"/>
      <c r="AL690" s="125"/>
      <c r="AM690" s="125"/>
      <c r="AN690" s="125"/>
      <c r="AO690" s="125"/>
      <c r="AP690" s="125"/>
      <c r="AQ690" s="125"/>
      <c r="AR690" s="125"/>
      <c r="AS690" s="125"/>
      <c r="AT690" s="125"/>
      <c r="AU690" s="125"/>
      <c r="AV690" s="125"/>
      <c r="AW690" s="125"/>
      <c r="AX690" s="125"/>
      <c r="AY690" s="125"/>
      <c r="AZ690" s="125"/>
      <c r="BA690" s="125"/>
      <c r="BB690" s="125"/>
      <c r="BC690" s="125"/>
      <c r="BD690" s="125"/>
      <c r="BE690" s="125"/>
      <c r="BF690" s="125"/>
    </row>
    <row r="691" spans="1:58" ht="15.75" customHeight="1">
      <c r="A691" s="125"/>
      <c r="B691" s="125"/>
      <c r="C691" s="125"/>
      <c r="D691" s="125"/>
      <c r="E691" s="125"/>
      <c r="F691" s="125"/>
      <c r="G691" s="125"/>
      <c r="H691" s="125"/>
      <c r="I691" s="125"/>
      <c r="J691" s="125"/>
      <c r="K691" s="125"/>
      <c r="L691" s="125"/>
      <c r="M691" s="125"/>
      <c r="N691" s="125"/>
      <c r="O691" s="125"/>
      <c r="P691" s="125"/>
      <c r="Q691" s="125"/>
      <c r="R691" s="125"/>
      <c r="S691" s="125"/>
      <c r="T691" s="125"/>
      <c r="U691" s="125"/>
      <c r="V691" s="125"/>
      <c r="W691" s="125"/>
      <c r="X691" s="125"/>
      <c r="Y691" s="125"/>
      <c r="Z691" s="125"/>
      <c r="AA691" s="125"/>
      <c r="AB691" s="125"/>
      <c r="AC691" s="125"/>
      <c r="AD691" s="125"/>
      <c r="AE691" s="125"/>
      <c r="AF691" s="125"/>
      <c r="AG691" s="125"/>
      <c r="AH691" s="125"/>
      <c r="AI691" s="125"/>
      <c r="AJ691" s="125"/>
      <c r="AK691" s="125"/>
      <c r="AL691" s="125"/>
      <c r="AM691" s="125"/>
      <c r="AN691" s="125"/>
      <c r="AO691" s="125"/>
      <c r="AP691" s="125"/>
      <c r="AQ691" s="125"/>
      <c r="AR691" s="125"/>
      <c r="AS691" s="125"/>
      <c r="AT691" s="125"/>
      <c r="AU691" s="125"/>
      <c r="AV691" s="125"/>
      <c r="AW691" s="125"/>
      <c r="AX691" s="125"/>
      <c r="AY691" s="125"/>
      <c r="AZ691" s="125"/>
      <c r="BA691" s="125"/>
      <c r="BB691" s="125"/>
      <c r="BC691" s="125"/>
      <c r="BD691" s="125"/>
      <c r="BE691" s="125"/>
      <c r="BF691" s="125"/>
    </row>
    <row r="692" spans="1:58" ht="15.75" customHeight="1">
      <c r="A692" s="125"/>
      <c r="B692" s="125"/>
      <c r="C692" s="125"/>
      <c r="D692" s="125"/>
      <c r="E692" s="125"/>
      <c r="F692" s="125"/>
      <c r="G692" s="125"/>
      <c r="H692" s="125"/>
      <c r="I692" s="125"/>
      <c r="J692" s="125"/>
      <c r="K692" s="125"/>
      <c r="L692" s="125"/>
      <c r="M692" s="125"/>
      <c r="N692" s="125"/>
      <c r="O692" s="125"/>
      <c r="P692" s="125"/>
      <c r="Q692" s="125"/>
      <c r="R692" s="125"/>
      <c r="S692" s="125"/>
      <c r="T692" s="125"/>
      <c r="U692" s="125"/>
      <c r="V692" s="125"/>
      <c r="W692" s="125"/>
      <c r="X692" s="125"/>
      <c r="Y692" s="125"/>
      <c r="Z692" s="125"/>
      <c r="AA692" s="125"/>
      <c r="AB692" s="125"/>
      <c r="AC692" s="125"/>
      <c r="AD692" s="125"/>
      <c r="AE692" s="125"/>
      <c r="AF692" s="125"/>
      <c r="AG692" s="125"/>
      <c r="AH692" s="125"/>
      <c r="AI692" s="125"/>
      <c r="AJ692" s="125"/>
      <c r="AK692" s="125"/>
      <c r="AL692" s="125"/>
      <c r="AM692" s="125"/>
      <c r="AN692" s="125"/>
      <c r="AO692" s="125"/>
      <c r="AP692" s="125"/>
      <c r="AQ692" s="125"/>
      <c r="AR692" s="125"/>
      <c r="AS692" s="125"/>
      <c r="AT692" s="125"/>
      <c r="AU692" s="125"/>
      <c r="AV692" s="125"/>
      <c r="AW692" s="125"/>
      <c r="AX692" s="125"/>
      <c r="AY692" s="125"/>
      <c r="AZ692" s="125"/>
      <c r="BA692" s="125"/>
      <c r="BB692" s="125"/>
      <c r="BC692" s="125"/>
      <c r="BD692" s="125"/>
      <c r="BE692" s="125"/>
      <c r="BF692" s="125"/>
    </row>
    <row r="693" spans="1:58" ht="15.75" customHeight="1">
      <c r="A693" s="125"/>
      <c r="B693" s="125"/>
      <c r="C693" s="125"/>
      <c r="D693" s="125"/>
      <c r="E693" s="125"/>
      <c r="F693" s="125"/>
      <c r="G693" s="125"/>
      <c r="H693" s="125"/>
      <c r="I693" s="125"/>
      <c r="J693" s="125"/>
      <c r="K693" s="125"/>
      <c r="L693" s="125"/>
      <c r="M693" s="125"/>
      <c r="N693" s="125"/>
      <c r="O693" s="125"/>
      <c r="P693" s="125"/>
      <c r="Q693" s="125"/>
      <c r="R693" s="125"/>
      <c r="S693" s="125"/>
      <c r="T693" s="125"/>
      <c r="U693" s="125"/>
      <c r="V693" s="125"/>
      <c r="W693" s="125"/>
      <c r="X693" s="125"/>
      <c r="Y693" s="125"/>
      <c r="Z693" s="125"/>
      <c r="AA693" s="125"/>
      <c r="AB693" s="125"/>
      <c r="AC693" s="125"/>
      <c r="AD693" s="125"/>
      <c r="AE693" s="125"/>
      <c r="AF693" s="125"/>
      <c r="AG693" s="125"/>
      <c r="AH693" s="125"/>
      <c r="AI693" s="125"/>
      <c r="AJ693" s="125"/>
      <c r="AK693" s="125"/>
      <c r="AL693" s="125"/>
      <c r="AM693" s="125"/>
      <c r="AN693" s="125"/>
      <c r="AO693" s="125"/>
      <c r="AP693" s="125"/>
      <c r="AQ693" s="125"/>
      <c r="AR693" s="125"/>
      <c r="AS693" s="125"/>
      <c r="AT693" s="125"/>
      <c r="AU693" s="125"/>
      <c r="AV693" s="125"/>
      <c r="AW693" s="125"/>
      <c r="AX693" s="125"/>
      <c r="AY693" s="125"/>
      <c r="AZ693" s="125"/>
      <c r="BA693" s="125"/>
      <c r="BB693" s="125"/>
      <c r="BC693" s="125"/>
      <c r="BD693" s="125"/>
      <c r="BE693" s="125"/>
      <c r="BF693" s="125"/>
    </row>
    <row r="694" spans="1:58" ht="15.75" customHeight="1">
      <c r="A694" s="125"/>
      <c r="B694" s="125"/>
      <c r="C694" s="125"/>
      <c r="D694" s="125"/>
      <c r="E694" s="125"/>
      <c r="F694" s="125"/>
      <c r="G694" s="125"/>
      <c r="H694" s="125"/>
      <c r="I694" s="125"/>
      <c r="J694" s="125"/>
      <c r="K694" s="125"/>
      <c r="L694" s="125"/>
      <c r="M694" s="125"/>
      <c r="N694" s="125"/>
      <c r="O694" s="125"/>
      <c r="P694" s="125"/>
      <c r="Q694" s="125"/>
      <c r="R694" s="125"/>
      <c r="S694" s="125"/>
      <c r="T694" s="125"/>
      <c r="U694" s="125"/>
      <c r="V694" s="125"/>
      <c r="W694" s="125"/>
      <c r="X694" s="125"/>
      <c r="Y694" s="125"/>
      <c r="Z694" s="125"/>
      <c r="AA694" s="125"/>
      <c r="AB694" s="125"/>
      <c r="AC694" s="125"/>
      <c r="AD694" s="125"/>
      <c r="AE694" s="125"/>
      <c r="AF694" s="125"/>
      <c r="AG694" s="125"/>
      <c r="AH694" s="125"/>
      <c r="AI694" s="125"/>
      <c r="AJ694" s="125"/>
      <c r="AK694" s="125"/>
      <c r="AL694" s="125"/>
      <c r="AM694" s="125"/>
      <c r="AN694" s="125"/>
      <c r="AO694" s="125"/>
      <c r="AP694" s="125"/>
      <c r="AQ694" s="125"/>
      <c r="AR694" s="125"/>
      <c r="AS694" s="125"/>
      <c r="AT694" s="125"/>
      <c r="AU694" s="125"/>
      <c r="AV694" s="125"/>
      <c r="AW694" s="125"/>
      <c r="AX694" s="125"/>
      <c r="AY694" s="125"/>
      <c r="AZ694" s="125"/>
      <c r="BA694" s="125"/>
      <c r="BB694" s="125"/>
      <c r="BC694" s="125"/>
      <c r="BD694" s="125"/>
      <c r="BE694" s="125"/>
      <c r="BF694" s="125"/>
    </row>
    <row r="695" spans="1:58" ht="15.75" customHeight="1">
      <c r="A695" s="125"/>
      <c r="B695" s="125"/>
      <c r="C695" s="125"/>
      <c r="D695" s="125"/>
      <c r="E695" s="125"/>
      <c r="F695" s="125"/>
      <c r="G695" s="125"/>
      <c r="H695" s="125"/>
      <c r="I695" s="125"/>
      <c r="J695" s="125"/>
      <c r="K695" s="125"/>
      <c r="L695" s="125"/>
      <c r="M695" s="125"/>
      <c r="N695" s="125"/>
      <c r="O695" s="125"/>
      <c r="P695" s="125"/>
      <c r="Q695" s="125"/>
      <c r="R695" s="125"/>
      <c r="S695" s="125"/>
      <c r="T695" s="125"/>
      <c r="U695" s="125"/>
      <c r="V695" s="125"/>
      <c r="W695" s="125"/>
      <c r="X695" s="125"/>
      <c r="Y695" s="125"/>
      <c r="Z695" s="125"/>
      <c r="AA695" s="125"/>
      <c r="AB695" s="125"/>
      <c r="AC695" s="125"/>
      <c r="AD695" s="125"/>
      <c r="AE695" s="125"/>
      <c r="AF695" s="125"/>
      <c r="AG695" s="125"/>
      <c r="AH695" s="125"/>
      <c r="AI695" s="125"/>
      <c r="AJ695" s="125"/>
      <c r="AK695" s="125"/>
      <c r="AL695" s="125"/>
      <c r="AM695" s="125"/>
      <c r="AN695" s="125"/>
      <c r="AO695" s="125"/>
      <c r="AP695" s="125"/>
      <c r="AQ695" s="125"/>
      <c r="AR695" s="125"/>
      <c r="AS695" s="125"/>
      <c r="AT695" s="125"/>
      <c r="AU695" s="125"/>
      <c r="AV695" s="125"/>
      <c r="AW695" s="125"/>
      <c r="AX695" s="125"/>
      <c r="AY695" s="125"/>
      <c r="AZ695" s="125"/>
      <c r="BA695" s="125"/>
      <c r="BB695" s="125"/>
      <c r="BC695" s="125"/>
      <c r="BD695" s="125"/>
      <c r="BE695" s="125"/>
      <c r="BF695" s="125"/>
    </row>
    <row r="696" spans="1:58" ht="15.75" customHeight="1">
      <c r="A696" s="125"/>
      <c r="B696" s="125"/>
      <c r="C696" s="125"/>
      <c r="D696" s="125"/>
      <c r="E696" s="125"/>
      <c r="F696" s="125"/>
      <c r="G696" s="125"/>
      <c r="H696" s="125"/>
      <c r="I696" s="125"/>
      <c r="J696" s="125"/>
      <c r="K696" s="125"/>
      <c r="L696" s="125"/>
      <c r="M696" s="125"/>
      <c r="N696" s="125"/>
      <c r="O696" s="125"/>
      <c r="P696" s="125"/>
      <c r="Q696" s="125"/>
      <c r="R696" s="125"/>
      <c r="S696" s="125"/>
      <c r="T696" s="125"/>
      <c r="U696" s="125"/>
      <c r="V696" s="125"/>
      <c r="W696" s="125"/>
      <c r="X696" s="125"/>
      <c r="Y696" s="125"/>
      <c r="Z696" s="125"/>
      <c r="AA696" s="125"/>
      <c r="AB696" s="125"/>
      <c r="AC696" s="125"/>
      <c r="AD696" s="125"/>
      <c r="AE696" s="125"/>
      <c r="AF696" s="125"/>
      <c r="AG696" s="125"/>
      <c r="AH696" s="125"/>
      <c r="AI696" s="125"/>
      <c r="AJ696" s="125"/>
      <c r="AK696" s="125"/>
      <c r="AL696" s="125"/>
      <c r="AM696" s="125"/>
      <c r="AN696" s="125"/>
      <c r="AO696" s="125"/>
      <c r="AP696" s="125"/>
      <c r="AQ696" s="125"/>
      <c r="AR696" s="125"/>
      <c r="AS696" s="125"/>
      <c r="AT696" s="125"/>
      <c r="AU696" s="125"/>
      <c r="AV696" s="125"/>
      <c r="AW696" s="125"/>
      <c r="AX696" s="125"/>
      <c r="AY696" s="125"/>
      <c r="AZ696" s="125"/>
      <c r="BA696" s="125"/>
      <c r="BB696" s="125"/>
      <c r="BC696" s="125"/>
      <c r="BD696" s="125"/>
      <c r="BE696" s="125"/>
      <c r="BF696" s="125"/>
    </row>
    <row r="697" spans="1:58" ht="15.75" customHeight="1">
      <c r="A697" s="125"/>
      <c r="B697" s="125"/>
      <c r="C697" s="125"/>
      <c r="D697" s="125"/>
      <c r="E697" s="125"/>
      <c r="F697" s="125"/>
      <c r="G697" s="125"/>
      <c r="H697" s="125"/>
      <c r="I697" s="125"/>
      <c r="J697" s="125"/>
      <c r="K697" s="125"/>
      <c r="L697" s="125"/>
      <c r="M697" s="125"/>
      <c r="N697" s="125"/>
      <c r="O697" s="125"/>
      <c r="P697" s="125"/>
      <c r="Q697" s="125"/>
      <c r="R697" s="125"/>
      <c r="S697" s="125"/>
      <c r="T697" s="125"/>
      <c r="U697" s="125"/>
      <c r="V697" s="125"/>
      <c r="W697" s="125"/>
      <c r="X697" s="125"/>
      <c r="Y697" s="125"/>
      <c r="Z697" s="125"/>
      <c r="AA697" s="125"/>
      <c r="AB697" s="125"/>
      <c r="AC697" s="125"/>
      <c r="AD697" s="125"/>
      <c r="AE697" s="125"/>
      <c r="AF697" s="125"/>
      <c r="AG697" s="125"/>
      <c r="AH697" s="125"/>
      <c r="AI697" s="125"/>
      <c r="AJ697" s="125"/>
      <c r="AK697" s="125"/>
      <c r="AL697" s="125"/>
      <c r="AM697" s="125"/>
      <c r="AN697" s="125"/>
      <c r="AO697" s="125"/>
      <c r="AP697" s="125"/>
      <c r="AQ697" s="125"/>
      <c r="AR697" s="125"/>
      <c r="AS697" s="125"/>
      <c r="AT697" s="125"/>
      <c r="AU697" s="125"/>
      <c r="AV697" s="125"/>
      <c r="AW697" s="125"/>
      <c r="AX697" s="125"/>
      <c r="AY697" s="125"/>
      <c r="AZ697" s="125"/>
      <c r="BA697" s="125"/>
      <c r="BB697" s="125"/>
      <c r="BC697" s="125"/>
      <c r="BD697" s="125"/>
      <c r="BE697" s="125"/>
      <c r="BF697" s="125"/>
    </row>
    <row r="698" spans="1:58" ht="15.75" customHeight="1">
      <c r="A698" s="125"/>
      <c r="B698" s="125"/>
      <c r="C698" s="125"/>
      <c r="D698" s="125"/>
      <c r="E698" s="125"/>
      <c r="F698" s="125"/>
      <c r="G698" s="125"/>
      <c r="H698" s="125"/>
      <c r="I698" s="125"/>
      <c r="J698" s="125"/>
      <c r="K698" s="125"/>
      <c r="L698" s="125"/>
      <c r="M698" s="125"/>
      <c r="N698" s="125"/>
      <c r="O698" s="125"/>
      <c r="P698" s="125"/>
      <c r="Q698" s="125"/>
      <c r="R698" s="125"/>
      <c r="S698" s="125"/>
      <c r="T698" s="125"/>
      <c r="U698" s="125"/>
      <c r="V698" s="125"/>
      <c r="W698" s="125"/>
      <c r="X698" s="125"/>
      <c r="Y698" s="125"/>
      <c r="Z698" s="125"/>
      <c r="AA698" s="125"/>
      <c r="AB698" s="125"/>
      <c r="AC698" s="125"/>
      <c r="AD698" s="125"/>
      <c r="AE698" s="125"/>
      <c r="AF698" s="125"/>
      <c r="AG698" s="125"/>
      <c r="AH698" s="125"/>
      <c r="AI698" s="125"/>
      <c r="AJ698" s="125"/>
      <c r="AK698" s="125"/>
      <c r="AL698" s="125"/>
      <c r="AM698" s="125"/>
      <c r="AN698" s="125"/>
      <c r="AO698" s="125"/>
      <c r="AP698" s="125"/>
      <c r="AQ698" s="125"/>
      <c r="AR698" s="125"/>
      <c r="AS698" s="125"/>
      <c r="AT698" s="125"/>
      <c r="AU698" s="125"/>
      <c r="AV698" s="125"/>
      <c r="AW698" s="125"/>
      <c r="AX698" s="125"/>
      <c r="AY698" s="125"/>
      <c r="AZ698" s="125"/>
      <c r="BA698" s="125"/>
      <c r="BB698" s="125"/>
      <c r="BC698" s="125"/>
      <c r="BD698" s="125"/>
      <c r="BE698" s="125"/>
      <c r="BF698" s="125"/>
    </row>
    <row r="699" spans="1:58" ht="15.75" customHeight="1">
      <c r="A699" s="125"/>
      <c r="B699" s="125"/>
      <c r="C699" s="125"/>
      <c r="D699" s="125"/>
      <c r="E699" s="125"/>
      <c r="F699" s="125"/>
      <c r="G699" s="125"/>
      <c r="H699" s="125"/>
      <c r="I699" s="125"/>
      <c r="J699" s="125"/>
      <c r="K699" s="125"/>
      <c r="L699" s="125"/>
      <c r="M699" s="125"/>
      <c r="N699" s="125"/>
      <c r="O699" s="125"/>
      <c r="P699" s="125"/>
      <c r="Q699" s="125"/>
      <c r="R699" s="125"/>
      <c r="S699" s="125"/>
      <c r="T699" s="125"/>
      <c r="U699" s="125"/>
      <c r="V699" s="125"/>
      <c r="W699" s="125"/>
      <c r="X699" s="125"/>
      <c r="Y699" s="125"/>
      <c r="Z699" s="125"/>
      <c r="AA699" s="125"/>
      <c r="AB699" s="125"/>
      <c r="AC699" s="125"/>
      <c r="AD699" s="125"/>
      <c r="AE699" s="125"/>
      <c r="AF699" s="125"/>
      <c r="AG699" s="125"/>
      <c r="AH699" s="125"/>
      <c r="AI699" s="125"/>
      <c r="AJ699" s="125"/>
      <c r="AK699" s="125"/>
      <c r="AL699" s="125"/>
      <c r="AM699" s="125"/>
      <c r="AN699" s="125"/>
      <c r="AO699" s="125"/>
      <c r="AP699" s="125"/>
      <c r="AQ699" s="125"/>
      <c r="AR699" s="125"/>
      <c r="AS699" s="125"/>
      <c r="AT699" s="125"/>
      <c r="AU699" s="125"/>
      <c r="AV699" s="125"/>
      <c r="AW699" s="125"/>
      <c r="AX699" s="125"/>
      <c r="AY699" s="125"/>
      <c r="AZ699" s="125"/>
      <c r="BA699" s="125"/>
      <c r="BB699" s="125"/>
      <c r="BC699" s="125"/>
      <c r="BD699" s="125"/>
      <c r="BE699" s="125"/>
      <c r="BF699" s="125"/>
    </row>
    <row r="700" spans="1:58" ht="15.75" customHeight="1">
      <c r="A700" s="125"/>
      <c r="B700" s="125"/>
      <c r="C700" s="125"/>
      <c r="D700" s="125"/>
      <c r="E700" s="125"/>
      <c r="F700" s="125"/>
      <c r="G700" s="125"/>
      <c r="H700" s="125"/>
      <c r="I700" s="125"/>
      <c r="J700" s="125"/>
      <c r="K700" s="125"/>
      <c r="L700" s="125"/>
      <c r="M700" s="125"/>
      <c r="N700" s="125"/>
      <c r="O700" s="125"/>
      <c r="P700" s="125"/>
      <c r="Q700" s="125"/>
      <c r="R700" s="125"/>
      <c r="S700" s="125"/>
      <c r="T700" s="125"/>
      <c r="U700" s="125"/>
      <c r="V700" s="125"/>
      <c r="W700" s="125"/>
      <c r="X700" s="125"/>
      <c r="Y700" s="125"/>
      <c r="Z700" s="125"/>
      <c r="AA700" s="125"/>
      <c r="AB700" s="125"/>
      <c r="AC700" s="125"/>
      <c r="AD700" s="125"/>
      <c r="AE700" s="125"/>
      <c r="AF700" s="125"/>
      <c r="AG700" s="125"/>
      <c r="AH700" s="125"/>
      <c r="AI700" s="125"/>
      <c r="AJ700" s="125"/>
      <c r="AK700" s="125"/>
      <c r="AL700" s="125"/>
      <c r="AM700" s="125"/>
      <c r="AN700" s="125"/>
      <c r="AO700" s="125"/>
      <c r="AP700" s="125"/>
      <c r="AQ700" s="125"/>
      <c r="AR700" s="125"/>
      <c r="AS700" s="125"/>
      <c r="AT700" s="125"/>
      <c r="AU700" s="125"/>
      <c r="AV700" s="125"/>
      <c r="AW700" s="125"/>
      <c r="AX700" s="125"/>
      <c r="AY700" s="125"/>
      <c r="AZ700" s="125"/>
      <c r="BA700" s="125"/>
      <c r="BB700" s="125"/>
      <c r="BC700" s="125"/>
      <c r="BD700" s="125"/>
      <c r="BE700" s="125"/>
      <c r="BF700" s="125"/>
    </row>
    <row r="701" spans="1:58" ht="15.75" customHeight="1">
      <c r="A701" s="125"/>
      <c r="B701" s="125"/>
      <c r="C701" s="125"/>
      <c r="D701" s="125"/>
      <c r="E701" s="125"/>
      <c r="F701" s="125"/>
      <c r="G701" s="125"/>
      <c r="H701" s="125"/>
      <c r="I701" s="125"/>
      <c r="J701" s="125"/>
      <c r="K701" s="125"/>
      <c r="L701" s="125"/>
      <c r="M701" s="125"/>
      <c r="N701" s="125"/>
      <c r="O701" s="125"/>
      <c r="P701" s="125"/>
      <c r="Q701" s="125"/>
      <c r="R701" s="125"/>
      <c r="S701" s="125"/>
      <c r="T701" s="125"/>
      <c r="U701" s="125"/>
      <c r="V701" s="125"/>
      <c r="W701" s="125"/>
      <c r="X701" s="125"/>
      <c r="Y701" s="125"/>
      <c r="Z701" s="125"/>
      <c r="AA701" s="125"/>
      <c r="AB701" s="125"/>
      <c r="AC701" s="125"/>
      <c r="AD701" s="125"/>
      <c r="AE701" s="125"/>
      <c r="AF701" s="125"/>
      <c r="AG701" s="125"/>
      <c r="AH701" s="125"/>
      <c r="AI701" s="125"/>
      <c r="AJ701" s="125"/>
      <c r="AK701" s="125"/>
      <c r="AL701" s="125"/>
      <c r="AM701" s="125"/>
      <c r="AN701" s="125"/>
      <c r="AO701" s="125"/>
      <c r="AP701" s="125"/>
      <c r="AQ701" s="125"/>
      <c r="AR701" s="125"/>
      <c r="AS701" s="125"/>
      <c r="AT701" s="125"/>
      <c r="AU701" s="125"/>
      <c r="AV701" s="125"/>
      <c r="AW701" s="125"/>
      <c r="AX701" s="125"/>
      <c r="AY701" s="125"/>
      <c r="AZ701" s="125"/>
      <c r="BA701" s="125"/>
      <c r="BB701" s="125"/>
      <c r="BC701" s="125"/>
      <c r="BD701" s="125"/>
      <c r="BE701" s="125"/>
      <c r="BF701" s="125"/>
    </row>
    <row r="702" spans="1:58" ht="15.75" customHeight="1">
      <c r="A702" s="125"/>
      <c r="B702" s="125"/>
      <c r="C702" s="125"/>
      <c r="D702" s="125"/>
      <c r="E702" s="125"/>
      <c r="F702" s="125"/>
      <c r="G702" s="125"/>
      <c r="H702" s="125"/>
      <c r="I702" s="125"/>
      <c r="J702" s="125"/>
      <c r="K702" s="125"/>
      <c r="L702" s="125"/>
      <c r="M702" s="125"/>
      <c r="N702" s="125"/>
      <c r="O702" s="125"/>
      <c r="P702" s="125"/>
      <c r="Q702" s="125"/>
      <c r="R702" s="125"/>
      <c r="S702" s="125"/>
      <c r="T702" s="125"/>
      <c r="U702" s="125"/>
      <c r="V702" s="125"/>
      <c r="W702" s="125"/>
      <c r="X702" s="125"/>
      <c r="Y702" s="125"/>
      <c r="Z702" s="125"/>
      <c r="AA702" s="125"/>
      <c r="AB702" s="125"/>
      <c r="AC702" s="125"/>
      <c r="AD702" s="125"/>
      <c r="AE702" s="125"/>
      <c r="AF702" s="125"/>
      <c r="AG702" s="125"/>
      <c r="AH702" s="125"/>
      <c r="AI702" s="125"/>
      <c r="AJ702" s="125"/>
      <c r="AK702" s="125"/>
      <c r="AL702" s="125"/>
      <c r="AM702" s="125"/>
      <c r="AN702" s="125"/>
      <c r="AO702" s="125"/>
      <c r="AP702" s="125"/>
      <c r="AQ702" s="125"/>
      <c r="AR702" s="125"/>
      <c r="AS702" s="125"/>
      <c r="AT702" s="125"/>
      <c r="AU702" s="125"/>
      <c r="AV702" s="125"/>
      <c r="AW702" s="125"/>
      <c r="AX702" s="125"/>
      <c r="AY702" s="125"/>
      <c r="AZ702" s="125"/>
      <c r="BA702" s="125"/>
      <c r="BB702" s="125"/>
      <c r="BC702" s="125"/>
      <c r="BD702" s="125"/>
      <c r="BE702" s="125"/>
      <c r="BF702" s="125"/>
    </row>
    <row r="703" spans="1:58" ht="15.75" customHeight="1">
      <c r="A703" s="125"/>
      <c r="B703" s="125"/>
      <c r="C703" s="125"/>
      <c r="D703" s="125"/>
      <c r="E703" s="125"/>
      <c r="F703" s="125"/>
      <c r="G703" s="125"/>
      <c r="H703" s="125"/>
      <c r="I703" s="125"/>
      <c r="J703" s="125"/>
      <c r="K703" s="125"/>
      <c r="L703" s="125"/>
      <c r="M703" s="125"/>
      <c r="N703" s="125"/>
      <c r="O703" s="125"/>
      <c r="P703" s="125"/>
      <c r="Q703" s="125"/>
      <c r="R703" s="125"/>
      <c r="S703" s="125"/>
      <c r="T703" s="125"/>
      <c r="U703" s="125"/>
      <c r="V703" s="125"/>
      <c r="W703" s="125"/>
      <c r="X703" s="125"/>
      <c r="Y703" s="125"/>
      <c r="Z703" s="125"/>
      <c r="AA703" s="125"/>
      <c r="AB703" s="125"/>
      <c r="AC703" s="125"/>
      <c r="AD703" s="125"/>
      <c r="AE703" s="125"/>
      <c r="AF703" s="125"/>
      <c r="AG703" s="125"/>
      <c r="AH703" s="125"/>
      <c r="AI703" s="125"/>
      <c r="AJ703" s="125"/>
      <c r="AK703" s="125"/>
      <c r="AL703" s="125"/>
      <c r="AM703" s="125"/>
      <c r="AN703" s="125"/>
      <c r="AO703" s="125"/>
      <c r="AP703" s="125"/>
      <c r="AQ703" s="125"/>
      <c r="AR703" s="125"/>
      <c r="AS703" s="125"/>
      <c r="AT703" s="125"/>
      <c r="AU703" s="125"/>
      <c r="AV703" s="125"/>
      <c r="AW703" s="125"/>
      <c r="AX703" s="125"/>
      <c r="AY703" s="125"/>
      <c r="AZ703" s="125"/>
      <c r="BA703" s="125"/>
      <c r="BB703" s="125"/>
      <c r="BC703" s="125"/>
      <c r="BD703" s="125"/>
      <c r="BE703" s="125"/>
      <c r="BF703" s="125"/>
    </row>
    <row r="704" spans="1:58" ht="15.75" customHeight="1">
      <c r="A704" s="125"/>
      <c r="B704" s="125"/>
      <c r="C704" s="125"/>
      <c r="D704" s="125"/>
      <c r="E704" s="125"/>
      <c r="F704" s="125"/>
      <c r="G704" s="125"/>
      <c r="H704" s="125"/>
      <c r="I704" s="125"/>
      <c r="J704" s="125"/>
      <c r="K704" s="125"/>
      <c r="L704" s="125"/>
      <c r="M704" s="125"/>
      <c r="N704" s="125"/>
      <c r="O704" s="125"/>
      <c r="P704" s="125"/>
      <c r="Q704" s="125"/>
      <c r="R704" s="125"/>
      <c r="S704" s="125"/>
      <c r="T704" s="125"/>
      <c r="U704" s="125"/>
      <c r="V704" s="125"/>
      <c r="W704" s="125"/>
      <c r="X704" s="125"/>
      <c r="Y704" s="125"/>
      <c r="Z704" s="125"/>
      <c r="AA704" s="125"/>
      <c r="AB704" s="125"/>
      <c r="AC704" s="125"/>
      <c r="AD704" s="125"/>
      <c r="AE704" s="125"/>
      <c r="AF704" s="125"/>
      <c r="AG704" s="125"/>
      <c r="AH704" s="125"/>
      <c r="AI704" s="125"/>
      <c r="AJ704" s="125"/>
      <c r="AK704" s="125"/>
      <c r="AL704" s="125"/>
      <c r="AM704" s="125"/>
      <c r="AN704" s="125"/>
      <c r="AO704" s="125"/>
      <c r="AP704" s="125"/>
      <c r="AQ704" s="125"/>
      <c r="AR704" s="125"/>
      <c r="AS704" s="125"/>
      <c r="AT704" s="125"/>
      <c r="AU704" s="125"/>
      <c r="AV704" s="125"/>
      <c r="AW704" s="125"/>
      <c r="AX704" s="125"/>
      <c r="AY704" s="125"/>
      <c r="AZ704" s="125"/>
      <c r="BA704" s="125"/>
      <c r="BB704" s="125"/>
      <c r="BC704" s="125"/>
      <c r="BD704" s="125"/>
      <c r="BE704" s="125"/>
      <c r="BF704" s="125"/>
    </row>
    <row r="705" spans="1:58" ht="15.75" customHeight="1">
      <c r="A705" s="125"/>
      <c r="B705" s="125"/>
      <c r="C705" s="125"/>
      <c r="D705" s="125"/>
      <c r="E705" s="125"/>
      <c r="F705" s="125"/>
      <c r="G705" s="125"/>
      <c r="H705" s="125"/>
      <c r="I705" s="125"/>
      <c r="J705" s="125"/>
      <c r="K705" s="125"/>
      <c r="L705" s="125"/>
      <c r="M705" s="125"/>
      <c r="N705" s="125"/>
      <c r="O705" s="125"/>
      <c r="P705" s="125"/>
      <c r="Q705" s="125"/>
      <c r="R705" s="125"/>
      <c r="S705" s="125"/>
      <c r="T705" s="125"/>
      <c r="U705" s="125"/>
      <c r="V705" s="125"/>
      <c r="W705" s="125"/>
      <c r="X705" s="125"/>
      <c r="Y705" s="125"/>
      <c r="Z705" s="125"/>
      <c r="AA705" s="125"/>
      <c r="AB705" s="125"/>
      <c r="AC705" s="125"/>
      <c r="AD705" s="125"/>
      <c r="AE705" s="125"/>
      <c r="AF705" s="125"/>
      <c r="AG705" s="125"/>
      <c r="AH705" s="125"/>
      <c r="AI705" s="125"/>
      <c r="AJ705" s="125"/>
      <c r="AK705" s="125"/>
      <c r="AL705" s="125"/>
      <c r="AM705" s="125"/>
      <c r="AN705" s="125"/>
      <c r="AO705" s="125"/>
      <c r="AP705" s="125"/>
      <c r="AQ705" s="125"/>
      <c r="AR705" s="125"/>
      <c r="AS705" s="125"/>
      <c r="AT705" s="125"/>
      <c r="AU705" s="125"/>
      <c r="AV705" s="125"/>
      <c r="AW705" s="125"/>
      <c r="AX705" s="125"/>
      <c r="AY705" s="125"/>
      <c r="AZ705" s="125"/>
      <c r="BA705" s="125"/>
      <c r="BB705" s="125"/>
      <c r="BC705" s="125"/>
      <c r="BD705" s="125"/>
      <c r="BE705" s="125"/>
      <c r="BF705" s="125"/>
    </row>
    <row r="706" spans="1:58" ht="15.75" customHeight="1">
      <c r="A706" s="125"/>
      <c r="B706" s="125"/>
      <c r="C706" s="125"/>
      <c r="D706" s="125"/>
      <c r="E706" s="125"/>
      <c r="F706" s="125"/>
      <c r="G706" s="125"/>
      <c r="H706" s="125"/>
      <c r="I706" s="125"/>
      <c r="J706" s="125"/>
      <c r="K706" s="125"/>
      <c r="L706" s="125"/>
      <c r="M706" s="125"/>
      <c r="N706" s="125"/>
      <c r="O706" s="125"/>
      <c r="P706" s="125"/>
      <c r="Q706" s="125"/>
      <c r="R706" s="125"/>
      <c r="S706" s="125"/>
      <c r="T706" s="125"/>
      <c r="U706" s="125"/>
      <c r="V706" s="125"/>
      <c r="W706" s="125"/>
      <c r="X706" s="125"/>
      <c r="Y706" s="125"/>
      <c r="Z706" s="125"/>
      <c r="AA706" s="125"/>
      <c r="AB706" s="125"/>
      <c r="AC706" s="125"/>
      <c r="AD706" s="125"/>
      <c r="AE706" s="125"/>
      <c r="AF706" s="125"/>
      <c r="AG706" s="125"/>
      <c r="AH706" s="125"/>
      <c r="AI706" s="125"/>
      <c r="AJ706" s="125"/>
      <c r="AK706" s="125"/>
      <c r="AL706" s="125"/>
      <c r="AM706" s="125"/>
      <c r="AN706" s="125"/>
      <c r="AO706" s="125"/>
      <c r="AP706" s="125"/>
      <c r="AQ706" s="125"/>
      <c r="AR706" s="125"/>
      <c r="AS706" s="125"/>
      <c r="AT706" s="125"/>
      <c r="AU706" s="125"/>
      <c r="AV706" s="125"/>
      <c r="AW706" s="125"/>
      <c r="AX706" s="125"/>
      <c r="AY706" s="125"/>
      <c r="AZ706" s="125"/>
      <c r="BA706" s="125"/>
      <c r="BB706" s="125"/>
      <c r="BC706" s="125"/>
      <c r="BD706" s="125"/>
      <c r="BE706" s="125"/>
      <c r="BF706" s="125"/>
    </row>
    <row r="707" spans="1:58" ht="15.75" customHeight="1">
      <c r="A707" s="125"/>
      <c r="B707" s="125"/>
      <c r="C707" s="125"/>
      <c r="D707" s="125"/>
      <c r="E707" s="125"/>
      <c r="F707" s="125"/>
      <c r="G707" s="125"/>
      <c r="H707" s="125"/>
      <c r="I707" s="125"/>
      <c r="J707" s="125"/>
      <c r="K707" s="125"/>
      <c r="L707" s="125"/>
      <c r="M707" s="125"/>
      <c r="N707" s="125"/>
      <c r="O707" s="125"/>
      <c r="P707" s="125"/>
      <c r="Q707" s="125"/>
      <c r="R707" s="125"/>
      <c r="S707" s="125"/>
      <c r="T707" s="125"/>
      <c r="U707" s="125"/>
      <c r="V707" s="125"/>
      <c r="W707" s="125"/>
      <c r="X707" s="125"/>
      <c r="Y707" s="125"/>
      <c r="Z707" s="125"/>
      <c r="AA707" s="125"/>
      <c r="AB707" s="125"/>
      <c r="AC707" s="125"/>
      <c r="AD707" s="125"/>
      <c r="AE707" s="125"/>
      <c r="AF707" s="125"/>
      <c r="AG707" s="125"/>
      <c r="AH707" s="125"/>
      <c r="AI707" s="125"/>
      <c r="AJ707" s="125"/>
      <c r="AK707" s="125"/>
      <c r="AL707" s="125"/>
      <c r="AM707" s="125"/>
      <c r="AN707" s="125"/>
      <c r="AO707" s="125"/>
      <c r="AP707" s="125"/>
      <c r="AQ707" s="125"/>
      <c r="AR707" s="125"/>
      <c r="AS707" s="125"/>
      <c r="AT707" s="125"/>
      <c r="AU707" s="125"/>
      <c r="AV707" s="125"/>
      <c r="AW707" s="125"/>
      <c r="AX707" s="125"/>
      <c r="AY707" s="125"/>
      <c r="AZ707" s="125"/>
      <c r="BA707" s="125"/>
      <c r="BB707" s="125"/>
      <c r="BC707" s="125"/>
      <c r="BD707" s="125"/>
      <c r="BE707" s="125"/>
      <c r="BF707" s="125"/>
    </row>
    <row r="708" spans="1:58" ht="15.75" customHeight="1">
      <c r="A708" s="125"/>
      <c r="B708" s="125"/>
      <c r="C708" s="125"/>
      <c r="D708" s="125"/>
      <c r="E708" s="125"/>
      <c r="F708" s="125"/>
      <c r="G708" s="125"/>
      <c r="H708" s="125"/>
      <c r="I708" s="125"/>
      <c r="J708" s="125"/>
      <c r="K708" s="125"/>
      <c r="L708" s="125"/>
      <c r="M708" s="125"/>
      <c r="N708" s="125"/>
      <c r="O708" s="125"/>
      <c r="P708" s="125"/>
      <c r="Q708" s="125"/>
      <c r="R708" s="125"/>
      <c r="S708" s="125"/>
      <c r="T708" s="125"/>
      <c r="U708" s="125"/>
      <c r="V708" s="125"/>
      <c r="W708" s="125"/>
      <c r="X708" s="125"/>
      <c r="Y708" s="125"/>
      <c r="Z708" s="125"/>
      <c r="AA708" s="125"/>
      <c r="AB708" s="125"/>
      <c r="AC708" s="125"/>
      <c r="AD708" s="125"/>
      <c r="AE708" s="125"/>
      <c r="AF708" s="125"/>
      <c r="AG708" s="125"/>
      <c r="AH708" s="125"/>
      <c r="AI708" s="125"/>
      <c r="AJ708" s="125"/>
      <c r="AK708" s="125"/>
      <c r="AL708" s="125"/>
      <c r="AM708" s="125"/>
      <c r="AN708" s="125"/>
      <c r="AO708" s="125"/>
      <c r="AP708" s="125"/>
      <c r="AQ708" s="125"/>
      <c r="AR708" s="125"/>
      <c r="AS708" s="125"/>
      <c r="AT708" s="125"/>
      <c r="AU708" s="125"/>
      <c r="AV708" s="125"/>
      <c r="AW708" s="125"/>
      <c r="AX708" s="125"/>
      <c r="AY708" s="125"/>
      <c r="AZ708" s="125"/>
      <c r="BA708" s="125"/>
      <c r="BB708" s="125"/>
      <c r="BC708" s="125"/>
      <c r="BD708" s="125"/>
      <c r="BE708" s="125"/>
      <c r="BF708" s="125"/>
    </row>
    <row r="709" spans="1:58" ht="15.75" customHeight="1">
      <c r="A709" s="125"/>
      <c r="B709" s="125"/>
      <c r="C709" s="125"/>
      <c r="D709" s="125"/>
      <c r="E709" s="125"/>
      <c r="F709" s="125"/>
      <c r="G709" s="125"/>
      <c r="H709" s="125"/>
      <c r="I709" s="125"/>
      <c r="J709" s="125"/>
      <c r="K709" s="125"/>
      <c r="L709" s="125"/>
      <c r="M709" s="125"/>
      <c r="N709" s="125"/>
      <c r="O709" s="125"/>
      <c r="P709" s="125"/>
      <c r="Q709" s="125"/>
      <c r="R709" s="125"/>
      <c r="S709" s="125"/>
      <c r="T709" s="125"/>
      <c r="U709" s="125"/>
      <c r="V709" s="125"/>
      <c r="W709" s="125"/>
      <c r="X709" s="125"/>
      <c r="Y709" s="125"/>
      <c r="Z709" s="125"/>
      <c r="AA709" s="125"/>
      <c r="AB709" s="125"/>
      <c r="AC709" s="125"/>
      <c r="AD709" s="125"/>
      <c r="AE709" s="125"/>
      <c r="AF709" s="125"/>
      <c r="AG709" s="125"/>
      <c r="AH709" s="125"/>
      <c r="AI709" s="125"/>
      <c r="AJ709" s="125"/>
      <c r="AK709" s="125"/>
      <c r="AL709" s="125"/>
      <c r="AM709" s="125"/>
      <c r="AN709" s="125"/>
      <c r="AO709" s="125"/>
      <c r="AP709" s="125"/>
      <c r="AQ709" s="125"/>
      <c r="AR709" s="125"/>
      <c r="AS709" s="125"/>
      <c r="AT709" s="125"/>
      <c r="AU709" s="125"/>
      <c r="AV709" s="125"/>
      <c r="AW709" s="125"/>
      <c r="AX709" s="125"/>
      <c r="AY709" s="125"/>
      <c r="AZ709" s="125"/>
      <c r="BA709" s="125"/>
      <c r="BB709" s="125"/>
      <c r="BC709" s="125"/>
      <c r="BD709" s="125"/>
      <c r="BE709" s="125"/>
      <c r="BF709" s="125"/>
    </row>
    <row r="710" spans="1:58" ht="15.75" customHeight="1">
      <c r="A710" s="125"/>
      <c r="B710" s="125"/>
      <c r="C710" s="125"/>
      <c r="D710" s="125"/>
      <c r="E710" s="125"/>
      <c r="F710" s="125"/>
      <c r="G710" s="125"/>
      <c r="H710" s="125"/>
      <c r="I710" s="125"/>
      <c r="J710" s="125"/>
      <c r="K710" s="125"/>
      <c r="L710" s="125"/>
      <c r="M710" s="125"/>
      <c r="N710" s="125"/>
      <c r="O710" s="125"/>
      <c r="P710" s="125"/>
      <c r="Q710" s="125"/>
      <c r="R710" s="125"/>
      <c r="S710" s="125"/>
      <c r="T710" s="125"/>
      <c r="U710" s="125"/>
      <c r="V710" s="125"/>
      <c r="W710" s="125"/>
      <c r="X710" s="125"/>
      <c r="Y710" s="125"/>
      <c r="Z710" s="125"/>
      <c r="AA710" s="125"/>
      <c r="AB710" s="125"/>
      <c r="AC710" s="125"/>
      <c r="AD710" s="125"/>
      <c r="AE710" s="125"/>
      <c r="AF710" s="125"/>
      <c r="AG710" s="125"/>
      <c r="AH710" s="125"/>
      <c r="AI710" s="125"/>
      <c r="AJ710" s="125"/>
      <c r="AK710" s="125"/>
      <c r="AL710" s="125"/>
      <c r="AM710" s="125"/>
      <c r="AN710" s="125"/>
      <c r="AO710" s="125"/>
      <c r="AP710" s="125"/>
      <c r="AQ710" s="125"/>
      <c r="AR710" s="125"/>
      <c r="AS710" s="125"/>
      <c r="AT710" s="125"/>
      <c r="AU710" s="125"/>
      <c r="AV710" s="125"/>
      <c r="AW710" s="125"/>
      <c r="AX710" s="125"/>
      <c r="AY710" s="125"/>
      <c r="AZ710" s="125"/>
      <c r="BA710" s="125"/>
      <c r="BB710" s="125"/>
      <c r="BC710" s="125"/>
      <c r="BD710" s="125"/>
      <c r="BE710" s="125"/>
      <c r="BF710" s="125"/>
    </row>
    <row r="711" spans="1:58" ht="15.75" customHeight="1">
      <c r="A711" s="125"/>
      <c r="B711" s="125"/>
      <c r="C711" s="125"/>
      <c r="D711" s="125"/>
      <c r="E711" s="125"/>
      <c r="F711" s="125"/>
      <c r="G711" s="125"/>
      <c r="H711" s="125"/>
      <c r="I711" s="125"/>
      <c r="J711" s="125"/>
      <c r="K711" s="125"/>
      <c r="L711" s="125"/>
      <c r="M711" s="125"/>
      <c r="N711" s="125"/>
      <c r="O711" s="125"/>
      <c r="P711" s="125"/>
      <c r="Q711" s="125"/>
      <c r="R711" s="125"/>
      <c r="S711" s="125"/>
      <c r="T711" s="125"/>
      <c r="U711" s="125"/>
      <c r="V711" s="125"/>
      <c r="W711" s="125"/>
      <c r="X711" s="125"/>
      <c r="Y711" s="125"/>
      <c r="Z711" s="125"/>
      <c r="AA711" s="125"/>
      <c r="AB711" s="125"/>
      <c r="AC711" s="125"/>
      <c r="AD711" s="125"/>
      <c r="AE711" s="125"/>
      <c r="AF711" s="125"/>
      <c r="AG711" s="125"/>
      <c r="AH711" s="125"/>
      <c r="AI711" s="125"/>
      <c r="AJ711" s="125"/>
      <c r="AK711" s="125"/>
      <c r="AL711" s="125"/>
      <c r="AM711" s="125"/>
      <c r="AN711" s="125"/>
      <c r="AO711" s="125"/>
      <c r="AP711" s="125"/>
      <c r="AQ711" s="125"/>
      <c r="AR711" s="125"/>
      <c r="AS711" s="125"/>
      <c r="AT711" s="125"/>
      <c r="AU711" s="125"/>
      <c r="AV711" s="125"/>
      <c r="AW711" s="125"/>
      <c r="AX711" s="125"/>
      <c r="AY711" s="125"/>
      <c r="AZ711" s="125"/>
      <c r="BA711" s="125"/>
      <c r="BB711" s="125"/>
      <c r="BC711" s="125"/>
      <c r="BD711" s="125"/>
      <c r="BE711" s="125"/>
      <c r="BF711" s="125"/>
    </row>
    <row r="712" spans="1:58" ht="15.75" customHeight="1">
      <c r="A712" s="125"/>
      <c r="B712" s="125"/>
      <c r="C712" s="125"/>
      <c r="D712" s="125"/>
      <c r="E712" s="125"/>
      <c r="F712" s="125"/>
      <c r="G712" s="125"/>
      <c r="H712" s="125"/>
      <c r="I712" s="125"/>
      <c r="J712" s="125"/>
      <c r="K712" s="125"/>
      <c r="L712" s="125"/>
      <c r="M712" s="125"/>
      <c r="N712" s="125"/>
      <c r="O712" s="125"/>
      <c r="P712" s="125"/>
      <c r="Q712" s="125"/>
      <c r="R712" s="125"/>
      <c r="S712" s="125"/>
      <c r="T712" s="125"/>
      <c r="U712" s="125"/>
      <c r="V712" s="125"/>
      <c r="W712" s="125"/>
      <c r="X712" s="125"/>
      <c r="Y712" s="125"/>
      <c r="Z712" s="125"/>
      <c r="AA712" s="125"/>
      <c r="AB712" s="125"/>
      <c r="AC712" s="125"/>
      <c r="AD712" s="125"/>
      <c r="AE712" s="125"/>
      <c r="AF712" s="125"/>
      <c r="AG712" s="125"/>
      <c r="AH712" s="125"/>
      <c r="AI712" s="125"/>
      <c r="AJ712" s="125"/>
      <c r="AK712" s="125"/>
      <c r="AL712" s="125"/>
      <c r="AM712" s="125"/>
      <c r="AN712" s="125"/>
      <c r="AO712" s="125"/>
      <c r="AP712" s="125"/>
      <c r="AQ712" s="125"/>
      <c r="AR712" s="125"/>
      <c r="AS712" s="125"/>
      <c r="AT712" s="125"/>
      <c r="AU712" s="125"/>
      <c r="AV712" s="125"/>
      <c r="AW712" s="125"/>
      <c r="AX712" s="125"/>
      <c r="AY712" s="125"/>
      <c r="AZ712" s="125"/>
      <c r="BA712" s="125"/>
      <c r="BB712" s="125"/>
      <c r="BC712" s="125"/>
      <c r="BD712" s="125"/>
      <c r="BE712" s="125"/>
      <c r="BF712" s="125"/>
    </row>
    <row r="713" spans="1:58" ht="15.75" customHeight="1">
      <c r="A713" s="125"/>
      <c r="B713" s="125"/>
      <c r="C713" s="125"/>
      <c r="D713" s="125"/>
      <c r="E713" s="125"/>
      <c r="F713" s="125"/>
      <c r="G713" s="125"/>
      <c r="H713" s="125"/>
      <c r="I713" s="125"/>
      <c r="J713" s="125"/>
      <c r="K713" s="125"/>
      <c r="L713" s="125"/>
      <c r="M713" s="125"/>
      <c r="N713" s="125"/>
      <c r="O713" s="125"/>
      <c r="P713" s="125"/>
      <c r="Q713" s="125"/>
      <c r="R713" s="125"/>
      <c r="S713" s="125"/>
      <c r="T713" s="125"/>
      <c r="U713" s="125"/>
      <c r="V713" s="125"/>
      <c r="W713" s="125"/>
      <c r="X713" s="125"/>
      <c r="Y713" s="125"/>
      <c r="Z713" s="125"/>
      <c r="AA713" s="125"/>
      <c r="AB713" s="125"/>
      <c r="AC713" s="125"/>
      <c r="AD713" s="125"/>
      <c r="AE713" s="125"/>
      <c r="AF713" s="125"/>
      <c r="AG713" s="125"/>
      <c r="AH713" s="125"/>
      <c r="AI713" s="125"/>
      <c r="AJ713" s="125"/>
      <c r="AK713" s="125"/>
      <c r="AL713" s="125"/>
      <c r="AM713" s="125"/>
      <c r="AN713" s="125"/>
      <c r="AO713" s="125"/>
      <c r="AP713" s="125"/>
      <c r="AQ713" s="125"/>
      <c r="AR713" s="125"/>
      <c r="AS713" s="125"/>
      <c r="AT713" s="125"/>
      <c r="AU713" s="125"/>
      <c r="AV713" s="125"/>
      <c r="AW713" s="125"/>
      <c r="AX713" s="125"/>
      <c r="AY713" s="125"/>
      <c r="AZ713" s="125"/>
      <c r="BA713" s="125"/>
      <c r="BB713" s="125"/>
      <c r="BC713" s="125"/>
      <c r="BD713" s="125"/>
      <c r="BE713" s="125"/>
      <c r="BF713" s="125"/>
    </row>
    <row r="714" spans="1:58" ht="15.75" customHeight="1">
      <c r="A714" s="125"/>
      <c r="B714" s="125"/>
      <c r="C714" s="125"/>
      <c r="D714" s="125"/>
      <c r="E714" s="125"/>
      <c r="F714" s="125"/>
      <c r="G714" s="125"/>
      <c r="H714" s="125"/>
      <c r="I714" s="125"/>
      <c r="J714" s="125"/>
      <c r="K714" s="125"/>
      <c r="L714" s="125"/>
      <c r="M714" s="125"/>
      <c r="N714" s="125"/>
      <c r="O714" s="125"/>
      <c r="P714" s="125"/>
      <c r="Q714" s="125"/>
      <c r="R714" s="125"/>
      <c r="S714" s="125"/>
      <c r="T714" s="125"/>
      <c r="U714" s="125"/>
      <c r="V714" s="125"/>
      <c r="W714" s="125"/>
      <c r="X714" s="125"/>
      <c r="Y714" s="125"/>
      <c r="Z714" s="125"/>
      <c r="AA714" s="125"/>
      <c r="AB714" s="125"/>
      <c r="AC714" s="125"/>
      <c r="AD714" s="125"/>
      <c r="AE714" s="125"/>
      <c r="AF714" s="125"/>
      <c r="AG714" s="125"/>
      <c r="AH714" s="125"/>
      <c r="AI714" s="125"/>
      <c r="AJ714" s="125"/>
      <c r="AK714" s="125"/>
      <c r="AL714" s="125"/>
      <c r="AM714" s="125"/>
      <c r="AN714" s="125"/>
      <c r="AO714" s="125"/>
      <c r="AP714" s="125"/>
      <c r="AQ714" s="125"/>
      <c r="AR714" s="125"/>
      <c r="AS714" s="125"/>
      <c r="AT714" s="125"/>
      <c r="AU714" s="125"/>
      <c r="AV714" s="125"/>
      <c r="AW714" s="125"/>
      <c r="AX714" s="125"/>
      <c r="AY714" s="125"/>
      <c r="AZ714" s="125"/>
      <c r="BA714" s="125"/>
      <c r="BB714" s="125"/>
      <c r="BC714" s="125"/>
      <c r="BD714" s="125"/>
      <c r="BE714" s="125"/>
      <c r="BF714" s="125"/>
    </row>
    <row r="715" spans="1:58" ht="15.75" customHeight="1">
      <c r="A715" s="125"/>
      <c r="B715" s="125"/>
      <c r="C715" s="125"/>
      <c r="D715" s="125"/>
      <c r="E715" s="125"/>
      <c r="F715" s="125"/>
      <c r="G715" s="125"/>
      <c r="H715" s="125"/>
      <c r="I715" s="125"/>
      <c r="J715" s="125"/>
      <c r="K715" s="125"/>
      <c r="L715" s="125"/>
      <c r="M715" s="125"/>
      <c r="N715" s="125"/>
      <c r="O715" s="125"/>
      <c r="P715" s="125"/>
      <c r="Q715" s="125"/>
      <c r="R715" s="125"/>
      <c r="S715" s="125"/>
      <c r="T715" s="125"/>
      <c r="U715" s="125"/>
      <c r="V715" s="125"/>
      <c r="W715" s="125"/>
      <c r="X715" s="125"/>
      <c r="Y715" s="125"/>
      <c r="Z715" s="125"/>
      <c r="AA715" s="125"/>
      <c r="AB715" s="125"/>
      <c r="AC715" s="125"/>
      <c r="AD715" s="125"/>
      <c r="AE715" s="125"/>
      <c r="AF715" s="125"/>
      <c r="AG715" s="125"/>
      <c r="AH715" s="125"/>
      <c r="AI715" s="125"/>
      <c r="AJ715" s="125"/>
      <c r="AK715" s="125"/>
      <c r="AL715" s="125"/>
      <c r="AM715" s="125"/>
      <c r="AN715" s="125"/>
      <c r="AO715" s="125"/>
      <c r="AP715" s="125"/>
      <c r="AQ715" s="125"/>
      <c r="AR715" s="125"/>
      <c r="AS715" s="125"/>
      <c r="AT715" s="125"/>
      <c r="AU715" s="125"/>
      <c r="AV715" s="125"/>
      <c r="AW715" s="125"/>
      <c r="AX715" s="125"/>
      <c r="AY715" s="125"/>
      <c r="AZ715" s="125"/>
      <c r="BA715" s="125"/>
      <c r="BB715" s="125"/>
      <c r="BC715" s="125"/>
      <c r="BD715" s="125"/>
      <c r="BE715" s="125"/>
      <c r="BF715" s="125"/>
    </row>
    <row r="716" spans="1:58" ht="15.75" customHeight="1">
      <c r="A716" s="125"/>
      <c r="B716" s="125"/>
      <c r="C716" s="125"/>
      <c r="D716" s="125"/>
      <c r="E716" s="125"/>
      <c r="F716" s="125"/>
      <c r="G716" s="125"/>
      <c r="H716" s="125"/>
      <c r="I716" s="125"/>
      <c r="J716" s="125"/>
      <c r="K716" s="125"/>
      <c r="L716" s="125"/>
      <c r="M716" s="125"/>
      <c r="N716" s="125"/>
      <c r="O716" s="125"/>
      <c r="P716" s="125"/>
      <c r="Q716" s="125"/>
      <c r="R716" s="125"/>
      <c r="S716" s="125"/>
      <c r="T716" s="125"/>
      <c r="U716" s="125"/>
      <c r="V716" s="125"/>
      <c r="W716" s="125"/>
      <c r="X716" s="125"/>
      <c r="Y716" s="125"/>
      <c r="Z716" s="125"/>
      <c r="AA716" s="125"/>
      <c r="AB716" s="125"/>
      <c r="AC716" s="125"/>
      <c r="AD716" s="125"/>
      <c r="AE716" s="125"/>
      <c r="AF716" s="125"/>
      <c r="AG716" s="125"/>
      <c r="AH716" s="125"/>
      <c r="AI716" s="125"/>
      <c r="AJ716" s="125"/>
      <c r="AK716" s="125"/>
      <c r="AL716" s="125"/>
      <c r="AM716" s="125"/>
      <c r="AN716" s="125"/>
      <c r="AO716" s="125"/>
      <c r="AP716" s="125"/>
      <c r="AQ716" s="125"/>
      <c r="AR716" s="125"/>
      <c r="AS716" s="125"/>
      <c r="AT716" s="125"/>
      <c r="AU716" s="125"/>
      <c r="AV716" s="125"/>
      <c r="AW716" s="125"/>
      <c r="AX716" s="125"/>
      <c r="AY716" s="125"/>
      <c r="AZ716" s="125"/>
      <c r="BA716" s="125"/>
      <c r="BB716" s="125"/>
      <c r="BC716" s="125"/>
      <c r="BD716" s="125"/>
      <c r="BE716" s="125"/>
      <c r="BF716" s="125"/>
    </row>
    <row r="717" spans="1:58" ht="15.75" customHeight="1">
      <c r="A717" s="125"/>
      <c r="B717" s="125"/>
      <c r="C717" s="125"/>
      <c r="D717" s="125"/>
      <c r="E717" s="125"/>
      <c r="F717" s="125"/>
      <c r="G717" s="125"/>
      <c r="H717" s="125"/>
      <c r="I717" s="125"/>
      <c r="J717" s="125"/>
      <c r="K717" s="125"/>
      <c r="L717" s="125"/>
      <c r="M717" s="125"/>
      <c r="N717" s="125"/>
      <c r="O717" s="125"/>
      <c r="P717" s="125"/>
      <c r="Q717" s="125"/>
      <c r="R717" s="125"/>
      <c r="S717" s="125"/>
      <c r="T717" s="125"/>
      <c r="U717" s="125"/>
      <c r="V717" s="125"/>
      <c r="W717" s="125"/>
      <c r="X717" s="125"/>
      <c r="Y717" s="125"/>
      <c r="Z717" s="125"/>
      <c r="AA717" s="125"/>
      <c r="AB717" s="125"/>
      <c r="AC717" s="125"/>
      <c r="AD717" s="125"/>
      <c r="AE717" s="125"/>
      <c r="AF717" s="125"/>
      <c r="AG717" s="125"/>
      <c r="AH717" s="125"/>
      <c r="AI717" s="125"/>
      <c r="AJ717" s="125"/>
      <c r="AK717" s="125"/>
      <c r="AL717" s="125"/>
      <c r="AM717" s="125"/>
      <c r="AN717" s="125"/>
      <c r="AO717" s="125"/>
      <c r="AP717" s="125"/>
      <c r="AQ717" s="125"/>
      <c r="AR717" s="125"/>
      <c r="AS717" s="125"/>
      <c r="AT717" s="125"/>
      <c r="AU717" s="125"/>
      <c r="AV717" s="125"/>
      <c r="AW717" s="125"/>
      <c r="AX717" s="125"/>
      <c r="AY717" s="125"/>
      <c r="AZ717" s="125"/>
      <c r="BA717" s="125"/>
      <c r="BB717" s="125"/>
      <c r="BC717" s="125"/>
      <c r="BD717" s="125"/>
      <c r="BE717" s="125"/>
      <c r="BF717" s="125"/>
    </row>
    <row r="718" spans="1:58" ht="15.75" customHeight="1">
      <c r="A718" s="125"/>
      <c r="B718" s="125"/>
      <c r="C718" s="125"/>
      <c r="D718" s="125"/>
      <c r="E718" s="125"/>
      <c r="F718" s="125"/>
      <c r="G718" s="125"/>
      <c r="H718" s="125"/>
      <c r="I718" s="125"/>
      <c r="J718" s="125"/>
      <c r="K718" s="125"/>
      <c r="L718" s="125"/>
      <c r="M718" s="125"/>
      <c r="N718" s="125"/>
      <c r="O718" s="125"/>
      <c r="P718" s="125"/>
      <c r="Q718" s="125"/>
      <c r="R718" s="125"/>
      <c r="S718" s="125"/>
      <c r="T718" s="125"/>
      <c r="U718" s="125"/>
      <c r="V718" s="125"/>
      <c r="W718" s="125"/>
      <c r="X718" s="125"/>
      <c r="Y718" s="125"/>
      <c r="Z718" s="125"/>
      <c r="AA718" s="125"/>
      <c r="AB718" s="125"/>
      <c r="AC718" s="125"/>
      <c r="AD718" s="125"/>
      <c r="AE718" s="125"/>
      <c r="AF718" s="125"/>
      <c r="AG718" s="125"/>
      <c r="AH718" s="125"/>
      <c r="AI718" s="125"/>
      <c r="AJ718" s="125"/>
      <c r="AK718" s="125"/>
      <c r="AL718" s="125"/>
      <c r="AM718" s="125"/>
      <c r="AN718" s="125"/>
      <c r="AO718" s="125"/>
      <c r="AP718" s="125"/>
      <c r="AQ718" s="125"/>
      <c r="AR718" s="125"/>
      <c r="AS718" s="125"/>
      <c r="AT718" s="125"/>
      <c r="AU718" s="125"/>
      <c r="AV718" s="125"/>
      <c r="AW718" s="125"/>
      <c r="AX718" s="125"/>
      <c r="AY718" s="125"/>
      <c r="AZ718" s="125"/>
      <c r="BA718" s="125"/>
      <c r="BB718" s="125"/>
      <c r="BC718" s="125"/>
      <c r="BD718" s="125"/>
      <c r="BE718" s="125"/>
      <c r="BF718" s="125"/>
    </row>
    <row r="719" spans="1:58" ht="15.75" customHeight="1">
      <c r="A719" s="125"/>
      <c r="B719" s="125"/>
      <c r="C719" s="125"/>
      <c r="D719" s="125"/>
      <c r="E719" s="125"/>
      <c r="F719" s="125"/>
      <c r="G719" s="125"/>
      <c r="H719" s="125"/>
      <c r="I719" s="125"/>
      <c r="J719" s="125"/>
      <c r="K719" s="125"/>
      <c r="L719" s="125"/>
      <c r="M719" s="125"/>
      <c r="N719" s="125"/>
      <c r="O719" s="125"/>
      <c r="P719" s="125"/>
      <c r="Q719" s="125"/>
      <c r="R719" s="125"/>
      <c r="S719" s="125"/>
      <c r="T719" s="125"/>
      <c r="U719" s="125"/>
      <c r="V719" s="125"/>
      <c r="W719" s="125"/>
      <c r="X719" s="125"/>
      <c r="Y719" s="125"/>
      <c r="Z719" s="125"/>
      <c r="AA719" s="125"/>
      <c r="AB719" s="125"/>
      <c r="AC719" s="125"/>
      <c r="AD719" s="125"/>
      <c r="AE719" s="125"/>
      <c r="AF719" s="125"/>
      <c r="AG719" s="125"/>
      <c r="AH719" s="125"/>
      <c r="AI719" s="125"/>
      <c r="AJ719" s="125"/>
      <c r="AK719" s="125"/>
      <c r="AL719" s="125"/>
      <c r="AM719" s="125"/>
      <c r="AN719" s="125"/>
      <c r="AO719" s="125"/>
      <c r="AP719" s="125"/>
      <c r="AQ719" s="125"/>
      <c r="AR719" s="125"/>
      <c r="AS719" s="125"/>
      <c r="AT719" s="125"/>
      <c r="AU719" s="125"/>
      <c r="AV719" s="125"/>
      <c r="AW719" s="125"/>
      <c r="AX719" s="125"/>
      <c r="AY719" s="125"/>
      <c r="AZ719" s="125"/>
      <c r="BA719" s="125"/>
      <c r="BB719" s="125"/>
      <c r="BC719" s="125"/>
      <c r="BD719" s="125"/>
      <c r="BE719" s="125"/>
      <c r="BF719" s="125"/>
    </row>
    <row r="720" spans="1:58" ht="15.75" customHeight="1">
      <c r="A720" s="125"/>
      <c r="B720" s="125"/>
      <c r="C720" s="125"/>
      <c r="D720" s="125"/>
      <c r="E720" s="125"/>
      <c r="F720" s="125"/>
      <c r="G720" s="125"/>
      <c r="H720" s="125"/>
      <c r="I720" s="125"/>
      <c r="J720" s="125"/>
      <c r="K720" s="125"/>
      <c r="L720" s="125"/>
      <c r="M720" s="125"/>
      <c r="N720" s="125"/>
      <c r="O720" s="125"/>
      <c r="P720" s="125"/>
      <c r="Q720" s="125"/>
      <c r="R720" s="125"/>
      <c r="S720" s="125"/>
      <c r="T720" s="125"/>
      <c r="U720" s="125"/>
      <c r="V720" s="125"/>
      <c r="W720" s="125"/>
      <c r="X720" s="125"/>
      <c r="Y720" s="125"/>
      <c r="Z720" s="125"/>
      <c r="AA720" s="125"/>
      <c r="AB720" s="125"/>
      <c r="AC720" s="125"/>
      <c r="AD720" s="125"/>
      <c r="AE720" s="125"/>
      <c r="AF720" s="125"/>
      <c r="AG720" s="125"/>
      <c r="AH720" s="125"/>
      <c r="AI720" s="125"/>
      <c r="AJ720" s="125"/>
      <c r="AK720" s="125"/>
      <c r="AL720" s="125"/>
      <c r="AM720" s="125"/>
      <c r="AN720" s="125"/>
      <c r="AO720" s="125"/>
      <c r="AP720" s="125"/>
      <c r="AQ720" s="125"/>
      <c r="AR720" s="125"/>
      <c r="AS720" s="125"/>
      <c r="AT720" s="125"/>
      <c r="AU720" s="125"/>
      <c r="AV720" s="125"/>
      <c r="AW720" s="125"/>
      <c r="AX720" s="125"/>
      <c r="AY720" s="125"/>
      <c r="AZ720" s="125"/>
      <c r="BA720" s="125"/>
      <c r="BB720" s="125"/>
      <c r="BC720" s="125"/>
      <c r="BD720" s="125"/>
      <c r="BE720" s="125"/>
      <c r="BF720" s="125"/>
    </row>
    <row r="721" spans="1:58" ht="15.75" customHeight="1">
      <c r="A721" s="125"/>
      <c r="B721" s="125"/>
      <c r="C721" s="125"/>
      <c r="D721" s="125"/>
      <c r="E721" s="125"/>
      <c r="F721" s="125"/>
      <c r="G721" s="125"/>
      <c r="H721" s="125"/>
      <c r="I721" s="125"/>
      <c r="J721" s="125"/>
      <c r="K721" s="125"/>
      <c r="L721" s="125"/>
      <c r="M721" s="125"/>
      <c r="N721" s="125"/>
      <c r="O721" s="125"/>
      <c r="P721" s="125"/>
      <c r="Q721" s="125"/>
      <c r="R721" s="125"/>
      <c r="S721" s="125"/>
      <c r="T721" s="125"/>
      <c r="U721" s="125"/>
      <c r="V721" s="125"/>
      <c r="W721" s="125"/>
      <c r="X721" s="125"/>
      <c r="Y721" s="125"/>
      <c r="Z721" s="125"/>
      <c r="AA721" s="125"/>
      <c r="AB721" s="125"/>
      <c r="AC721" s="125"/>
      <c r="AD721" s="125"/>
      <c r="AE721" s="125"/>
      <c r="AF721" s="125"/>
      <c r="AG721" s="125"/>
      <c r="AH721" s="125"/>
      <c r="AI721" s="125"/>
      <c r="AJ721" s="125"/>
      <c r="AK721" s="125"/>
      <c r="AL721" s="125"/>
      <c r="AM721" s="125"/>
      <c r="AN721" s="125"/>
      <c r="AO721" s="125"/>
      <c r="AP721" s="125"/>
      <c r="AQ721" s="125"/>
      <c r="AR721" s="125"/>
      <c r="AS721" s="125"/>
      <c r="AT721" s="125"/>
      <c r="AU721" s="125"/>
      <c r="AV721" s="125"/>
      <c r="AW721" s="125"/>
      <c r="AX721" s="125"/>
      <c r="AY721" s="125"/>
      <c r="AZ721" s="125"/>
      <c r="BA721" s="125"/>
      <c r="BB721" s="125"/>
      <c r="BC721" s="125"/>
      <c r="BD721" s="125"/>
      <c r="BE721" s="125"/>
      <c r="BF721" s="125"/>
    </row>
    <row r="722" spans="1:58" ht="15.75" customHeight="1">
      <c r="A722" s="125"/>
      <c r="B722" s="125"/>
      <c r="C722" s="125"/>
      <c r="D722" s="125"/>
      <c r="E722" s="125"/>
      <c r="F722" s="125"/>
      <c r="G722" s="125"/>
      <c r="H722" s="125"/>
      <c r="I722" s="125"/>
      <c r="J722" s="125"/>
      <c r="K722" s="125"/>
      <c r="L722" s="125"/>
      <c r="M722" s="125"/>
      <c r="N722" s="125"/>
      <c r="O722" s="125"/>
      <c r="P722" s="125"/>
      <c r="Q722" s="125"/>
      <c r="R722" s="125"/>
      <c r="S722" s="125"/>
      <c r="T722" s="125"/>
      <c r="U722" s="125"/>
      <c r="V722" s="125"/>
      <c r="W722" s="125"/>
      <c r="X722" s="125"/>
      <c r="Y722" s="125"/>
      <c r="Z722" s="125"/>
      <c r="AA722" s="125"/>
      <c r="AB722" s="125"/>
      <c r="AC722" s="125"/>
      <c r="AD722" s="125"/>
      <c r="AE722" s="125"/>
      <c r="AF722" s="125"/>
      <c r="AG722" s="125"/>
      <c r="AH722" s="125"/>
      <c r="AI722" s="125"/>
      <c r="AJ722" s="125"/>
      <c r="AK722" s="125"/>
      <c r="AL722" s="125"/>
      <c r="AM722" s="125"/>
      <c r="AN722" s="125"/>
      <c r="AO722" s="125"/>
      <c r="AP722" s="125"/>
      <c r="AQ722" s="125"/>
      <c r="AR722" s="125"/>
      <c r="AS722" s="125"/>
      <c r="AT722" s="125"/>
      <c r="AU722" s="125"/>
      <c r="AV722" s="125"/>
      <c r="AW722" s="125"/>
      <c r="AX722" s="125"/>
      <c r="AY722" s="125"/>
      <c r="AZ722" s="125"/>
      <c r="BA722" s="125"/>
      <c r="BB722" s="125"/>
      <c r="BC722" s="125"/>
      <c r="BD722" s="125"/>
      <c r="BE722" s="125"/>
      <c r="BF722" s="125"/>
    </row>
    <row r="723" spans="1:58" ht="15.75" customHeight="1">
      <c r="A723" s="125"/>
      <c r="B723" s="125"/>
      <c r="C723" s="125"/>
      <c r="D723" s="125"/>
      <c r="E723" s="125"/>
      <c r="F723" s="125"/>
      <c r="G723" s="125"/>
      <c r="H723" s="125"/>
      <c r="I723" s="125"/>
      <c r="J723" s="125"/>
      <c r="K723" s="125"/>
      <c r="L723" s="125"/>
      <c r="M723" s="125"/>
      <c r="N723" s="125"/>
      <c r="O723" s="125"/>
      <c r="P723" s="125"/>
      <c r="Q723" s="125"/>
      <c r="R723" s="125"/>
      <c r="S723" s="125"/>
      <c r="T723" s="125"/>
      <c r="U723" s="125"/>
      <c r="V723" s="125"/>
      <c r="W723" s="125"/>
      <c r="X723" s="125"/>
      <c r="Y723" s="125"/>
      <c r="Z723" s="125"/>
      <c r="AA723" s="125"/>
      <c r="AB723" s="125"/>
      <c r="AC723" s="125"/>
      <c r="AD723" s="125"/>
      <c r="AE723" s="125"/>
      <c r="AF723" s="125"/>
      <c r="AG723" s="125"/>
      <c r="AH723" s="125"/>
      <c r="AI723" s="125"/>
      <c r="AJ723" s="125"/>
      <c r="AK723" s="125"/>
      <c r="AL723" s="125"/>
      <c r="AM723" s="125"/>
      <c r="AN723" s="125"/>
      <c r="AO723" s="125"/>
      <c r="AP723" s="125"/>
      <c r="AQ723" s="125"/>
      <c r="AR723" s="125"/>
      <c r="AS723" s="125"/>
      <c r="AT723" s="125"/>
      <c r="AU723" s="125"/>
      <c r="AV723" s="125"/>
      <c r="AW723" s="125"/>
      <c r="AX723" s="125"/>
      <c r="AY723" s="125"/>
      <c r="AZ723" s="125"/>
      <c r="BA723" s="125"/>
      <c r="BB723" s="125"/>
      <c r="BC723" s="125"/>
      <c r="BD723" s="125"/>
      <c r="BE723" s="125"/>
      <c r="BF723" s="125"/>
    </row>
    <row r="724" spans="1:58" ht="15.75" customHeight="1">
      <c r="A724" s="125"/>
      <c r="B724" s="125"/>
      <c r="C724" s="125"/>
      <c r="D724" s="125"/>
      <c r="E724" s="125"/>
      <c r="F724" s="125"/>
      <c r="G724" s="125"/>
      <c r="H724" s="125"/>
      <c r="I724" s="125"/>
      <c r="J724" s="125"/>
      <c r="K724" s="125"/>
      <c r="L724" s="125"/>
      <c r="M724" s="125"/>
      <c r="N724" s="125"/>
      <c r="O724" s="125"/>
      <c r="P724" s="125"/>
      <c r="Q724" s="125"/>
      <c r="R724" s="125"/>
      <c r="S724" s="125"/>
      <c r="T724" s="125"/>
      <c r="U724" s="125"/>
      <c r="V724" s="125"/>
      <c r="W724" s="125"/>
      <c r="X724" s="125"/>
      <c r="Y724" s="125"/>
      <c r="Z724" s="125"/>
      <c r="AA724" s="125"/>
      <c r="AB724" s="125"/>
      <c r="AC724" s="125"/>
      <c r="AD724" s="125"/>
      <c r="AE724" s="125"/>
      <c r="AF724" s="125"/>
      <c r="AG724" s="125"/>
      <c r="AH724" s="125"/>
      <c r="AI724" s="125"/>
      <c r="AJ724" s="125"/>
      <c r="AK724" s="125"/>
      <c r="AL724" s="125"/>
      <c r="AM724" s="125"/>
      <c r="AN724" s="125"/>
      <c r="AO724" s="125"/>
      <c r="AP724" s="125"/>
      <c r="AQ724" s="125"/>
      <c r="AR724" s="125"/>
      <c r="AS724" s="125"/>
      <c r="AT724" s="125"/>
      <c r="AU724" s="125"/>
      <c r="AV724" s="125"/>
      <c r="AW724" s="125"/>
      <c r="AX724" s="125"/>
      <c r="AY724" s="125"/>
      <c r="AZ724" s="125"/>
      <c r="BA724" s="125"/>
      <c r="BB724" s="125"/>
      <c r="BC724" s="125"/>
      <c r="BD724" s="125"/>
      <c r="BE724" s="125"/>
      <c r="BF724" s="125"/>
    </row>
    <row r="725" spans="1:58" ht="15.75" customHeight="1">
      <c r="A725" s="125"/>
      <c r="B725" s="125"/>
      <c r="C725" s="125"/>
      <c r="D725" s="125"/>
      <c r="E725" s="125"/>
      <c r="F725" s="125"/>
      <c r="G725" s="125"/>
      <c r="H725" s="125"/>
      <c r="I725" s="125"/>
      <c r="J725" s="125"/>
      <c r="K725" s="125"/>
      <c r="L725" s="125"/>
      <c r="M725" s="125"/>
      <c r="N725" s="125"/>
      <c r="O725" s="125"/>
      <c r="P725" s="125"/>
      <c r="Q725" s="125"/>
      <c r="R725" s="125"/>
      <c r="S725" s="125"/>
      <c r="T725" s="125"/>
      <c r="U725" s="125"/>
      <c r="V725" s="125"/>
      <c r="W725" s="125"/>
      <c r="X725" s="125"/>
      <c r="Y725" s="125"/>
      <c r="Z725" s="125"/>
      <c r="AA725" s="125"/>
      <c r="AB725" s="125"/>
      <c r="AC725" s="125"/>
      <c r="AD725" s="125"/>
      <c r="AE725" s="125"/>
      <c r="AF725" s="125"/>
      <c r="AG725" s="125"/>
      <c r="AH725" s="125"/>
      <c r="AI725" s="125"/>
      <c r="AJ725" s="125"/>
      <c r="AK725" s="125"/>
      <c r="AL725" s="125"/>
      <c r="AM725" s="125"/>
      <c r="AN725" s="125"/>
      <c r="AO725" s="125"/>
      <c r="AP725" s="125"/>
      <c r="AQ725" s="125"/>
      <c r="AR725" s="125"/>
      <c r="AS725" s="125"/>
      <c r="AT725" s="125"/>
      <c r="AU725" s="125"/>
      <c r="AV725" s="125"/>
      <c r="AW725" s="125"/>
      <c r="AX725" s="125"/>
      <c r="AY725" s="125"/>
      <c r="AZ725" s="125"/>
      <c r="BA725" s="125"/>
      <c r="BB725" s="125"/>
      <c r="BC725" s="125"/>
      <c r="BD725" s="125"/>
      <c r="BE725" s="125"/>
      <c r="BF725" s="125"/>
    </row>
    <row r="726" spans="1:58" ht="15.75" customHeight="1">
      <c r="A726" s="125"/>
      <c r="B726" s="125"/>
      <c r="C726" s="125"/>
      <c r="D726" s="125"/>
      <c r="E726" s="125"/>
      <c r="F726" s="125"/>
      <c r="G726" s="125"/>
      <c r="H726" s="125"/>
      <c r="I726" s="125"/>
      <c r="J726" s="125"/>
      <c r="K726" s="125"/>
      <c r="L726" s="125"/>
      <c r="M726" s="125"/>
      <c r="N726" s="125"/>
      <c r="O726" s="125"/>
      <c r="P726" s="125"/>
      <c r="Q726" s="125"/>
      <c r="R726" s="125"/>
      <c r="S726" s="125"/>
      <c r="T726" s="125"/>
      <c r="U726" s="125"/>
      <c r="V726" s="125"/>
      <c r="W726" s="125"/>
      <c r="X726" s="125"/>
      <c r="Y726" s="125"/>
      <c r="Z726" s="125"/>
      <c r="AA726" s="125"/>
      <c r="AB726" s="125"/>
      <c r="AC726" s="125"/>
      <c r="AD726" s="125"/>
      <c r="AE726" s="125"/>
      <c r="AF726" s="125"/>
      <c r="AG726" s="125"/>
      <c r="AH726" s="125"/>
      <c r="AI726" s="125"/>
      <c r="AJ726" s="125"/>
      <c r="AK726" s="125"/>
      <c r="AL726" s="125"/>
      <c r="AM726" s="125"/>
      <c r="AN726" s="125"/>
      <c r="AO726" s="125"/>
      <c r="AP726" s="125"/>
      <c r="AQ726" s="125"/>
      <c r="AR726" s="125"/>
      <c r="AS726" s="125"/>
      <c r="AT726" s="125"/>
      <c r="AU726" s="125"/>
      <c r="AV726" s="125"/>
      <c r="AW726" s="125"/>
      <c r="AX726" s="125"/>
      <c r="AY726" s="125"/>
      <c r="AZ726" s="125"/>
      <c r="BA726" s="125"/>
      <c r="BB726" s="125"/>
      <c r="BC726" s="125"/>
      <c r="BD726" s="125"/>
      <c r="BE726" s="125"/>
      <c r="BF726" s="125"/>
    </row>
    <row r="727" spans="1:58" ht="15.75" customHeight="1">
      <c r="A727" s="125"/>
      <c r="B727" s="125"/>
      <c r="C727" s="125"/>
      <c r="D727" s="125"/>
      <c r="E727" s="125"/>
      <c r="F727" s="125"/>
      <c r="G727" s="125"/>
      <c r="H727" s="125"/>
      <c r="I727" s="125"/>
      <c r="J727" s="125"/>
      <c r="K727" s="125"/>
      <c r="L727" s="125"/>
      <c r="M727" s="125"/>
      <c r="N727" s="125"/>
      <c r="O727" s="125"/>
      <c r="P727" s="125"/>
      <c r="Q727" s="125"/>
      <c r="R727" s="125"/>
      <c r="S727" s="125"/>
      <c r="T727" s="125"/>
      <c r="U727" s="125"/>
      <c r="V727" s="125"/>
      <c r="W727" s="125"/>
      <c r="X727" s="125"/>
      <c r="Y727" s="125"/>
      <c r="Z727" s="125"/>
      <c r="AA727" s="125"/>
      <c r="AB727" s="125"/>
      <c r="AC727" s="125"/>
      <c r="AD727" s="125"/>
      <c r="AE727" s="125"/>
      <c r="AF727" s="125"/>
      <c r="AG727" s="125"/>
      <c r="AH727" s="125"/>
      <c r="AI727" s="125"/>
      <c r="AJ727" s="125"/>
      <c r="AK727" s="125"/>
      <c r="AL727" s="125"/>
      <c r="AM727" s="125"/>
      <c r="AN727" s="125"/>
      <c r="AO727" s="125"/>
      <c r="AP727" s="125"/>
      <c r="AQ727" s="125"/>
      <c r="AR727" s="125"/>
      <c r="AS727" s="125"/>
      <c r="AT727" s="125"/>
      <c r="AU727" s="125"/>
      <c r="AV727" s="125"/>
      <c r="AW727" s="125"/>
      <c r="AX727" s="125"/>
      <c r="AY727" s="125"/>
      <c r="AZ727" s="125"/>
      <c r="BA727" s="125"/>
      <c r="BB727" s="125"/>
      <c r="BC727" s="125"/>
      <c r="BD727" s="125"/>
      <c r="BE727" s="125"/>
      <c r="BF727" s="125"/>
    </row>
    <row r="728" spans="1:58" ht="15.75" customHeight="1">
      <c r="A728" s="125"/>
      <c r="B728" s="125"/>
      <c r="C728" s="125"/>
      <c r="D728" s="125"/>
      <c r="E728" s="125"/>
      <c r="F728" s="125"/>
      <c r="G728" s="125"/>
      <c r="H728" s="125"/>
      <c r="I728" s="125"/>
      <c r="J728" s="125"/>
      <c r="K728" s="125"/>
      <c r="L728" s="125"/>
      <c r="M728" s="125"/>
      <c r="N728" s="125"/>
      <c r="O728" s="125"/>
      <c r="P728" s="125"/>
      <c r="Q728" s="125"/>
      <c r="R728" s="125"/>
      <c r="S728" s="125"/>
      <c r="T728" s="125"/>
      <c r="U728" s="125"/>
      <c r="V728" s="125"/>
      <c r="W728" s="125"/>
      <c r="X728" s="125"/>
      <c r="Y728" s="125"/>
      <c r="Z728" s="125"/>
      <c r="AA728" s="125"/>
      <c r="AB728" s="125"/>
      <c r="AC728" s="125"/>
      <c r="AD728" s="125"/>
      <c r="AE728" s="125"/>
      <c r="AF728" s="125"/>
      <c r="AG728" s="125"/>
      <c r="AH728" s="125"/>
      <c r="AI728" s="125"/>
      <c r="AJ728" s="125"/>
      <c r="AK728" s="125"/>
      <c r="AL728" s="125"/>
      <c r="AM728" s="125"/>
      <c r="AN728" s="125"/>
      <c r="AO728" s="125"/>
      <c r="AP728" s="125"/>
      <c r="AQ728" s="125"/>
      <c r="AR728" s="125"/>
      <c r="AS728" s="125"/>
      <c r="AT728" s="125"/>
      <c r="AU728" s="125"/>
      <c r="AV728" s="125"/>
      <c r="AW728" s="125"/>
      <c r="AX728" s="125"/>
      <c r="AY728" s="125"/>
      <c r="AZ728" s="125"/>
      <c r="BA728" s="125"/>
      <c r="BB728" s="125"/>
      <c r="BC728" s="125"/>
      <c r="BD728" s="125"/>
      <c r="BE728" s="125"/>
      <c r="BF728" s="125"/>
    </row>
    <row r="729" spans="1:58" ht="15.75" customHeight="1">
      <c r="A729" s="125"/>
      <c r="B729" s="125"/>
      <c r="C729" s="125"/>
      <c r="D729" s="125"/>
      <c r="E729" s="125"/>
      <c r="F729" s="125"/>
      <c r="G729" s="125"/>
      <c r="H729" s="125"/>
      <c r="I729" s="125"/>
      <c r="J729" s="125"/>
      <c r="K729" s="125"/>
      <c r="L729" s="125"/>
      <c r="M729" s="125"/>
      <c r="N729" s="125"/>
      <c r="O729" s="125"/>
      <c r="P729" s="125"/>
      <c r="Q729" s="125"/>
      <c r="R729" s="125"/>
      <c r="S729" s="125"/>
      <c r="T729" s="125"/>
      <c r="U729" s="125"/>
      <c r="V729" s="125"/>
      <c r="W729" s="125"/>
      <c r="X729" s="125"/>
      <c r="Y729" s="125"/>
      <c r="Z729" s="125"/>
      <c r="AA729" s="125"/>
      <c r="AB729" s="125"/>
      <c r="AC729" s="125"/>
      <c r="AD729" s="125"/>
      <c r="AE729" s="125"/>
      <c r="AF729" s="125"/>
      <c r="AG729" s="125"/>
      <c r="AH729" s="125"/>
      <c r="AI729" s="125"/>
      <c r="AJ729" s="125"/>
      <c r="AK729" s="125"/>
      <c r="AL729" s="125"/>
      <c r="AM729" s="125"/>
      <c r="AN729" s="125"/>
      <c r="AO729" s="125"/>
      <c r="AP729" s="125"/>
      <c r="AQ729" s="125"/>
      <c r="AR729" s="125"/>
      <c r="AS729" s="125"/>
      <c r="AT729" s="125"/>
      <c r="AU729" s="125"/>
      <c r="AV729" s="125"/>
      <c r="AW729" s="125"/>
      <c r="AX729" s="125"/>
      <c r="AY729" s="125"/>
      <c r="AZ729" s="125"/>
      <c r="BA729" s="125"/>
      <c r="BB729" s="125"/>
      <c r="BC729" s="125"/>
      <c r="BD729" s="125"/>
      <c r="BE729" s="125"/>
      <c r="BF729" s="125"/>
    </row>
    <row r="730" spans="1:58" ht="15.75" customHeight="1">
      <c r="A730" s="125"/>
      <c r="B730" s="125"/>
      <c r="C730" s="125"/>
      <c r="D730" s="125"/>
      <c r="E730" s="125"/>
      <c r="F730" s="125"/>
      <c r="G730" s="125"/>
      <c r="H730" s="125"/>
      <c r="I730" s="125"/>
      <c r="J730" s="125"/>
      <c r="K730" s="125"/>
      <c r="L730" s="125"/>
      <c r="M730" s="125"/>
      <c r="N730" s="125"/>
      <c r="O730" s="125"/>
      <c r="P730" s="125"/>
      <c r="Q730" s="125"/>
      <c r="R730" s="125"/>
      <c r="S730" s="125"/>
      <c r="T730" s="125"/>
      <c r="U730" s="125"/>
      <c r="V730" s="125"/>
      <c r="W730" s="125"/>
      <c r="X730" s="125"/>
      <c r="Y730" s="125"/>
      <c r="Z730" s="125"/>
      <c r="AA730" s="125"/>
      <c r="AB730" s="125"/>
      <c r="AC730" s="125"/>
      <c r="AD730" s="125"/>
      <c r="AE730" s="125"/>
      <c r="AF730" s="125"/>
      <c r="AG730" s="125"/>
      <c r="AH730" s="125"/>
      <c r="AI730" s="125"/>
      <c r="AJ730" s="125"/>
      <c r="AK730" s="125"/>
      <c r="AL730" s="125"/>
      <c r="AM730" s="125"/>
      <c r="AN730" s="125"/>
      <c r="AO730" s="125"/>
      <c r="AP730" s="125"/>
      <c r="AQ730" s="125"/>
      <c r="AR730" s="125"/>
      <c r="AS730" s="125"/>
      <c r="AT730" s="125"/>
      <c r="AU730" s="125"/>
      <c r="AV730" s="125"/>
      <c r="AW730" s="125"/>
      <c r="AX730" s="125"/>
      <c r="AY730" s="125"/>
      <c r="AZ730" s="125"/>
      <c r="BA730" s="125"/>
      <c r="BB730" s="125"/>
      <c r="BC730" s="125"/>
      <c r="BD730" s="125"/>
      <c r="BE730" s="125"/>
      <c r="BF730" s="125"/>
    </row>
    <row r="731" spans="1:58" ht="15.75" customHeight="1">
      <c r="A731" s="125"/>
      <c r="B731" s="125"/>
      <c r="C731" s="125"/>
      <c r="D731" s="125"/>
      <c r="E731" s="125"/>
      <c r="F731" s="125"/>
      <c r="G731" s="125"/>
      <c r="H731" s="125"/>
      <c r="I731" s="125"/>
      <c r="J731" s="125"/>
      <c r="K731" s="125"/>
      <c r="L731" s="125"/>
      <c r="M731" s="125"/>
      <c r="N731" s="125"/>
      <c r="O731" s="125"/>
      <c r="P731" s="125"/>
      <c r="Q731" s="125"/>
      <c r="R731" s="125"/>
      <c r="S731" s="125"/>
      <c r="T731" s="125"/>
      <c r="U731" s="125"/>
      <c r="V731" s="125"/>
      <c r="W731" s="125"/>
      <c r="X731" s="125"/>
      <c r="Y731" s="125"/>
      <c r="Z731" s="125"/>
      <c r="AA731" s="125"/>
      <c r="AB731" s="125"/>
      <c r="AC731" s="125"/>
      <c r="AD731" s="125"/>
      <c r="AE731" s="125"/>
      <c r="AF731" s="125"/>
      <c r="AG731" s="125"/>
      <c r="AH731" s="125"/>
      <c r="AI731" s="125"/>
      <c r="AJ731" s="125"/>
      <c r="AK731" s="125"/>
      <c r="AL731" s="125"/>
      <c r="AM731" s="125"/>
      <c r="AN731" s="125"/>
      <c r="AO731" s="125"/>
      <c r="AP731" s="125"/>
      <c r="AQ731" s="125"/>
      <c r="AR731" s="125"/>
      <c r="AS731" s="125"/>
      <c r="AT731" s="125"/>
      <c r="AU731" s="125"/>
      <c r="AV731" s="125"/>
      <c r="AW731" s="125"/>
      <c r="AX731" s="125"/>
      <c r="AY731" s="125"/>
      <c r="AZ731" s="125"/>
      <c r="BA731" s="125"/>
      <c r="BB731" s="125"/>
      <c r="BC731" s="125"/>
      <c r="BD731" s="125"/>
      <c r="BE731" s="125"/>
      <c r="BF731" s="125"/>
    </row>
    <row r="732" spans="1:58" ht="15.75" customHeight="1">
      <c r="A732" s="125"/>
      <c r="B732" s="125"/>
      <c r="C732" s="125"/>
      <c r="D732" s="125"/>
      <c r="E732" s="125"/>
      <c r="F732" s="125"/>
      <c r="G732" s="125"/>
      <c r="H732" s="125"/>
      <c r="I732" s="125"/>
      <c r="J732" s="125"/>
      <c r="K732" s="125"/>
      <c r="L732" s="125"/>
      <c r="M732" s="125"/>
      <c r="N732" s="125"/>
      <c r="O732" s="125"/>
      <c r="P732" s="125"/>
      <c r="Q732" s="125"/>
      <c r="R732" s="125"/>
      <c r="S732" s="125"/>
      <c r="T732" s="125"/>
      <c r="U732" s="125"/>
      <c r="V732" s="125"/>
      <c r="W732" s="125"/>
      <c r="X732" s="125"/>
      <c r="Y732" s="125"/>
      <c r="Z732" s="125"/>
      <c r="AA732" s="125"/>
      <c r="AB732" s="125"/>
      <c r="AC732" s="125"/>
      <c r="AD732" s="125"/>
      <c r="AE732" s="125"/>
      <c r="AF732" s="125"/>
      <c r="AG732" s="125"/>
      <c r="AH732" s="125"/>
      <c r="AI732" s="125"/>
      <c r="AJ732" s="125"/>
      <c r="AK732" s="125"/>
      <c r="AL732" s="125"/>
      <c r="AM732" s="125"/>
      <c r="AN732" s="125"/>
      <c r="AO732" s="125"/>
      <c r="AP732" s="125"/>
      <c r="AQ732" s="125"/>
      <c r="AR732" s="125"/>
      <c r="AS732" s="125"/>
      <c r="AT732" s="125"/>
      <c r="AU732" s="125"/>
      <c r="AV732" s="125"/>
      <c r="AW732" s="125"/>
      <c r="AX732" s="125"/>
      <c r="AY732" s="125"/>
      <c r="AZ732" s="125"/>
      <c r="BA732" s="125"/>
      <c r="BB732" s="125"/>
      <c r="BC732" s="125"/>
      <c r="BD732" s="125"/>
      <c r="BE732" s="125"/>
      <c r="BF732" s="125"/>
    </row>
    <row r="733" spans="1:58" ht="15.75" customHeight="1">
      <c r="A733" s="125"/>
      <c r="B733" s="125"/>
      <c r="C733" s="125"/>
      <c r="D733" s="125"/>
      <c r="E733" s="125"/>
      <c r="F733" s="125"/>
      <c r="G733" s="125"/>
      <c r="H733" s="125"/>
      <c r="I733" s="125"/>
      <c r="J733" s="125"/>
      <c r="K733" s="125"/>
      <c r="L733" s="125"/>
      <c r="M733" s="125"/>
      <c r="N733" s="125"/>
      <c r="O733" s="125"/>
      <c r="P733" s="125"/>
      <c r="Q733" s="125"/>
      <c r="R733" s="125"/>
      <c r="S733" s="125"/>
      <c r="T733" s="125"/>
      <c r="U733" s="125"/>
      <c r="V733" s="125"/>
      <c r="W733" s="125"/>
      <c r="X733" s="125"/>
      <c r="Y733" s="125"/>
      <c r="Z733" s="125"/>
      <c r="AA733" s="125"/>
      <c r="AB733" s="125"/>
      <c r="AC733" s="125"/>
      <c r="AD733" s="125"/>
      <c r="AE733" s="125"/>
      <c r="AF733" s="125"/>
      <c r="AG733" s="125"/>
      <c r="AH733" s="125"/>
      <c r="AI733" s="125"/>
      <c r="AJ733" s="125"/>
      <c r="AK733" s="125"/>
      <c r="AL733" s="125"/>
      <c r="AM733" s="125"/>
      <c r="AN733" s="125"/>
      <c r="AO733" s="125"/>
      <c r="AP733" s="125"/>
      <c r="AQ733" s="125"/>
      <c r="AR733" s="125"/>
      <c r="AS733" s="125"/>
      <c r="AT733" s="125"/>
      <c r="AU733" s="125"/>
      <c r="AV733" s="125"/>
      <c r="AW733" s="125"/>
      <c r="AX733" s="125"/>
      <c r="AY733" s="125"/>
      <c r="AZ733" s="125"/>
      <c r="BA733" s="125"/>
      <c r="BB733" s="125"/>
      <c r="BC733" s="125"/>
      <c r="BD733" s="125"/>
      <c r="BE733" s="125"/>
      <c r="BF733" s="125"/>
    </row>
    <row r="734" spans="1:58" ht="15.75" customHeight="1">
      <c r="A734" s="125"/>
      <c r="B734" s="125"/>
      <c r="C734" s="125"/>
      <c r="D734" s="125"/>
      <c r="E734" s="125"/>
      <c r="F734" s="125"/>
      <c r="G734" s="125"/>
      <c r="H734" s="125"/>
      <c r="I734" s="125"/>
      <c r="J734" s="125"/>
      <c r="K734" s="125"/>
      <c r="L734" s="125"/>
      <c r="M734" s="125"/>
      <c r="N734" s="125"/>
      <c r="O734" s="125"/>
      <c r="P734" s="125"/>
      <c r="Q734" s="125"/>
      <c r="R734" s="125"/>
      <c r="S734" s="125"/>
      <c r="T734" s="125"/>
      <c r="U734" s="125"/>
      <c r="V734" s="125"/>
      <c r="W734" s="125"/>
      <c r="X734" s="125"/>
      <c r="Y734" s="125"/>
      <c r="Z734" s="125"/>
      <c r="AA734" s="125"/>
      <c r="AB734" s="125"/>
      <c r="AC734" s="125"/>
      <c r="AD734" s="125"/>
      <c r="AE734" s="125"/>
      <c r="AF734" s="125"/>
      <c r="AG734" s="125"/>
      <c r="AH734" s="125"/>
      <c r="AI734" s="125"/>
      <c r="AJ734" s="125"/>
      <c r="AK734" s="125"/>
      <c r="AL734" s="125"/>
      <c r="AM734" s="125"/>
      <c r="AN734" s="125"/>
      <c r="AO734" s="125"/>
      <c r="AP734" s="125"/>
      <c r="AQ734" s="125"/>
      <c r="AR734" s="125"/>
      <c r="AS734" s="125"/>
      <c r="AT734" s="125"/>
      <c r="AU734" s="125"/>
      <c r="AV734" s="125"/>
      <c r="AW734" s="125"/>
      <c r="AX734" s="125"/>
      <c r="AY734" s="125"/>
      <c r="AZ734" s="125"/>
      <c r="BA734" s="125"/>
      <c r="BB734" s="125"/>
      <c r="BC734" s="125"/>
      <c r="BD734" s="125"/>
      <c r="BE734" s="125"/>
      <c r="BF734" s="125"/>
    </row>
    <row r="735" spans="1:58" ht="15.75" customHeight="1">
      <c r="A735" s="125"/>
      <c r="B735" s="125"/>
      <c r="C735" s="125"/>
      <c r="D735" s="125"/>
      <c r="E735" s="125"/>
      <c r="F735" s="125"/>
      <c r="G735" s="125"/>
      <c r="H735" s="125"/>
      <c r="I735" s="125"/>
      <c r="J735" s="125"/>
      <c r="K735" s="125"/>
      <c r="L735" s="125"/>
      <c r="M735" s="125"/>
      <c r="N735" s="125"/>
      <c r="O735" s="125"/>
      <c r="P735" s="125"/>
      <c r="Q735" s="125"/>
      <c r="R735" s="125"/>
      <c r="S735" s="125"/>
      <c r="T735" s="125"/>
      <c r="U735" s="125"/>
      <c r="V735" s="125"/>
      <c r="W735" s="125"/>
      <c r="X735" s="125"/>
      <c r="Y735" s="125"/>
      <c r="Z735" s="125"/>
      <c r="AA735" s="125"/>
      <c r="AB735" s="125"/>
      <c r="AC735" s="125"/>
      <c r="AD735" s="125"/>
      <c r="AE735" s="125"/>
      <c r="AF735" s="125"/>
      <c r="AG735" s="125"/>
      <c r="AH735" s="125"/>
      <c r="AI735" s="125"/>
      <c r="AJ735" s="125"/>
      <c r="AK735" s="125"/>
      <c r="AL735" s="125"/>
      <c r="AM735" s="125"/>
      <c r="AN735" s="125"/>
      <c r="AO735" s="125"/>
      <c r="AP735" s="125"/>
      <c r="AQ735" s="125"/>
      <c r="AR735" s="125"/>
      <c r="AS735" s="125"/>
      <c r="AT735" s="125"/>
      <c r="AU735" s="125"/>
      <c r="AV735" s="125"/>
      <c r="AW735" s="125"/>
      <c r="AX735" s="125"/>
      <c r="AY735" s="125"/>
      <c r="AZ735" s="125"/>
      <c r="BA735" s="125"/>
      <c r="BB735" s="125"/>
      <c r="BC735" s="125"/>
      <c r="BD735" s="125"/>
      <c r="BE735" s="125"/>
      <c r="BF735" s="125"/>
    </row>
    <row r="736" spans="1:58" ht="15.75" customHeight="1">
      <c r="A736" s="125"/>
      <c r="B736" s="125"/>
      <c r="C736" s="125"/>
      <c r="D736" s="125"/>
      <c r="E736" s="125"/>
      <c r="F736" s="125"/>
      <c r="G736" s="125"/>
      <c r="H736" s="125"/>
      <c r="I736" s="125"/>
      <c r="J736" s="125"/>
      <c r="K736" s="125"/>
      <c r="L736" s="125"/>
      <c r="M736" s="125"/>
      <c r="N736" s="125"/>
      <c r="O736" s="125"/>
      <c r="P736" s="125"/>
      <c r="Q736" s="125"/>
      <c r="R736" s="125"/>
      <c r="S736" s="125"/>
      <c r="T736" s="125"/>
      <c r="U736" s="125"/>
      <c r="V736" s="125"/>
      <c r="W736" s="125"/>
      <c r="X736" s="125"/>
      <c r="Y736" s="125"/>
      <c r="Z736" s="125"/>
      <c r="AA736" s="125"/>
      <c r="AB736" s="125"/>
      <c r="AC736" s="125"/>
      <c r="AD736" s="125"/>
      <c r="AE736" s="125"/>
      <c r="AF736" s="125"/>
      <c r="AG736" s="125"/>
      <c r="AH736" s="125"/>
      <c r="AI736" s="125"/>
      <c r="AJ736" s="125"/>
      <c r="AK736" s="125"/>
      <c r="AL736" s="125"/>
      <c r="AM736" s="125"/>
      <c r="AN736" s="125"/>
      <c r="AO736" s="125"/>
      <c r="AP736" s="125"/>
      <c r="AQ736" s="125"/>
      <c r="AR736" s="125"/>
      <c r="AS736" s="125"/>
      <c r="AT736" s="125"/>
      <c r="AU736" s="125"/>
      <c r="AV736" s="125"/>
      <c r="AW736" s="125"/>
      <c r="AX736" s="125"/>
      <c r="AY736" s="125"/>
      <c r="AZ736" s="125"/>
      <c r="BA736" s="125"/>
      <c r="BB736" s="125"/>
      <c r="BC736" s="125"/>
      <c r="BD736" s="125"/>
      <c r="BE736" s="125"/>
      <c r="BF736" s="125"/>
    </row>
    <row r="737" spans="1:58" ht="15.75" customHeight="1">
      <c r="A737" s="125"/>
      <c r="B737" s="125"/>
      <c r="C737" s="125"/>
      <c r="D737" s="125"/>
      <c r="E737" s="125"/>
      <c r="F737" s="125"/>
      <c r="G737" s="125"/>
      <c r="H737" s="125"/>
      <c r="I737" s="125"/>
      <c r="J737" s="125"/>
      <c r="K737" s="125"/>
      <c r="L737" s="125"/>
      <c r="M737" s="125"/>
      <c r="N737" s="125"/>
      <c r="O737" s="125"/>
      <c r="P737" s="125"/>
      <c r="Q737" s="125"/>
      <c r="R737" s="125"/>
      <c r="S737" s="125"/>
      <c r="T737" s="125"/>
      <c r="U737" s="125"/>
      <c r="V737" s="125"/>
      <c r="W737" s="125"/>
      <c r="X737" s="125"/>
      <c r="Y737" s="125"/>
      <c r="Z737" s="125"/>
      <c r="AA737" s="125"/>
      <c r="AB737" s="125"/>
      <c r="AC737" s="125"/>
      <c r="AD737" s="125"/>
      <c r="AE737" s="125"/>
      <c r="AF737" s="125"/>
      <c r="AG737" s="125"/>
      <c r="AH737" s="125"/>
      <c r="AI737" s="125"/>
      <c r="AJ737" s="125"/>
      <c r="AK737" s="125"/>
      <c r="AL737" s="125"/>
      <c r="AM737" s="125"/>
      <c r="AN737" s="125"/>
      <c r="AO737" s="125"/>
      <c r="AP737" s="125"/>
      <c r="AQ737" s="125"/>
      <c r="AR737" s="125"/>
      <c r="AS737" s="125"/>
      <c r="AT737" s="125"/>
      <c r="AU737" s="125"/>
      <c r="AV737" s="125"/>
      <c r="AW737" s="125"/>
      <c r="AX737" s="125"/>
      <c r="AY737" s="125"/>
      <c r="AZ737" s="125"/>
      <c r="BA737" s="125"/>
      <c r="BB737" s="125"/>
      <c r="BC737" s="125"/>
      <c r="BD737" s="125"/>
      <c r="BE737" s="125"/>
      <c r="BF737" s="125"/>
    </row>
    <row r="738" spans="1:58" ht="15.75" customHeight="1">
      <c r="A738" s="125"/>
      <c r="B738" s="125"/>
      <c r="C738" s="125"/>
      <c r="D738" s="125"/>
      <c r="E738" s="125"/>
      <c r="F738" s="125"/>
      <c r="G738" s="125"/>
      <c r="H738" s="125"/>
      <c r="I738" s="125"/>
      <c r="J738" s="125"/>
      <c r="K738" s="125"/>
      <c r="L738" s="125"/>
      <c r="M738" s="125"/>
      <c r="N738" s="125"/>
      <c r="O738" s="125"/>
      <c r="P738" s="125"/>
      <c r="Q738" s="125"/>
      <c r="R738" s="125"/>
      <c r="S738" s="125"/>
      <c r="T738" s="125"/>
      <c r="U738" s="125"/>
      <c r="V738" s="125"/>
      <c r="W738" s="125"/>
      <c r="X738" s="125"/>
      <c r="Y738" s="125"/>
      <c r="Z738" s="125"/>
      <c r="AA738" s="125"/>
      <c r="AB738" s="125"/>
      <c r="AC738" s="125"/>
      <c r="AD738" s="125"/>
      <c r="AE738" s="125"/>
      <c r="AF738" s="125"/>
      <c r="AG738" s="125"/>
      <c r="AH738" s="125"/>
      <c r="AI738" s="125"/>
      <c r="AJ738" s="125"/>
      <c r="AK738" s="125"/>
      <c r="AL738" s="125"/>
      <c r="AM738" s="125"/>
      <c r="AN738" s="125"/>
      <c r="AO738" s="125"/>
      <c r="AP738" s="125"/>
      <c r="AQ738" s="125"/>
      <c r="AR738" s="125"/>
      <c r="AS738" s="125"/>
      <c r="AT738" s="125"/>
      <c r="AU738" s="125"/>
      <c r="AV738" s="125"/>
      <c r="AW738" s="125"/>
      <c r="AX738" s="125"/>
      <c r="AY738" s="125"/>
      <c r="AZ738" s="125"/>
      <c r="BA738" s="125"/>
      <c r="BB738" s="125"/>
      <c r="BC738" s="125"/>
      <c r="BD738" s="125"/>
      <c r="BE738" s="125"/>
      <c r="BF738" s="125"/>
    </row>
    <row r="739" spans="1:58" ht="15.75" customHeight="1">
      <c r="A739" s="125"/>
      <c r="B739" s="125"/>
      <c r="C739" s="125"/>
      <c r="D739" s="125"/>
      <c r="E739" s="125"/>
      <c r="F739" s="125"/>
      <c r="G739" s="125"/>
      <c r="H739" s="125"/>
      <c r="I739" s="125"/>
      <c r="J739" s="125"/>
      <c r="K739" s="125"/>
      <c r="L739" s="125"/>
      <c r="M739" s="125"/>
      <c r="N739" s="125"/>
      <c r="O739" s="125"/>
      <c r="P739" s="125"/>
      <c r="Q739" s="125"/>
      <c r="R739" s="125"/>
      <c r="S739" s="125"/>
      <c r="T739" s="125"/>
      <c r="U739" s="125"/>
      <c r="V739" s="125"/>
      <c r="W739" s="125"/>
      <c r="X739" s="125"/>
      <c r="Y739" s="125"/>
      <c r="Z739" s="125"/>
      <c r="AA739" s="125"/>
      <c r="AB739" s="125"/>
      <c r="AC739" s="125"/>
      <c r="AD739" s="125"/>
      <c r="AE739" s="125"/>
      <c r="AF739" s="125"/>
      <c r="AG739" s="125"/>
      <c r="AH739" s="125"/>
      <c r="AI739" s="125"/>
      <c r="AJ739" s="125"/>
      <c r="AK739" s="125"/>
      <c r="AL739" s="125"/>
      <c r="AM739" s="125"/>
      <c r="AN739" s="125"/>
      <c r="AO739" s="125"/>
      <c r="AP739" s="125"/>
      <c r="AQ739" s="125"/>
      <c r="AR739" s="125"/>
      <c r="AS739" s="125"/>
      <c r="AT739" s="125"/>
      <c r="AU739" s="125"/>
      <c r="AV739" s="125"/>
      <c r="AW739" s="125"/>
      <c r="AX739" s="125"/>
      <c r="AY739" s="125"/>
      <c r="AZ739" s="125"/>
      <c r="BA739" s="125"/>
      <c r="BB739" s="125"/>
      <c r="BC739" s="125"/>
      <c r="BD739" s="125"/>
      <c r="BE739" s="125"/>
      <c r="BF739" s="125"/>
    </row>
    <row r="740" spans="1:58" ht="15.75" customHeight="1">
      <c r="A740" s="125"/>
      <c r="B740" s="125"/>
      <c r="C740" s="125"/>
      <c r="D740" s="125"/>
      <c r="E740" s="125"/>
      <c r="F740" s="125"/>
      <c r="G740" s="125"/>
      <c r="H740" s="125"/>
      <c r="I740" s="125"/>
      <c r="J740" s="125"/>
      <c r="K740" s="125"/>
      <c r="L740" s="125"/>
      <c r="M740" s="125"/>
      <c r="N740" s="125"/>
      <c r="O740" s="125"/>
      <c r="P740" s="125"/>
      <c r="Q740" s="125"/>
      <c r="R740" s="125"/>
      <c r="S740" s="125"/>
      <c r="T740" s="125"/>
      <c r="U740" s="125"/>
      <c r="V740" s="125"/>
      <c r="W740" s="125"/>
      <c r="X740" s="125"/>
      <c r="Y740" s="125"/>
      <c r="Z740" s="125"/>
      <c r="AA740" s="125"/>
      <c r="AB740" s="125"/>
      <c r="AC740" s="125"/>
      <c r="AD740" s="125"/>
      <c r="AE740" s="125"/>
      <c r="AF740" s="125"/>
      <c r="AG740" s="125"/>
      <c r="AH740" s="125"/>
      <c r="AI740" s="125"/>
      <c r="AJ740" s="125"/>
      <c r="AK740" s="125"/>
      <c r="AL740" s="125"/>
      <c r="AM740" s="125"/>
      <c r="AN740" s="125"/>
      <c r="AO740" s="125"/>
      <c r="AP740" s="125"/>
      <c r="AQ740" s="125"/>
      <c r="AR740" s="125"/>
      <c r="AS740" s="125"/>
      <c r="AT740" s="125"/>
      <c r="AU740" s="125"/>
      <c r="AV740" s="125"/>
      <c r="AW740" s="125"/>
      <c r="AX740" s="125"/>
      <c r="AY740" s="125"/>
      <c r="AZ740" s="125"/>
      <c r="BA740" s="125"/>
      <c r="BB740" s="125"/>
      <c r="BC740" s="125"/>
      <c r="BD740" s="125"/>
      <c r="BE740" s="125"/>
      <c r="BF740" s="125"/>
    </row>
    <row r="741" spans="1:58" ht="15.75" customHeight="1">
      <c r="A741" s="125"/>
      <c r="B741" s="125"/>
      <c r="C741" s="125"/>
      <c r="D741" s="125"/>
      <c r="E741" s="125"/>
      <c r="F741" s="125"/>
      <c r="G741" s="125"/>
      <c r="H741" s="125"/>
      <c r="I741" s="125"/>
      <c r="J741" s="125"/>
      <c r="K741" s="125"/>
      <c r="L741" s="125"/>
      <c r="M741" s="125"/>
      <c r="N741" s="125"/>
      <c r="O741" s="125"/>
      <c r="P741" s="125"/>
      <c r="Q741" s="125"/>
      <c r="R741" s="125"/>
      <c r="S741" s="125"/>
      <c r="T741" s="125"/>
      <c r="U741" s="125"/>
      <c r="V741" s="125"/>
      <c r="W741" s="125"/>
      <c r="X741" s="125"/>
      <c r="Y741" s="125"/>
      <c r="Z741" s="125"/>
      <c r="AA741" s="125"/>
      <c r="AB741" s="125"/>
      <c r="AC741" s="125"/>
      <c r="AD741" s="125"/>
      <c r="AE741" s="125"/>
      <c r="AF741" s="125"/>
      <c r="AG741" s="125"/>
      <c r="AH741" s="125"/>
      <c r="AI741" s="125"/>
      <c r="AJ741" s="125"/>
      <c r="AK741" s="125"/>
      <c r="AL741" s="125"/>
      <c r="AM741" s="125"/>
      <c r="AN741" s="125"/>
      <c r="AO741" s="125"/>
      <c r="AP741" s="125"/>
      <c r="AQ741" s="125"/>
      <c r="AR741" s="125"/>
      <c r="AS741" s="125"/>
      <c r="AT741" s="125"/>
      <c r="AU741" s="125"/>
      <c r="AV741" s="125"/>
      <c r="AW741" s="125"/>
      <c r="AX741" s="125"/>
      <c r="AY741" s="125"/>
      <c r="AZ741" s="125"/>
      <c r="BA741" s="125"/>
      <c r="BB741" s="125"/>
      <c r="BC741" s="125"/>
      <c r="BD741" s="125"/>
      <c r="BE741" s="125"/>
      <c r="BF741" s="125"/>
    </row>
    <row r="742" spans="1:58" ht="15.75" customHeight="1">
      <c r="A742" s="125"/>
      <c r="B742" s="125"/>
      <c r="C742" s="125"/>
      <c r="D742" s="125"/>
      <c r="E742" s="125"/>
      <c r="F742" s="125"/>
      <c r="G742" s="125"/>
      <c r="H742" s="125"/>
      <c r="I742" s="125"/>
      <c r="J742" s="125"/>
      <c r="K742" s="125"/>
      <c r="L742" s="125"/>
      <c r="M742" s="125"/>
      <c r="N742" s="125"/>
      <c r="O742" s="125"/>
      <c r="P742" s="125"/>
      <c r="Q742" s="125"/>
      <c r="R742" s="125"/>
      <c r="S742" s="125"/>
      <c r="T742" s="125"/>
      <c r="U742" s="125"/>
      <c r="V742" s="125"/>
      <c r="W742" s="125"/>
      <c r="X742" s="125"/>
      <c r="Y742" s="125"/>
      <c r="Z742" s="125"/>
      <c r="AA742" s="125"/>
      <c r="AB742" s="125"/>
      <c r="AC742" s="125"/>
      <c r="AD742" s="125"/>
      <c r="AE742" s="125"/>
      <c r="AF742" s="125"/>
      <c r="AG742" s="125"/>
      <c r="AH742" s="125"/>
      <c r="AI742" s="125"/>
      <c r="AJ742" s="125"/>
      <c r="AK742" s="125"/>
      <c r="AL742" s="125"/>
      <c r="AM742" s="125"/>
      <c r="AN742" s="125"/>
      <c r="AO742" s="125"/>
      <c r="AP742" s="125"/>
      <c r="AQ742" s="125"/>
      <c r="AR742" s="125"/>
      <c r="AS742" s="125"/>
      <c r="AT742" s="125"/>
      <c r="AU742" s="125"/>
      <c r="AV742" s="125"/>
      <c r="AW742" s="125"/>
      <c r="AX742" s="125"/>
      <c r="AY742" s="125"/>
      <c r="AZ742" s="125"/>
      <c r="BA742" s="125"/>
      <c r="BB742" s="125"/>
      <c r="BC742" s="125"/>
      <c r="BD742" s="125"/>
      <c r="BE742" s="125"/>
      <c r="BF742" s="125"/>
    </row>
    <row r="743" spans="1:58" ht="15.75" customHeight="1">
      <c r="A743" s="125"/>
      <c r="B743" s="125"/>
      <c r="C743" s="125"/>
      <c r="D743" s="125"/>
      <c r="E743" s="125"/>
      <c r="F743" s="125"/>
      <c r="G743" s="125"/>
      <c r="H743" s="125"/>
      <c r="I743" s="125"/>
      <c r="J743" s="125"/>
      <c r="K743" s="125"/>
      <c r="L743" s="125"/>
      <c r="M743" s="125"/>
      <c r="N743" s="125"/>
      <c r="O743" s="125"/>
      <c r="P743" s="125"/>
      <c r="Q743" s="125"/>
      <c r="R743" s="125"/>
      <c r="S743" s="125"/>
      <c r="T743" s="125"/>
      <c r="U743" s="125"/>
      <c r="V743" s="125"/>
      <c r="W743" s="125"/>
      <c r="X743" s="125"/>
      <c r="Y743" s="125"/>
      <c r="Z743" s="125"/>
      <c r="AA743" s="125"/>
      <c r="AB743" s="125"/>
      <c r="AC743" s="125"/>
      <c r="AD743" s="125"/>
      <c r="AE743" s="125"/>
      <c r="AF743" s="125"/>
      <c r="AG743" s="125"/>
      <c r="AH743" s="125"/>
      <c r="AI743" s="125"/>
      <c r="AJ743" s="125"/>
      <c r="AK743" s="125"/>
      <c r="AL743" s="125"/>
      <c r="AM743" s="125"/>
      <c r="AN743" s="125"/>
      <c r="AO743" s="125"/>
      <c r="AP743" s="125"/>
      <c r="AQ743" s="125"/>
      <c r="AR743" s="125"/>
      <c r="AS743" s="125"/>
      <c r="AT743" s="125"/>
      <c r="AU743" s="125"/>
      <c r="AV743" s="125"/>
      <c r="AW743" s="125"/>
      <c r="AX743" s="125"/>
      <c r="AY743" s="125"/>
      <c r="AZ743" s="125"/>
      <c r="BA743" s="125"/>
      <c r="BB743" s="125"/>
      <c r="BC743" s="125"/>
      <c r="BD743" s="125"/>
      <c r="BE743" s="125"/>
      <c r="BF743" s="125"/>
    </row>
    <row r="744" spans="1:58" ht="15.75" customHeight="1">
      <c r="A744" s="125"/>
      <c r="B744" s="125"/>
      <c r="C744" s="125"/>
      <c r="D744" s="125"/>
      <c r="E744" s="125"/>
      <c r="F744" s="125"/>
      <c r="G744" s="125"/>
      <c r="H744" s="125"/>
      <c r="I744" s="125"/>
      <c r="J744" s="125"/>
      <c r="K744" s="125"/>
      <c r="L744" s="125"/>
      <c r="M744" s="125"/>
      <c r="N744" s="125"/>
      <c r="O744" s="125"/>
      <c r="P744" s="125"/>
      <c r="Q744" s="125"/>
      <c r="R744" s="125"/>
      <c r="S744" s="125"/>
      <c r="T744" s="125"/>
      <c r="U744" s="125"/>
      <c r="V744" s="125"/>
      <c r="W744" s="125"/>
      <c r="X744" s="125"/>
      <c r="Y744" s="125"/>
      <c r="Z744" s="125"/>
      <c r="AA744" s="125"/>
      <c r="AB744" s="125"/>
      <c r="AC744" s="125"/>
      <c r="AD744" s="125"/>
      <c r="AE744" s="125"/>
      <c r="AF744" s="125"/>
      <c r="AG744" s="125"/>
      <c r="AH744" s="125"/>
      <c r="AI744" s="125"/>
      <c r="AJ744" s="125"/>
      <c r="AK744" s="125"/>
      <c r="AL744" s="125"/>
      <c r="AM744" s="125"/>
      <c r="AN744" s="125"/>
      <c r="AO744" s="125"/>
      <c r="AP744" s="125"/>
      <c r="AQ744" s="125"/>
      <c r="AR744" s="125"/>
      <c r="AS744" s="125"/>
      <c r="AT744" s="125"/>
      <c r="AU744" s="125"/>
      <c r="AV744" s="125"/>
      <c r="AW744" s="125"/>
      <c r="AX744" s="125"/>
      <c r="AY744" s="125"/>
      <c r="AZ744" s="125"/>
      <c r="BA744" s="125"/>
      <c r="BB744" s="125"/>
      <c r="BC744" s="125"/>
      <c r="BD744" s="125"/>
      <c r="BE744" s="125"/>
      <c r="BF744" s="125"/>
    </row>
    <row r="745" spans="1:58" ht="15.75" customHeight="1">
      <c r="A745" s="125"/>
      <c r="B745" s="125"/>
      <c r="C745" s="125"/>
      <c r="D745" s="125"/>
      <c r="E745" s="125"/>
      <c r="F745" s="125"/>
      <c r="G745" s="125"/>
      <c r="H745" s="125"/>
      <c r="I745" s="125"/>
      <c r="J745" s="125"/>
      <c r="K745" s="125"/>
      <c r="L745" s="125"/>
      <c r="M745" s="125"/>
      <c r="N745" s="125"/>
      <c r="O745" s="125"/>
      <c r="P745" s="125"/>
      <c r="Q745" s="125"/>
      <c r="R745" s="125"/>
      <c r="S745" s="125"/>
      <c r="T745" s="125"/>
      <c r="U745" s="125"/>
      <c r="V745" s="125"/>
      <c r="W745" s="125"/>
      <c r="X745" s="125"/>
      <c r="Y745" s="125"/>
      <c r="Z745" s="125"/>
      <c r="AA745" s="125"/>
      <c r="AB745" s="125"/>
      <c r="AC745" s="125"/>
      <c r="AD745" s="125"/>
      <c r="AE745" s="125"/>
      <c r="AF745" s="125"/>
      <c r="AG745" s="125"/>
      <c r="AH745" s="125"/>
      <c r="AI745" s="125"/>
      <c r="AJ745" s="125"/>
      <c r="AK745" s="125"/>
      <c r="AL745" s="125"/>
      <c r="AM745" s="125"/>
      <c r="AN745" s="125"/>
      <c r="AO745" s="125"/>
      <c r="AP745" s="125"/>
      <c r="AQ745" s="125"/>
      <c r="AR745" s="125"/>
      <c r="AS745" s="125"/>
      <c r="AT745" s="125"/>
      <c r="AU745" s="125"/>
      <c r="AV745" s="125"/>
      <c r="AW745" s="125"/>
      <c r="AX745" s="125"/>
      <c r="AY745" s="125"/>
      <c r="AZ745" s="125"/>
      <c r="BA745" s="125"/>
      <c r="BB745" s="125"/>
      <c r="BC745" s="125"/>
      <c r="BD745" s="125"/>
      <c r="BE745" s="125"/>
      <c r="BF745" s="125"/>
    </row>
    <row r="746" spans="1:58" ht="15.75" customHeight="1">
      <c r="A746" s="125"/>
      <c r="B746" s="125"/>
      <c r="C746" s="125"/>
      <c r="D746" s="125"/>
      <c r="E746" s="125"/>
      <c r="F746" s="125"/>
      <c r="G746" s="125"/>
      <c r="H746" s="125"/>
      <c r="I746" s="125"/>
      <c r="J746" s="125"/>
      <c r="K746" s="125"/>
      <c r="L746" s="125"/>
      <c r="M746" s="125"/>
      <c r="N746" s="125"/>
      <c r="O746" s="125"/>
      <c r="P746" s="125"/>
      <c r="Q746" s="125"/>
      <c r="R746" s="125"/>
      <c r="S746" s="125"/>
      <c r="T746" s="125"/>
      <c r="U746" s="125"/>
      <c r="V746" s="125"/>
      <c r="W746" s="125"/>
      <c r="X746" s="125"/>
      <c r="Y746" s="125"/>
      <c r="Z746" s="125"/>
      <c r="AA746" s="125"/>
      <c r="AB746" s="125"/>
      <c r="AC746" s="125"/>
      <c r="AD746" s="125"/>
      <c r="AE746" s="125"/>
      <c r="AF746" s="125"/>
      <c r="AG746" s="125"/>
      <c r="AH746" s="125"/>
      <c r="AI746" s="125"/>
      <c r="AJ746" s="125"/>
      <c r="AK746" s="125"/>
      <c r="AL746" s="125"/>
      <c r="AM746" s="125"/>
      <c r="AN746" s="125"/>
      <c r="AO746" s="125"/>
      <c r="AP746" s="125"/>
      <c r="AQ746" s="125"/>
      <c r="AR746" s="125"/>
      <c r="AS746" s="125"/>
      <c r="AT746" s="125"/>
      <c r="AU746" s="125"/>
      <c r="AV746" s="125"/>
      <c r="AW746" s="125"/>
      <c r="AX746" s="125"/>
      <c r="AY746" s="125"/>
      <c r="AZ746" s="125"/>
      <c r="BA746" s="125"/>
      <c r="BB746" s="125"/>
      <c r="BC746" s="125"/>
      <c r="BD746" s="125"/>
      <c r="BE746" s="125"/>
      <c r="BF746" s="125"/>
    </row>
    <row r="747" spans="1:58" ht="15.75" customHeight="1">
      <c r="A747" s="125"/>
      <c r="B747" s="125"/>
      <c r="C747" s="125"/>
      <c r="D747" s="125"/>
      <c r="E747" s="125"/>
      <c r="F747" s="125"/>
      <c r="G747" s="125"/>
      <c r="H747" s="125"/>
      <c r="I747" s="125"/>
      <c r="J747" s="125"/>
      <c r="K747" s="125"/>
      <c r="L747" s="125"/>
      <c r="M747" s="125"/>
      <c r="N747" s="125"/>
      <c r="O747" s="125"/>
      <c r="P747" s="125"/>
      <c r="Q747" s="125"/>
      <c r="R747" s="125"/>
      <c r="S747" s="125"/>
      <c r="T747" s="125"/>
      <c r="U747" s="125"/>
      <c r="V747" s="125"/>
      <c r="W747" s="125"/>
      <c r="X747" s="125"/>
      <c r="Y747" s="125"/>
      <c r="Z747" s="125"/>
      <c r="AA747" s="125"/>
      <c r="AB747" s="125"/>
      <c r="AC747" s="125"/>
      <c r="AD747" s="125"/>
      <c r="AE747" s="125"/>
      <c r="AF747" s="125"/>
      <c r="AG747" s="125"/>
      <c r="AH747" s="125"/>
      <c r="AI747" s="125"/>
      <c r="AJ747" s="125"/>
      <c r="AK747" s="125"/>
      <c r="AL747" s="125"/>
      <c r="AM747" s="125"/>
      <c r="AN747" s="125"/>
      <c r="AO747" s="125"/>
      <c r="AP747" s="125"/>
      <c r="AQ747" s="125"/>
      <c r="AR747" s="125"/>
      <c r="AS747" s="125"/>
      <c r="AT747" s="125"/>
      <c r="AU747" s="125"/>
      <c r="AV747" s="125"/>
      <c r="AW747" s="125"/>
      <c r="AX747" s="125"/>
      <c r="AY747" s="125"/>
      <c r="AZ747" s="125"/>
      <c r="BA747" s="125"/>
      <c r="BB747" s="125"/>
      <c r="BC747" s="125"/>
      <c r="BD747" s="125"/>
      <c r="BE747" s="125"/>
      <c r="BF747" s="125"/>
    </row>
    <row r="748" spans="1:58" ht="15.75" customHeight="1">
      <c r="A748" s="125"/>
      <c r="B748" s="125"/>
      <c r="C748" s="125"/>
      <c r="D748" s="125"/>
      <c r="E748" s="125"/>
      <c r="F748" s="125"/>
      <c r="G748" s="125"/>
      <c r="H748" s="125"/>
      <c r="I748" s="125"/>
      <c r="J748" s="125"/>
      <c r="K748" s="125"/>
      <c r="L748" s="125"/>
      <c r="M748" s="125"/>
      <c r="N748" s="125"/>
      <c r="O748" s="125"/>
      <c r="P748" s="125"/>
      <c r="Q748" s="125"/>
      <c r="R748" s="125"/>
      <c r="S748" s="125"/>
      <c r="T748" s="125"/>
      <c r="U748" s="125"/>
      <c r="V748" s="125"/>
      <c r="W748" s="125"/>
      <c r="X748" s="125"/>
      <c r="Y748" s="125"/>
      <c r="Z748" s="125"/>
      <c r="AA748" s="125"/>
      <c r="AB748" s="125"/>
      <c r="AC748" s="125"/>
      <c r="AD748" s="125"/>
      <c r="AE748" s="125"/>
      <c r="AF748" s="125"/>
      <c r="AG748" s="125"/>
      <c r="AH748" s="125"/>
      <c r="AI748" s="125"/>
      <c r="AJ748" s="125"/>
      <c r="AK748" s="125"/>
      <c r="AL748" s="125"/>
      <c r="AM748" s="125"/>
      <c r="AN748" s="125"/>
      <c r="AO748" s="125"/>
      <c r="AP748" s="125"/>
      <c r="AQ748" s="125"/>
      <c r="AR748" s="125"/>
      <c r="AS748" s="125"/>
      <c r="AT748" s="125"/>
      <c r="AU748" s="125"/>
      <c r="AV748" s="125"/>
      <c r="AW748" s="125"/>
      <c r="AX748" s="125"/>
      <c r="AY748" s="125"/>
      <c r="AZ748" s="125"/>
      <c r="BA748" s="125"/>
      <c r="BB748" s="125"/>
      <c r="BC748" s="125"/>
      <c r="BD748" s="125"/>
      <c r="BE748" s="125"/>
      <c r="BF748" s="125"/>
    </row>
    <row r="749" spans="1:58" ht="15.75" customHeight="1">
      <c r="A749" s="125"/>
      <c r="B749" s="125"/>
      <c r="C749" s="125"/>
      <c r="D749" s="125"/>
      <c r="E749" s="125"/>
      <c r="F749" s="125"/>
      <c r="G749" s="125"/>
      <c r="H749" s="125"/>
      <c r="I749" s="125"/>
      <c r="J749" s="125"/>
      <c r="K749" s="125"/>
      <c r="L749" s="125"/>
      <c r="M749" s="125"/>
      <c r="N749" s="125"/>
      <c r="O749" s="125"/>
      <c r="P749" s="125"/>
      <c r="Q749" s="125"/>
      <c r="R749" s="125"/>
      <c r="S749" s="125"/>
      <c r="T749" s="125"/>
      <c r="U749" s="125"/>
      <c r="V749" s="125"/>
      <c r="W749" s="125"/>
      <c r="X749" s="125"/>
      <c r="Y749" s="125"/>
      <c r="Z749" s="125"/>
      <c r="AA749" s="125"/>
      <c r="AB749" s="125"/>
      <c r="AC749" s="125"/>
      <c r="AD749" s="125"/>
      <c r="AE749" s="125"/>
      <c r="AF749" s="125"/>
      <c r="AG749" s="125"/>
      <c r="AH749" s="125"/>
      <c r="AI749" s="125"/>
      <c r="AJ749" s="125"/>
      <c r="AK749" s="125"/>
      <c r="AL749" s="125"/>
      <c r="AM749" s="125"/>
      <c r="AN749" s="125"/>
      <c r="AO749" s="125"/>
      <c r="AP749" s="125"/>
      <c r="AQ749" s="125"/>
      <c r="AR749" s="125"/>
      <c r="AS749" s="125"/>
      <c r="AT749" s="125"/>
      <c r="AU749" s="125"/>
      <c r="AV749" s="125"/>
      <c r="AW749" s="125"/>
      <c r="AX749" s="125"/>
      <c r="AY749" s="125"/>
      <c r="AZ749" s="125"/>
      <c r="BA749" s="125"/>
      <c r="BB749" s="125"/>
      <c r="BC749" s="125"/>
      <c r="BD749" s="125"/>
      <c r="BE749" s="125"/>
      <c r="BF749" s="125"/>
    </row>
    <row r="750" spans="1:58" ht="15.75" customHeight="1">
      <c r="A750" s="125"/>
      <c r="B750" s="125"/>
      <c r="C750" s="125"/>
      <c r="D750" s="125"/>
      <c r="E750" s="125"/>
      <c r="F750" s="125"/>
      <c r="G750" s="125"/>
      <c r="H750" s="125"/>
      <c r="I750" s="125"/>
      <c r="J750" s="125"/>
      <c r="K750" s="125"/>
      <c r="L750" s="125"/>
      <c r="M750" s="125"/>
      <c r="N750" s="125"/>
      <c r="O750" s="125"/>
      <c r="P750" s="125"/>
      <c r="Q750" s="125"/>
      <c r="R750" s="125"/>
      <c r="S750" s="125"/>
      <c r="T750" s="125"/>
      <c r="U750" s="125"/>
      <c r="V750" s="125"/>
      <c r="W750" s="125"/>
      <c r="X750" s="125"/>
      <c r="Y750" s="125"/>
      <c r="Z750" s="125"/>
      <c r="AA750" s="125"/>
      <c r="AB750" s="125"/>
      <c r="AC750" s="125"/>
      <c r="AD750" s="125"/>
      <c r="AE750" s="125"/>
      <c r="AF750" s="125"/>
      <c r="AG750" s="125"/>
      <c r="AH750" s="125"/>
      <c r="AI750" s="125"/>
      <c r="AJ750" s="125"/>
      <c r="AK750" s="125"/>
      <c r="AL750" s="125"/>
      <c r="AM750" s="125"/>
      <c r="AN750" s="125"/>
      <c r="AO750" s="125"/>
      <c r="AP750" s="125"/>
      <c r="AQ750" s="125"/>
      <c r="AR750" s="125"/>
      <c r="AS750" s="125"/>
      <c r="AT750" s="125"/>
      <c r="AU750" s="125"/>
      <c r="AV750" s="125"/>
      <c r="AW750" s="125"/>
      <c r="AX750" s="125"/>
      <c r="AY750" s="125"/>
      <c r="AZ750" s="125"/>
      <c r="BA750" s="125"/>
      <c r="BB750" s="125"/>
      <c r="BC750" s="125"/>
      <c r="BD750" s="125"/>
      <c r="BE750" s="125"/>
      <c r="BF750" s="125"/>
    </row>
    <row r="751" spans="1:58" ht="15.75" customHeight="1">
      <c r="A751" s="125"/>
      <c r="B751" s="125"/>
      <c r="C751" s="125"/>
      <c r="D751" s="125"/>
      <c r="E751" s="125"/>
      <c r="F751" s="125"/>
      <c r="G751" s="125"/>
      <c r="H751" s="125"/>
      <c r="I751" s="125"/>
      <c r="J751" s="125"/>
      <c r="K751" s="125"/>
      <c r="L751" s="125"/>
      <c r="M751" s="125"/>
      <c r="N751" s="125"/>
      <c r="O751" s="125"/>
      <c r="P751" s="125"/>
      <c r="Q751" s="125"/>
      <c r="R751" s="125"/>
      <c r="S751" s="125"/>
      <c r="T751" s="125"/>
      <c r="U751" s="125"/>
      <c r="V751" s="125"/>
      <c r="W751" s="125"/>
      <c r="X751" s="125"/>
      <c r="Y751" s="125"/>
      <c r="Z751" s="125"/>
      <c r="AA751" s="125"/>
      <c r="AB751" s="125"/>
      <c r="AC751" s="125"/>
      <c r="AD751" s="125"/>
      <c r="AE751" s="125"/>
      <c r="AF751" s="125"/>
      <c r="AG751" s="125"/>
      <c r="AH751" s="125"/>
      <c r="AI751" s="125"/>
      <c r="AJ751" s="125"/>
      <c r="AK751" s="125"/>
      <c r="AL751" s="125"/>
      <c r="AM751" s="125"/>
      <c r="AN751" s="125"/>
      <c r="AO751" s="125"/>
      <c r="AP751" s="125"/>
      <c r="AQ751" s="125"/>
      <c r="AR751" s="125"/>
      <c r="AS751" s="125"/>
      <c r="AT751" s="125"/>
      <c r="AU751" s="125"/>
      <c r="AV751" s="125"/>
      <c r="AW751" s="125"/>
      <c r="AX751" s="125"/>
      <c r="AY751" s="125"/>
      <c r="AZ751" s="125"/>
      <c r="BA751" s="125"/>
      <c r="BB751" s="125"/>
      <c r="BC751" s="125"/>
      <c r="BD751" s="125"/>
      <c r="BE751" s="125"/>
      <c r="BF751" s="125"/>
    </row>
    <row r="752" spans="1:58" ht="15.75" customHeight="1">
      <c r="A752" s="125"/>
      <c r="B752" s="125"/>
      <c r="C752" s="125"/>
      <c r="D752" s="125"/>
      <c r="E752" s="125"/>
      <c r="F752" s="125"/>
      <c r="G752" s="125"/>
      <c r="H752" s="125"/>
      <c r="I752" s="125"/>
      <c r="J752" s="125"/>
      <c r="K752" s="125"/>
      <c r="L752" s="125"/>
      <c r="M752" s="125"/>
      <c r="N752" s="125"/>
      <c r="O752" s="125"/>
      <c r="P752" s="125"/>
      <c r="Q752" s="125"/>
      <c r="R752" s="125"/>
      <c r="S752" s="125"/>
      <c r="T752" s="125"/>
      <c r="U752" s="125"/>
      <c r="V752" s="125"/>
      <c r="W752" s="125"/>
      <c r="X752" s="125"/>
      <c r="Y752" s="125"/>
      <c r="Z752" s="125"/>
      <c r="AA752" s="125"/>
      <c r="AB752" s="125"/>
      <c r="AC752" s="125"/>
      <c r="AD752" s="125"/>
      <c r="AE752" s="125"/>
      <c r="AF752" s="125"/>
      <c r="AG752" s="125"/>
      <c r="AH752" s="125"/>
      <c r="AI752" s="125"/>
      <c r="AJ752" s="125"/>
      <c r="AK752" s="125"/>
      <c r="AL752" s="125"/>
      <c r="AM752" s="125"/>
      <c r="AN752" s="125"/>
      <c r="AO752" s="125"/>
      <c r="AP752" s="125"/>
      <c r="AQ752" s="125"/>
      <c r="AR752" s="125"/>
      <c r="AS752" s="125"/>
      <c r="AT752" s="125"/>
      <c r="AU752" s="125"/>
      <c r="AV752" s="125"/>
      <c r="AW752" s="125"/>
      <c r="AX752" s="125"/>
      <c r="AY752" s="125"/>
      <c r="AZ752" s="125"/>
      <c r="BA752" s="125"/>
      <c r="BB752" s="125"/>
      <c r="BC752" s="125"/>
      <c r="BD752" s="125"/>
      <c r="BE752" s="125"/>
      <c r="BF752" s="125"/>
    </row>
    <row r="753" spans="1:58" ht="15.75" customHeight="1">
      <c r="A753" s="125"/>
      <c r="B753" s="125"/>
      <c r="C753" s="125"/>
      <c r="D753" s="125"/>
      <c r="E753" s="125"/>
      <c r="F753" s="125"/>
      <c r="G753" s="125"/>
      <c r="H753" s="125"/>
      <c r="I753" s="125"/>
      <c r="J753" s="125"/>
      <c r="K753" s="125"/>
      <c r="L753" s="125"/>
      <c r="M753" s="125"/>
      <c r="N753" s="125"/>
      <c r="O753" s="125"/>
      <c r="P753" s="125"/>
      <c r="Q753" s="125"/>
      <c r="R753" s="125"/>
      <c r="S753" s="125"/>
      <c r="T753" s="125"/>
      <c r="U753" s="125"/>
      <c r="V753" s="125"/>
      <c r="W753" s="125"/>
      <c r="X753" s="125"/>
      <c r="Y753" s="125"/>
      <c r="Z753" s="125"/>
      <c r="AA753" s="125"/>
      <c r="AB753" s="125"/>
      <c r="AC753" s="125"/>
      <c r="AD753" s="125"/>
      <c r="AE753" s="125"/>
      <c r="AF753" s="125"/>
      <c r="AG753" s="125"/>
      <c r="AH753" s="125"/>
      <c r="AI753" s="125"/>
      <c r="AJ753" s="125"/>
      <c r="AK753" s="125"/>
      <c r="AL753" s="125"/>
      <c r="AM753" s="125"/>
      <c r="AN753" s="125"/>
      <c r="AO753" s="125"/>
      <c r="AP753" s="125"/>
      <c r="AQ753" s="125"/>
      <c r="AR753" s="125"/>
      <c r="AS753" s="125"/>
      <c r="AT753" s="125"/>
      <c r="AU753" s="125"/>
      <c r="AV753" s="125"/>
      <c r="AW753" s="125"/>
      <c r="AX753" s="125"/>
      <c r="AY753" s="125"/>
      <c r="AZ753" s="125"/>
      <c r="BA753" s="125"/>
      <c r="BB753" s="125"/>
      <c r="BC753" s="125"/>
      <c r="BD753" s="125"/>
      <c r="BE753" s="125"/>
      <c r="BF753" s="125"/>
    </row>
    <row r="754" spans="1:58" ht="15.75" customHeight="1">
      <c r="A754" s="125"/>
      <c r="B754" s="125"/>
      <c r="C754" s="125"/>
      <c r="D754" s="125"/>
      <c r="E754" s="125"/>
      <c r="F754" s="125"/>
      <c r="G754" s="125"/>
      <c r="H754" s="125"/>
      <c r="I754" s="125"/>
      <c r="J754" s="125"/>
      <c r="K754" s="125"/>
      <c r="L754" s="125"/>
      <c r="M754" s="125"/>
      <c r="N754" s="125"/>
      <c r="O754" s="125"/>
      <c r="P754" s="125"/>
      <c r="Q754" s="125"/>
      <c r="R754" s="125"/>
      <c r="S754" s="125"/>
      <c r="T754" s="125"/>
      <c r="U754" s="125"/>
      <c r="V754" s="125"/>
      <c r="W754" s="125"/>
      <c r="X754" s="125"/>
      <c r="Y754" s="125"/>
      <c r="Z754" s="125"/>
      <c r="AA754" s="125"/>
      <c r="AB754" s="125"/>
      <c r="AC754" s="125"/>
      <c r="AD754" s="125"/>
      <c r="AE754" s="125"/>
      <c r="AF754" s="125"/>
      <c r="AG754" s="125"/>
      <c r="AH754" s="125"/>
      <c r="AI754" s="125"/>
      <c r="AJ754" s="125"/>
      <c r="AK754" s="125"/>
      <c r="AL754" s="125"/>
      <c r="AM754" s="125"/>
      <c r="AN754" s="125"/>
      <c r="AO754" s="125"/>
      <c r="AP754" s="125"/>
      <c r="AQ754" s="125"/>
      <c r="AR754" s="125"/>
      <c r="AS754" s="125"/>
      <c r="AT754" s="125"/>
      <c r="AU754" s="125"/>
      <c r="AV754" s="125"/>
      <c r="AW754" s="125"/>
      <c r="AX754" s="125"/>
      <c r="AY754" s="125"/>
      <c r="AZ754" s="125"/>
      <c r="BA754" s="125"/>
      <c r="BB754" s="125"/>
      <c r="BC754" s="125"/>
      <c r="BD754" s="125"/>
      <c r="BE754" s="125"/>
      <c r="BF754" s="125"/>
    </row>
    <row r="755" spans="1:58" ht="15.75" customHeight="1">
      <c r="A755" s="125"/>
      <c r="B755" s="125"/>
      <c r="C755" s="125"/>
      <c r="D755" s="125"/>
      <c r="E755" s="125"/>
      <c r="F755" s="125"/>
      <c r="G755" s="125"/>
      <c r="H755" s="125"/>
      <c r="I755" s="125"/>
      <c r="J755" s="125"/>
      <c r="K755" s="125"/>
      <c r="L755" s="125"/>
      <c r="M755" s="125"/>
      <c r="N755" s="125"/>
      <c r="O755" s="125"/>
      <c r="P755" s="125"/>
      <c r="Q755" s="125"/>
      <c r="R755" s="125"/>
      <c r="S755" s="125"/>
      <c r="T755" s="125"/>
      <c r="U755" s="125"/>
      <c r="V755" s="125"/>
      <c r="W755" s="125"/>
      <c r="X755" s="125"/>
      <c r="Y755" s="125"/>
      <c r="Z755" s="125"/>
      <c r="AA755" s="125"/>
      <c r="AB755" s="125"/>
      <c r="AC755" s="125"/>
      <c r="AD755" s="125"/>
      <c r="AE755" s="125"/>
      <c r="AF755" s="125"/>
      <c r="AG755" s="125"/>
      <c r="AH755" s="125"/>
      <c r="AI755" s="125"/>
      <c r="AJ755" s="125"/>
      <c r="AK755" s="125"/>
      <c r="AL755" s="125"/>
      <c r="AM755" s="125"/>
      <c r="AN755" s="125"/>
      <c r="AO755" s="125"/>
      <c r="AP755" s="125"/>
      <c r="AQ755" s="125"/>
      <c r="AR755" s="125"/>
      <c r="AS755" s="125"/>
      <c r="AT755" s="125"/>
      <c r="AU755" s="125"/>
      <c r="AV755" s="125"/>
      <c r="AW755" s="125"/>
      <c r="AX755" s="125"/>
      <c r="AY755" s="125"/>
      <c r="AZ755" s="125"/>
      <c r="BA755" s="125"/>
      <c r="BB755" s="125"/>
      <c r="BC755" s="125"/>
      <c r="BD755" s="125"/>
      <c r="BE755" s="125"/>
      <c r="BF755" s="125"/>
    </row>
    <row r="756" spans="1:58" ht="15.75" customHeight="1">
      <c r="A756" s="125"/>
      <c r="B756" s="125"/>
      <c r="C756" s="125"/>
      <c r="D756" s="125"/>
      <c r="E756" s="125"/>
      <c r="F756" s="125"/>
      <c r="G756" s="125"/>
      <c r="H756" s="125"/>
      <c r="I756" s="125"/>
      <c r="J756" s="125"/>
      <c r="K756" s="125"/>
      <c r="L756" s="125"/>
      <c r="M756" s="125"/>
      <c r="N756" s="125"/>
      <c r="O756" s="125"/>
      <c r="P756" s="125"/>
      <c r="Q756" s="125"/>
      <c r="R756" s="125"/>
      <c r="S756" s="125"/>
      <c r="T756" s="125"/>
      <c r="U756" s="125"/>
      <c r="V756" s="125"/>
      <c r="W756" s="125"/>
      <c r="X756" s="125"/>
      <c r="Y756" s="125"/>
      <c r="Z756" s="125"/>
      <c r="AA756" s="125"/>
      <c r="AB756" s="125"/>
      <c r="AC756" s="125"/>
      <c r="AD756" s="125"/>
      <c r="AE756" s="125"/>
      <c r="AF756" s="125"/>
      <c r="AG756" s="125"/>
      <c r="AH756" s="125"/>
      <c r="AI756" s="125"/>
      <c r="AJ756" s="125"/>
      <c r="AK756" s="125"/>
      <c r="AL756" s="125"/>
      <c r="AM756" s="125"/>
      <c r="AN756" s="125"/>
      <c r="AO756" s="125"/>
      <c r="AP756" s="125"/>
      <c r="AQ756" s="125"/>
      <c r="AR756" s="125"/>
      <c r="AS756" s="125"/>
      <c r="AT756" s="125"/>
      <c r="AU756" s="125"/>
      <c r="AV756" s="125"/>
      <c r="AW756" s="125"/>
      <c r="AX756" s="125"/>
      <c r="AY756" s="125"/>
      <c r="AZ756" s="125"/>
      <c r="BA756" s="125"/>
      <c r="BB756" s="125"/>
      <c r="BC756" s="125"/>
      <c r="BD756" s="125"/>
      <c r="BE756" s="125"/>
      <c r="BF756" s="125"/>
    </row>
    <row r="757" spans="1:58" ht="15.75" customHeight="1">
      <c r="A757" s="125"/>
      <c r="B757" s="125"/>
      <c r="C757" s="125"/>
      <c r="D757" s="125"/>
      <c r="E757" s="125"/>
      <c r="F757" s="125"/>
      <c r="G757" s="125"/>
      <c r="H757" s="125"/>
      <c r="I757" s="125"/>
      <c r="J757" s="125"/>
      <c r="K757" s="125"/>
      <c r="L757" s="125"/>
      <c r="M757" s="125"/>
      <c r="N757" s="125"/>
      <c r="O757" s="125"/>
      <c r="P757" s="125"/>
      <c r="Q757" s="125"/>
      <c r="R757" s="125"/>
      <c r="S757" s="125"/>
      <c r="T757" s="125"/>
      <c r="U757" s="125"/>
      <c r="V757" s="125"/>
      <c r="W757" s="125"/>
      <c r="X757" s="125"/>
      <c r="Y757" s="125"/>
      <c r="Z757" s="125"/>
      <c r="AA757" s="125"/>
      <c r="AB757" s="125"/>
      <c r="AC757" s="125"/>
      <c r="AD757" s="125"/>
      <c r="AE757" s="125"/>
      <c r="AF757" s="125"/>
      <c r="AG757" s="125"/>
      <c r="AH757" s="125"/>
      <c r="AI757" s="125"/>
      <c r="AJ757" s="125"/>
      <c r="AK757" s="125"/>
      <c r="AL757" s="125"/>
      <c r="AM757" s="125"/>
      <c r="AN757" s="125"/>
      <c r="AO757" s="125"/>
      <c r="AP757" s="125"/>
      <c r="AQ757" s="125"/>
      <c r="AR757" s="125"/>
      <c r="AS757" s="125"/>
      <c r="AT757" s="125"/>
      <c r="AU757" s="125"/>
      <c r="AV757" s="125"/>
      <c r="AW757" s="125"/>
      <c r="AX757" s="125"/>
      <c r="AY757" s="125"/>
      <c r="AZ757" s="125"/>
      <c r="BA757" s="125"/>
      <c r="BB757" s="125"/>
      <c r="BC757" s="125"/>
      <c r="BD757" s="125"/>
      <c r="BE757" s="125"/>
      <c r="BF757" s="125"/>
    </row>
    <row r="758" spans="1:58" ht="15.75" customHeight="1">
      <c r="A758" s="125"/>
      <c r="B758" s="125"/>
      <c r="C758" s="125"/>
      <c r="D758" s="125"/>
      <c r="E758" s="125"/>
      <c r="F758" s="125"/>
      <c r="G758" s="125"/>
      <c r="H758" s="125"/>
      <c r="I758" s="125"/>
      <c r="J758" s="125"/>
      <c r="K758" s="125"/>
      <c r="L758" s="125"/>
      <c r="M758" s="125"/>
      <c r="N758" s="125"/>
      <c r="O758" s="125"/>
      <c r="P758" s="125"/>
      <c r="Q758" s="125"/>
      <c r="R758" s="125"/>
      <c r="S758" s="125"/>
      <c r="T758" s="125"/>
      <c r="U758" s="125"/>
      <c r="V758" s="125"/>
      <c r="W758" s="125"/>
      <c r="X758" s="125"/>
      <c r="Y758" s="125"/>
      <c r="Z758" s="125"/>
      <c r="AA758" s="125"/>
      <c r="AB758" s="125"/>
      <c r="AC758" s="125"/>
      <c r="AD758" s="125"/>
      <c r="AE758" s="125"/>
      <c r="AF758" s="125"/>
      <c r="AG758" s="125"/>
      <c r="AH758" s="125"/>
      <c r="AI758" s="125"/>
      <c r="AJ758" s="125"/>
      <c r="AK758" s="125"/>
      <c r="AL758" s="125"/>
      <c r="AM758" s="125"/>
      <c r="AN758" s="125"/>
      <c r="AO758" s="125"/>
      <c r="AP758" s="125"/>
      <c r="AQ758" s="125"/>
      <c r="AR758" s="125"/>
      <c r="AS758" s="125"/>
      <c r="AT758" s="125"/>
      <c r="AU758" s="125"/>
      <c r="AV758" s="125"/>
      <c r="AW758" s="125"/>
      <c r="AX758" s="125"/>
      <c r="AY758" s="125"/>
      <c r="AZ758" s="125"/>
      <c r="BA758" s="125"/>
      <c r="BB758" s="125"/>
      <c r="BC758" s="125"/>
      <c r="BD758" s="125"/>
      <c r="BE758" s="125"/>
      <c r="BF758" s="125"/>
    </row>
    <row r="759" spans="1:58" ht="15.75" customHeight="1">
      <c r="A759" s="125"/>
      <c r="B759" s="125"/>
      <c r="C759" s="125"/>
      <c r="D759" s="125"/>
      <c r="E759" s="125"/>
      <c r="F759" s="125"/>
      <c r="G759" s="125"/>
      <c r="H759" s="125"/>
      <c r="I759" s="125"/>
      <c r="J759" s="125"/>
      <c r="K759" s="125"/>
      <c r="L759" s="125"/>
      <c r="M759" s="125"/>
      <c r="N759" s="125"/>
      <c r="O759" s="125"/>
      <c r="P759" s="125"/>
      <c r="Q759" s="125"/>
      <c r="R759" s="125"/>
      <c r="S759" s="125"/>
      <c r="T759" s="125"/>
      <c r="U759" s="125"/>
      <c r="V759" s="125"/>
      <c r="W759" s="125"/>
      <c r="X759" s="125"/>
      <c r="Y759" s="125"/>
      <c r="Z759" s="125"/>
      <c r="AA759" s="125"/>
      <c r="AB759" s="125"/>
      <c r="AC759" s="125"/>
      <c r="AD759" s="125"/>
      <c r="AE759" s="125"/>
      <c r="AF759" s="125"/>
      <c r="AG759" s="125"/>
      <c r="AH759" s="125"/>
      <c r="AI759" s="125"/>
      <c r="AJ759" s="125"/>
      <c r="AK759" s="125"/>
      <c r="AL759" s="125"/>
      <c r="AM759" s="125"/>
      <c r="AN759" s="125"/>
      <c r="AO759" s="125"/>
      <c r="AP759" s="125"/>
      <c r="AQ759" s="125"/>
      <c r="AR759" s="125"/>
      <c r="AS759" s="125"/>
      <c r="AT759" s="125"/>
      <c r="AU759" s="125"/>
      <c r="AV759" s="125"/>
      <c r="AW759" s="125"/>
      <c r="AX759" s="125"/>
      <c r="AY759" s="125"/>
      <c r="AZ759" s="125"/>
      <c r="BA759" s="125"/>
      <c r="BB759" s="125"/>
      <c r="BC759" s="125"/>
      <c r="BD759" s="125"/>
      <c r="BE759" s="125"/>
      <c r="BF759" s="125"/>
    </row>
    <row r="760" spans="1:58" ht="15.75" customHeight="1">
      <c r="A760" s="125"/>
      <c r="B760" s="125"/>
      <c r="C760" s="125"/>
      <c r="D760" s="125"/>
      <c r="E760" s="125"/>
      <c r="F760" s="125"/>
      <c r="G760" s="125"/>
      <c r="H760" s="125"/>
      <c r="I760" s="125"/>
      <c r="J760" s="125"/>
      <c r="K760" s="125"/>
      <c r="L760" s="125"/>
      <c r="M760" s="125"/>
      <c r="N760" s="125"/>
      <c r="O760" s="125"/>
      <c r="P760" s="125"/>
      <c r="Q760" s="125"/>
      <c r="R760" s="125"/>
      <c r="S760" s="125"/>
      <c r="T760" s="125"/>
      <c r="U760" s="125"/>
      <c r="V760" s="125"/>
      <c r="W760" s="125"/>
      <c r="X760" s="125"/>
      <c r="Y760" s="125"/>
      <c r="Z760" s="125"/>
      <c r="AA760" s="125"/>
      <c r="AB760" s="125"/>
      <c r="AC760" s="125"/>
      <c r="AD760" s="125"/>
      <c r="AE760" s="125"/>
      <c r="AF760" s="125"/>
      <c r="AG760" s="125"/>
      <c r="AH760" s="125"/>
      <c r="AI760" s="125"/>
      <c r="AJ760" s="125"/>
      <c r="AK760" s="125"/>
      <c r="AL760" s="125"/>
      <c r="AM760" s="125"/>
      <c r="AN760" s="125"/>
      <c r="AO760" s="125"/>
      <c r="AP760" s="125"/>
      <c r="AQ760" s="125"/>
      <c r="AR760" s="125"/>
      <c r="AS760" s="125"/>
      <c r="AT760" s="125"/>
      <c r="AU760" s="125"/>
      <c r="AV760" s="125"/>
      <c r="AW760" s="125"/>
      <c r="AX760" s="125"/>
      <c r="AY760" s="125"/>
      <c r="AZ760" s="125"/>
      <c r="BA760" s="125"/>
      <c r="BB760" s="125"/>
      <c r="BC760" s="125"/>
      <c r="BD760" s="125"/>
      <c r="BE760" s="125"/>
      <c r="BF760" s="125"/>
    </row>
    <row r="761" spans="1:58" ht="15.75" customHeight="1">
      <c r="A761" s="125"/>
      <c r="B761" s="125"/>
      <c r="C761" s="125"/>
      <c r="D761" s="125"/>
      <c r="E761" s="125"/>
      <c r="F761" s="125"/>
      <c r="G761" s="125"/>
      <c r="H761" s="125"/>
      <c r="I761" s="125"/>
      <c r="J761" s="125"/>
      <c r="K761" s="125"/>
      <c r="L761" s="125"/>
      <c r="M761" s="125"/>
      <c r="N761" s="125"/>
      <c r="O761" s="125"/>
      <c r="P761" s="125"/>
      <c r="Q761" s="125"/>
      <c r="R761" s="125"/>
      <c r="S761" s="125"/>
      <c r="T761" s="125"/>
      <c r="U761" s="125"/>
      <c r="V761" s="125"/>
      <c r="W761" s="125"/>
      <c r="X761" s="125"/>
      <c r="Y761" s="125"/>
      <c r="Z761" s="125"/>
      <c r="AA761" s="125"/>
      <c r="AB761" s="125"/>
      <c r="AC761" s="125"/>
      <c r="AD761" s="125"/>
      <c r="AE761" s="125"/>
      <c r="AF761" s="125"/>
      <c r="AG761" s="125"/>
      <c r="AH761" s="125"/>
      <c r="AI761" s="125"/>
      <c r="AJ761" s="125"/>
      <c r="AK761" s="125"/>
      <c r="AL761" s="125"/>
      <c r="AM761" s="125"/>
      <c r="AN761" s="125"/>
      <c r="AO761" s="125"/>
      <c r="AP761" s="125"/>
      <c r="AQ761" s="125"/>
      <c r="AR761" s="125"/>
      <c r="AS761" s="125"/>
      <c r="AT761" s="125"/>
      <c r="AU761" s="125"/>
      <c r="AV761" s="125"/>
      <c r="AW761" s="125"/>
      <c r="AX761" s="125"/>
      <c r="AY761" s="125"/>
      <c r="AZ761" s="125"/>
      <c r="BA761" s="125"/>
      <c r="BB761" s="125"/>
      <c r="BC761" s="125"/>
      <c r="BD761" s="125"/>
      <c r="BE761" s="125"/>
      <c r="BF761" s="125"/>
    </row>
    <row r="762" spans="1:58" ht="15.75" customHeight="1">
      <c r="A762" s="125"/>
      <c r="B762" s="125"/>
      <c r="C762" s="125"/>
      <c r="D762" s="125"/>
      <c r="E762" s="125"/>
      <c r="F762" s="125"/>
      <c r="G762" s="125"/>
      <c r="H762" s="125"/>
      <c r="I762" s="125"/>
      <c r="J762" s="125"/>
      <c r="K762" s="125"/>
      <c r="L762" s="125"/>
      <c r="M762" s="125"/>
      <c r="N762" s="125"/>
      <c r="O762" s="125"/>
      <c r="P762" s="125"/>
      <c r="Q762" s="125"/>
      <c r="R762" s="125"/>
      <c r="S762" s="125"/>
      <c r="T762" s="125"/>
      <c r="U762" s="125"/>
      <c r="V762" s="125"/>
      <c r="W762" s="125"/>
      <c r="X762" s="125"/>
      <c r="Y762" s="125"/>
      <c r="Z762" s="125"/>
      <c r="AA762" s="125"/>
      <c r="AB762" s="125"/>
      <c r="AC762" s="125"/>
      <c r="AD762" s="125"/>
      <c r="AE762" s="125"/>
      <c r="AF762" s="125"/>
      <c r="AG762" s="125"/>
      <c r="AH762" s="125"/>
      <c r="AI762" s="125"/>
      <c r="AJ762" s="125"/>
      <c r="AK762" s="125"/>
      <c r="AL762" s="125"/>
      <c r="AM762" s="125"/>
      <c r="AN762" s="125"/>
      <c r="AO762" s="125"/>
      <c r="AP762" s="125"/>
      <c r="AQ762" s="125"/>
      <c r="AR762" s="125"/>
      <c r="AS762" s="125"/>
      <c r="AT762" s="125"/>
      <c r="AU762" s="125"/>
      <c r="AV762" s="125"/>
      <c r="AW762" s="125"/>
      <c r="AX762" s="125"/>
      <c r="AY762" s="125"/>
      <c r="AZ762" s="125"/>
      <c r="BA762" s="125"/>
      <c r="BB762" s="125"/>
      <c r="BC762" s="125"/>
      <c r="BD762" s="125"/>
      <c r="BE762" s="125"/>
      <c r="BF762" s="125"/>
    </row>
    <row r="763" spans="1:58" ht="15.75" customHeight="1">
      <c r="A763" s="125"/>
      <c r="B763" s="125"/>
      <c r="C763" s="125"/>
      <c r="D763" s="125"/>
      <c r="E763" s="125"/>
      <c r="F763" s="125"/>
      <c r="G763" s="125"/>
      <c r="H763" s="125"/>
      <c r="I763" s="125"/>
      <c r="J763" s="125"/>
      <c r="K763" s="125"/>
      <c r="L763" s="125"/>
      <c r="M763" s="125"/>
      <c r="N763" s="125"/>
      <c r="O763" s="125"/>
      <c r="P763" s="125"/>
      <c r="Q763" s="125"/>
      <c r="R763" s="125"/>
      <c r="S763" s="125"/>
      <c r="T763" s="125"/>
      <c r="U763" s="125"/>
      <c r="V763" s="125"/>
      <c r="W763" s="125"/>
      <c r="X763" s="125"/>
      <c r="Y763" s="125"/>
      <c r="Z763" s="125"/>
      <c r="AA763" s="125"/>
      <c r="AB763" s="125"/>
      <c r="AC763" s="125"/>
      <c r="AD763" s="125"/>
      <c r="AE763" s="125"/>
      <c r="AF763" s="125"/>
      <c r="AG763" s="125"/>
      <c r="AH763" s="125"/>
      <c r="AI763" s="125"/>
      <c r="AJ763" s="125"/>
      <c r="AK763" s="125"/>
      <c r="AL763" s="125"/>
      <c r="AM763" s="125"/>
      <c r="AN763" s="125"/>
      <c r="AO763" s="125"/>
      <c r="AP763" s="125"/>
      <c r="AQ763" s="125"/>
      <c r="AR763" s="125"/>
      <c r="AS763" s="125"/>
      <c r="AT763" s="125"/>
      <c r="AU763" s="125"/>
      <c r="AV763" s="125"/>
      <c r="AW763" s="125"/>
      <c r="AX763" s="125"/>
      <c r="AY763" s="125"/>
      <c r="AZ763" s="125"/>
      <c r="BA763" s="125"/>
      <c r="BB763" s="125"/>
      <c r="BC763" s="125"/>
      <c r="BD763" s="125"/>
      <c r="BE763" s="125"/>
      <c r="BF763" s="125"/>
    </row>
    <row r="764" spans="1:58" ht="15.75" customHeight="1">
      <c r="A764" s="125"/>
      <c r="B764" s="125"/>
      <c r="C764" s="125"/>
      <c r="D764" s="125"/>
      <c r="E764" s="125"/>
      <c r="F764" s="125"/>
      <c r="G764" s="125"/>
      <c r="H764" s="125"/>
      <c r="I764" s="125"/>
      <c r="J764" s="125"/>
      <c r="K764" s="125"/>
      <c r="L764" s="125"/>
      <c r="M764" s="125"/>
      <c r="N764" s="125"/>
      <c r="O764" s="125"/>
      <c r="P764" s="125"/>
      <c r="Q764" s="125"/>
      <c r="R764" s="125"/>
      <c r="S764" s="125"/>
      <c r="T764" s="125"/>
      <c r="U764" s="125"/>
      <c r="V764" s="125"/>
      <c r="W764" s="125"/>
      <c r="X764" s="125"/>
      <c r="Y764" s="125"/>
      <c r="Z764" s="125"/>
      <c r="AA764" s="125"/>
      <c r="AB764" s="125"/>
      <c r="AC764" s="125"/>
      <c r="AD764" s="125"/>
      <c r="AE764" s="125"/>
      <c r="AF764" s="125"/>
      <c r="AG764" s="125"/>
      <c r="AH764" s="125"/>
      <c r="AI764" s="125"/>
      <c r="AJ764" s="125"/>
      <c r="AK764" s="125"/>
      <c r="AL764" s="125"/>
      <c r="AM764" s="125"/>
      <c r="AN764" s="125"/>
      <c r="AO764" s="125"/>
      <c r="AP764" s="125"/>
      <c r="AQ764" s="125"/>
      <c r="AR764" s="125"/>
      <c r="AS764" s="125"/>
      <c r="AT764" s="125"/>
      <c r="AU764" s="125"/>
      <c r="AV764" s="125"/>
      <c r="AW764" s="125"/>
      <c r="AX764" s="125"/>
      <c r="AY764" s="125"/>
      <c r="AZ764" s="125"/>
      <c r="BA764" s="125"/>
      <c r="BB764" s="125"/>
      <c r="BC764" s="125"/>
      <c r="BD764" s="125"/>
      <c r="BE764" s="125"/>
      <c r="BF764" s="125"/>
    </row>
    <row r="765" spans="1:58" ht="15.75" customHeight="1">
      <c r="A765" s="125"/>
      <c r="B765" s="125"/>
      <c r="C765" s="125"/>
      <c r="D765" s="125"/>
      <c r="E765" s="125"/>
      <c r="F765" s="125"/>
      <c r="G765" s="125"/>
      <c r="H765" s="125"/>
      <c r="I765" s="125"/>
      <c r="J765" s="125"/>
      <c r="K765" s="125"/>
      <c r="L765" s="125"/>
      <c r="M765" s="125"/>
      <c r="N765" s="125"/>
      <c r="O765" s="125"/>
      <c r="P765" s="125"/>
      <c r="Q765" s="125"/>
      <c r="R765" s="125"/>
      <c r="S765" s="125"/>
      <c r="T765" s="125"/>
      <c r="U765" s="125"/>
      <c r="V765" s="125"/>
      <c r="W765" s="125"/>
      <c r="X765" s="125"/>
      <c r="Y765" s="125"/>
      <c r="Z765" s="125"/>
      <c r="AA765" s="125"/>
      <c r="AB765" s="125"/>
      <c r="AC765" s="125"/>
      <c r="AD765" s="125"/>
      <c r="AE765" s="125"/>
      <c r="AF765" s="125"/>
      <c r="AG765" s="125"/>
      <c r="AH765" s="125"/>
      <c r="AI765" s="125"/>
      <c r="AJ765" s="125"/>
      <c r="AK765" s="125"/>
      <c r="AL765" s="125"/>
      <c r="AM765" s="125"/>
      <c r="AN765" s="125"/>
      <c r="AO765" s="125"/>
      <c r="AP765" s="125"/>
      <c r="AQ765" s="125"/>
      <c r="AR765" s="125"/>
      <c r="AS765" s="125"/>
      <c r="AT765" s="125"/>
      <c r="AU765" s="125"/>
      <c r="AV765" s="125"/>
      <c r="AW765" s="125"/>
      <c r="AX765" s="125"/>
      <c r="AY765" s="125"/>
      <c r="AZ765" s="125"/>
      <c r="BA765" s="125"/>
      <c r="BB765" s="125"/>
      <c r="BC765" s="125"/>
      <c r="BD765" s="125"/>
      <c r="BE765" s="125"/>
      <c r="BF765" s="125"/>
    </row>
    <row r="766" spans="1:58" ht="15.75" customHeight="1">
      <c r="A766" s="125"/>
      <c r="B766" s="125"/>
      <c r="C766" s="125"/>
      <c r="D766" s="125"/>
      <c r="E766" s="125"/>
      <c r="F766" s="125"/>
      <c r="G766" s="125"/>
      <c r="H766" s="125"/>
      <c r="I766" s="125"/>
      <c r="J766" s="125"/>
      <c r="K766" s="125"/>
      <c r="L766" s="125"/>
      <c r="M766" s="125"/>
      <c r="N766" s="125"/>
      <c r="O766" s="125"/>
      <c r="P766" s="125"/>
      <c r="Q766" s="125"/>
      <c r="R766" s="125"/>
      <c r="S766" s="125"/>
      <c r="T766" s="125"/>
      <c r="U766" s="125"/>
      <c r="V766" s="125"/>
      <c r="W766" s="125"/>
      <c r="X766" s="125"/>
      <c r="Y766" s="125"/>
      <c r="Z766" s="125"/>
      <c r="AA766" s="125"/>
      <c r="AB766" s="125"/>
      <c r="AC766" s="125"/>
      <c r="AD766" s="125"/>
      <c r="AE766" s="125"/>
      <c r="AF766" s="125"/>
      <c r="AG766" s="125"/>
      <c r="AH766" s="125"/>
      <c r="AI766" s="125"/>
      <c r="AJ766" s="125"/>
      <c r="AK766" s="125"/>
      <c r="AL766" s="125"/>
      <c r="AM766" s="125"/>
      <c r="AN766" s="125"/>
      <c r="AO766" s="125"/>
      <c r="AP766" s="125"/>
      <c r="AQ766" s="125"/>
      <c r="AR766" s="125"/>
      <c r="AS766" s="125"/>
      <c r="AT766" s="125"/>
      <c r="AU766" s="125"/>
      <c r="AV766" s="125"/>
      <c r="AW766" s="125"/>
      <c r="AX766" s="125"/>
      <c r="AY766" s="125"/>
      <c r="AZ766" s="125"/>
      <c r="BA766" s="125"/>
      <c r="BB766" s="125"/>
      <c r="BC766" s="125"/>
      <c r="BD766" s="125"/>
      <c r="BE766" s="125"/>
      <c r="BF766" s="125"/>
    </row>
    <row r="767" spans="1:58" ht="15.75" customHeight="1">
      <c r="A767" s="125"/>
      <c r="B767" s="125"/>
      <c r="C767" s="125"/>
      <c r="D767" s="125"/>
      <c r="E767" s="125"/>
      <c r="F767" s="125"/>
      <c r="G767" s="125"/>
      <c r="H767" s="125"/>
      <c r="I767" s="125"/>
      <c r="J767" s="125"/>
      <c r="K767" s="125"/>
      <c r="L767" s="125"/>
      <c r="M767" s="125"/>
      <c r="N767" s="125"/>
      <c r="O767" s="125"/>
      <c r="P767" s="125"/>
      <c r="Q767" s="125"/>
      <c r="R767" s="125"/>
      <c r="S767" s="125"/>
      <c r="T767" s="125"/>
      <c r="U767" s="125"/>
      <c r="V767" s="125"/>
      <c r="W767" s="125"/>
      <c r="X767" s="125"/>
      <c r="Y767" s="125"/>
      <c r="Z767" s="125"/>
      <c r="AA767" s="125"/>
      <c r="AB767" s="125"/>
      <c r="AC767" s="125"/>
      <c r="AD767" s="125"/>
      <c r="AE767" s="125"/>
      <c r="AF767" s="125"/>
      <c r="AG767" s="125"/>
      <c r="AH767" s="125"/>
      <c r="AI767" s="125"/>
      <c r="AJ767" s="125"/>
      <c r="AK767" s="125"/>
      <c r="AL767" s="125"/>
      <c r="AM767" s="125"/>
      <c r="AN767" s="125"/>
      <c r="AO767" s="125"/>
      <c r="AP767" s="125"/>
      <c r="AQ767" s="125"/>
      <c r="AR767" s="125"/>
      <c r="AS767" s="125"/>
      <c r="AT767" s="125"/>
      <c r="AU767" s="125"/>
      <c r="AV767" s="125"/>
      <c r="AW767" s="125"/>
      <c r="AX767" s="125"/>
      <c r="AY767" s="125"/>
      <c r="AZ767" s="125"/>
      <c r="BA767" s="125"/>
      <c r="BB767" s="125"/>
      <c r="BC767" s="125"/>
      <c r="BD767" s="125"/>
      <c r="BE767" s="125"/>
      <c r="BF767" s="125"/>
    </row>
    <row r="768" spans="1:58" ht="15.75" customHeight="1">
      <c r="A768" s="125"/>
      <c r="B768" s="125"/>
      <c r="C768" s="125"/>
      <c r="D768" s="125"/>
      <c r="E768" s="125"/>
      <c r="F768" s="125"/>
      <c r="G768" s="125"/>
      <c r="H768" s="125"/>
      <c r="I768" s="125"/>
      <c r="J768" s="125"/>
      <c r="K768" s="125"/>
      <c r="L768" s="125"/>
      <c r="M768" s="125"/>
      <c r="N768" s="125"/>
      <c r="O768" s="125"/>
      <c r="P768" s="125"/>
      <c r="Q768" s="125"/>
      <c r="R768" s="125"/>
      <c r="S768" s="125"/>
      <c r="T768" s="125"/>
      <c r="U768" s="125"/>
      <c r="V768" s="125"/>
      <c r="W768" s="125"/>
      <c r="X768" s="125"/>
      <c r="Y768" s="125"/>
      <c r="Z768" s="125"/>
      <c r="AA768" s="125"/>
      <c r="AB768" s="125"/>
      <c r="AC768" s="125"/>
      <c r="AD768" s="125"/>
      <c r="AE768" s="125"/>
      <c r="AF768" s="125"/>
      <c r="AG768" s="125"/>
      <c r="AH768" s="125"/>
      <c r="AI768" s="125"/>
      <c r="AJ768" s="125"/>
      <c r="AK768" s="125"/>
      <c r="AL768" s="125"/>
      <c r="AM768" s="125"/>
      <c r="AN768" s="125"/>
      <c r="AO768" s="125"/>
      <c r="AP768" s="125"/>
      <c r="AQ768" s="125"/>
      <c r="AR768" s="125"/>
      <c r="AS768" s="125"/>
      <c r="AT768" s="125"/>
      <c r="AU768" s="125"/>
      <c r="AV768" s="125"/>
      <c r="AW768" s="125"/>
      <c r="AX768" s="125"/>
      <c r="AY768" s="125"/>
      <c r="AZ768" s="125"/>
      <c r="BA768" s="125"/>
      <c r="BB768" s="125"/>
      <c r="BC768" s="125"/>
      <c r="BD768" s="125"/>
      <c r="BE768" s="125"/>
      <c r="BF768" s="125"/>
    </row>
    <row r="769" spans="1:58" ht="15.75" customHeight="1">
      <c r="A769" s="125"/>
      <c r="B769" s="125"/>
      <c r="C769" s="125"/>
      <c r="D769" s="125"/>
      <c r="E769" s="125"/>
      <c r="F769" s="125"/>
      <c r="G769" s="125"/>
      <c r="H769" s="125"/>
      <c r="I769" s="125"/>
      <c r="J769" s="125"/>
      <c r="K769" s="125"/>
      <c r="L769" s="125"/>
      <c r="M769" s="125"/>
      <c r="N769" s="125"/>
      <c r="O769" s="125"/>
      <c r="P769" s="125"/>
      <c r="Q769" s="125"/>
      <c r="R769" s="125"/>
      <c r="S769" s="125"/>
      <c r="T769" s="125"/>
      <c r="U769" s="125"/>
      <c r="V769" s="125"/>
      <c r="W769" s="125"/>
      <c r="X769" s="125"/>
      <c r="Y769" s="125"/>
      <c r="Z769" s="125"/>
      <c r="AA769" s="125"/>
      <c r="AB769" s="125"/>
      <c r="AC769" s="125"/>
      <c r="AD769" s="125"/>
      <c r="AE769" s="125"/>
      <c r="AF769" s="125"/>
      <c r="AG769" s="125"/>
      <c r="AH769" s="125"/>
      <c r="AI769" s="125"/>
      <c r="AJ769" s="125"/>
      <c r="AK769" s="125"/>
      <c r="AL769" s="125"/>
      <c r="AM769" s="125"/>
      <c r="AN769" s="125"/>
      <c r="AO769" s="125"/>
      <c r="AP769" s="125"/>
      <c r="AQ769" s="125"/>
      <c r="AR769" s="125"/>
      <c r="AS769" s="125"/>
      <c r="AT769" s="125"/>
      <c r="AU769" s="125"/>
      <c r="AV769" s="125"/>
      <c r="AW769" s="125"/>
      <c r="AX769" s="125"/>
      <c r="AY769" s="125"/>
      <c r="AZ769" s="125"/>
      <c r="BA769" s="125"/>
      <c r="BB769" s="125"/>
      <c r="BC769" s="125"/>
      <c r="BD769" s="125"/>
      <c r="BE769" s="125"/>
      <c r="BF769" s="125"/>
    </row>
    <row r="770" spans="1:58" ht="15.75" customHeight="1">
      <c r="A770" s="125"/>
      <c r="B770" s="125"/>
      <c r="C770" s="125"/>
      <c r="D770" s="125"/>
      <c r="E770" s="125"/>
      <c r="F770" s="125"/>
      <c r="G770" s="125"/>
      <c r="H770" s="125"/>
      <c r="I770" s="125"/>
      <c r="J770" s="125"/>
      <c r="K770" s="125"/>
      <c r="L770" s="125"/>
      <c r="M770" s="125"/>
      <c r="N770" s="125"/>
      <c r="O770" s="125"/>
      <c r="P770" s="125"/>
      <c r="Q770" s="125"/>
      <c r="R770" s="125"/>
      <c r="S770" s="125"/>
      <c r="T770" s="125"/>
      <c r="U770" s="125"/>
      <c r="V770" s="125"/>
      <c r="W770" s="125"/>
      <c r="X770" s="125"/>
      <c r="Y770" s="125"/>
      <c r="Z770" s="125"/>
      <c r="AA770" s="125"/>
      <c r="AB770" s="125"/>
      <c r="AC770" s="125"/>
      <c r="AD770" s="125"/>
      <c r="AE770" s="125"/>
      <c r="AF770" s="125"/>
      <c r="AG770" s="125"/>
      <c r="AH770" s="125"/>
      <c r="AI770" s="125"/>
      <c r="AJ770" s="125"/>
      <c r="AK770" s="125"/>
      <c r="AL770" s="125"/>
      <c r="AM770" s="125"/>
      <c r="AN770" s="125"/>
      <c r="AO770" s="125"/>
      <c r="AP770" s="125"/>
      <c r="AQ770" s="125"/>
      <c r="AR770" s="125"/>
      <c r="AS770" s="125"/>
      <c r="AT770" s="125"/>
      <c r="AU770" s="125"/>
      <c r="AV770" s="125"/>
      <c r="AW770" s="125"/>
      <c r="AX770" s="125"/>
      <c r="AY770" s="125"/>
      <c r="AZ770" s="125"/>
      <c r="BA770" s="125"/>
      <c r="BB770" s="125"/>
      <c r="BC770" s="125"/>
      <c r="BD770" s="125"/>
      <c r="BE770" s="125"/>
      <c r="BF770" s="125"/>
    </row>
    <row r="771" spans="1:58" ht="15.75" customHeight="1">
      <c r="A771" s="125"/>
      <c r="B771" s="125"/>
      <c r="C771" s="125"/>
      <c r="D771" s="125"/>
      <c r="E771" s="125"/>
      <c r="F771" s="125"/>
      <c r="G771" s="125"/>
      <c r="H771" s="125"/>
      <c r="I771" s="125"/>
      <c r="J771" s="125"/>
      <c r="K771" s="125"/>
      <c r="L771" s="125"/>
      <c r="M771" s="125"/>
      <c r="N771" s="125"/>
      <c r="O771" s="125"/>
      <c r="P771" s="125"/>
      <c r="Q771" s="125"/>
      <c r="R771" s="125"/>
      <c r="S771" s="125"/>
      <c r="T771" s="125"/>
      <c r="U771" s="125"/>
      <c r="V771" s="125"/>
      <c r="W771" s="125"/>
      <c r="X771" s="125"/>
      <c r="Y771" s="125"/>
      <c r="Z771" s="125"/>
      <c r="AA771" s="125"/>
      <c r="AB771" s="125"/>
      <c r="AC771" s="125"/>
      <c r="AD771" s="125"/>
      <c r="AE771" s="125"/>
      <c r="AF771" s="125"/>
      <c r="AG771" s="125"/>
      <c r="AH771" s="125"/>
      <c r="AI771" s="125"/>
      <c r="AJ771" s="125"/>
      <c r="AK771" s="125"/>
      <c r="AL771" s="125"/>
      <c r="AM771" s="125"/>
      <c r="AN771" s="125"/>
      <c r="AO771" s="125"/>
      <c r="AP771" s="125"/>
      <c r="AQ771" s="125"/>
      <c r="AR771" s="125"/>
      <c r="AS771" s="125"/>
      <c r="AT771" s="125"/>
      <c r="AU771" s="125"/>
      <c r="AV771" s="125"/>
      <c r="AW771" s="125"/>
      <c r="AX771" s="125"/>
      <c r="AY771" s="125"/>
      <c r="AZ771" s="125"/>
      <c r="BA771" s="125"/>
      <c r="BB771" s="125"/>
      <c r="BC771" s="125"/>
      <c r="BD771" s="125"/>
      <c r="BE771" s="125"/>
      <c r="BF771" s="125"/>
    </row>
    <row r="772" spans="1:58" ht="15.75" customHeight="1">
      <c r="A772" s="125"/>
      <c r="B772" s="125"/>
      <c r="C772" s="125"/>
      <c r="D772" s="125"/>
      <c r="E772" s="125"/>
      <c r="F772" s="125"/>
      <c r="G772" s="125"/>
      <c r="H772" s="125"/>
      <c r="I772" s="125"/>
      <c r="J772" s="125"/>
      <c r="K772" s="125"/>
      <c r="L772" s="125"/>
      <c r="M772" s="125"/>
      <c r="N772" s="125"/>
      <c r="O772" s="125"/>
      <c r="P772" s="125"/>
      <c r="Q772" s="125"/>
      <c r="R772" s="125"/>
      <c r="S772" s="125"/>
      <c r="T772" s="125"/>
      <c r="U772" s="125"/>
      <c r="V772" s="125"/>
      <c r="W772" s="125"/>
      <c r="X772" s="125"/>
      <c r="Y772" s="125"/>
      <c r="Z772" s="125"/>
      <c r="AA772" s="125"/>
      <c r="AB772" s="125"/>
      <c r="AC772" s="125"/>
      <c r="AD772" s="125"/>
      <c r="AE772" s="125"/>
      <c r="AF772" s="125"/>
      <c r="AG772" s="125"/>
      <c r="AH772" s="125"/>
      <c r="AI772" s="125"/>
      <c r="AJ772" s="125"/>
      <c r="AK772" s="125"/>
      <c r="AL772" s="125"/>
      <c r="AM772" s="125"/>
      <c r="AN772" s="125"/>
      <c r="AO772" s="125"/>
      <c r="AP772" s="125"/>
      <c r="AQ772" s="125"/>
      <c r="AR772" s="125"/>
      <c r="AS772" s="125"/>
      <c r="AT772" s="125"/>
      <c r="AU772" s="125"/>
      <c r="AV772" s="125"/>
      <c r="AW772" s="125"/>
      <c r="AX772" s="125"/>
      <c r="AY772" s="125"/>
      <c r="AZ772" s="125"/>
      <c r="BA772" s="125"/>
      <c r="BB772" s="125"/>
      <c r="BC772" s="125"/>
      <c r="BD772" s="125"/>
      <c r="BE772" s="125"/>
      <c r="BF772" s="125"/>
    </row>
    <row r="773" spans="1:58" ht="15.75" customHeight="1">
      <c r="A773" s="125"/>
      <c r="B773" s="125"/>
      <c r="C773" s="125"/>
      <c r="D773" s="125"/>
      <c r="E773" s="125"/>
      <c r="F773" s="125"/>
      <c r="G773" s="125"/>
      <c r="H773" s="125"/>
      <c r="I773" s="125"/>
      <c r="J773" s="125"/>
      <c r="K773" s="125"/>
      <c r="L773" s="125"/>
      <c r="M773" s="125"/>
      <c r="N773" s="125"/>
      <c r="O773" s="125"/>
      <c r="P773" s="125"/>
      <c r="Q773" s="125"/>
      <c r="R773" s="125"/>
      <c r="S773" s="125"/>
      <c r="T773" s="125"/>
      <c r="U773" s="125"/>
      <c r="V773" s="125"/>
      <c r="W773" s="125"/>
      <c r="X773" s="125"/>
      <c r="Y773" s="125"/>
      <c r="Z773" s="125"/>
      <c r="AA773" s="125"/>
      <c r="AB773" s="125"/>
      <c r="AC773" s="125"/>
      <c r="AD773" s="125"/>
      <c r="AE773" s="125"/>
      <c r="AF773" s="125"/>
      <c r="AG773" s="125"/>
      <c r="AH773" s="125"/>
      <c r="AI773" s="125"/>
      <c r="AJ773" s="125"/>
      <c r="AK773" s="125"/>
      <c r="AL773" s="125"/>
      <c r="AM773" s="125"/>
      <c r="AN773" s="125"/>
      <c r="AO773" s="125"/>
      <c r="AP773" s="125"/>
      <c r="AQ773" s="125"/>
      <c r="AR773" s="125"/>
      <c r="AS773" s="125"/>
      <c r="AT773" s="125"/>
      <c r="AU773" s="125"/>
      <c r="AV773" s="125"/>
      <c r="AW773" s="125"/>
      <c r="AX773" s="125"/>
      <c r="AY773" s="125"/>
      <c r="AZ773" s="125"/>
      <c r="BA773" s="125"/>
      <c r="BB773" s="125"/>
      <c r="BC773" s="125"/>
      <c r="BD773" s="125"/>
      <c r="BE773" s="125"/>
      <c r="BF773" s="125"/>
    </row>
    <row r="774" spans="1:58" ht="15.75" customHeight="1">
      <c r="A774" s="125"/>
      <c r="B774" s="125"/>
      <c r="C774" s="125"/>
      <c r="D774" s="125"/>
      <c r="E774" s="125"/>
      <c r="F774" s="125"/>
      <c r="G774" s="125"/>
      <c r="H774" s="125"/>
      <c r="I774" s="125"/>
      <c r="J774" s="125"/>
      <c r="K774" s="125"/>
      <c r="L774" s="125"/>
      <c r="M774" s="125"/>
      <c r="N774" s="125"/>
      <c r="O774" s="125"/>
      <c r="P774" s="125"/>
      <c r="Q774" s="125"/>
      <c r="R774" s="125"/>
      <c r="S774" s="125"/>
      <c r="T774" s="125"/>
      <c r="U774" s="125"/>
      <c r="V774" s="125"/>
      <c r="W774" s="125"/>
      <c r="X774" s="125"/>
      <c r="Y774" s="125"/>
      <c r="Z774" s="125"/>
      <c r="AA774" s="125"/>
      <c r="AB774" s="125"/>
      <c r="AC774" s="125"/>
      <c r="AD774" s="125"/>
      <c r="AE774" s="125"/>
      <c r="AF774" s="125"/>
      <c r="AG774" s="125"/>
      <c r="AH774" s="125"/>
      <c r="AI774" s="125"/>
      <c r="AJ774" s="125"/>
      <c r="AK774" s="125"/>
      <c r="AL774" s="125"/>
      <c r="AM774" s="125"/>
      <c r="AN774" s="125"/>
      <c r="AO774" s="125"/>
      <c r="AP774" s="125"/>
      <c r="AQ774" s="125"/>
      <c r="AR774" s="125"/>
      <c r="AS774" s="125"/>
      <c r="AT774" s="125"/>
      <c r="AU774" s="125"/>
      <c r="AV774" s="125"/>
      <c r="AW774" s="125"/>
      <c r="AX774" s="125"/>
      <c r="AY774" s="125"/>
      <c r="AZ774" s="125"/>
      <c r="BA774" s="125"/>
      <c r="BB774" s="125"/>
      <c r="BC774" s="125"/>
      <c r="BD774" s="125"/>
      <c r="BE774" s="125"/>
      <c r="BF774" s="125"/>
    </row>
    <row r="775" spans="1:58" ht="15.75" customHeight="1">
      <c r="A775" s="125"/>
      <c r="B775" s="125"/>
      <c r="C775" s="125"/>
      <c r="D775" s="125"/>
      <c r="E775" s="125"/>
      <c r="F775" s="125"/>
      <c r="G775" s="125"/>
      <c r="H775" s="125"/>
      <c r="I775" s="125"/>
      <c r="J775" s="125"/>
      <c r="K775" s="125"/>
      <c r="L775" s="125"/>
      <c r="M775" s="125"/>
      <c r="N775" s="125"/>
      <c r="O775" s="125"/>
      <c r="P775" s="125"/>
      <c r="Q775" s="125"/>
      <c r="R775" s="125"/>
      <c r="S775" s="125"/>
      <c r="T775" s="125"/>
      <c r="U775" s="125"/>
      <c r="V775" s="125"/>
      <c r="W775" s="125"/>
      <c r="X775" s="125"/>
      <c r="Y775" s="125"/>
      <c r="Z775" s="125"/>
      <c r="AA775" s="125"/>
      <c r="AB775" s="125"/>
      <c r="AC775" s="125"/>
      <c r="AD775" s="125"/>
      <c r="AE775" s="125"/>
      <c r="AF775" s="125"/>
      <c r="AG775" s="125"/>
      <c r="AH775" s="125"/>
      <c r="AI775" s="125"/>
      <c r="AJ775" s="125"/>
      <c r="AK775" s="125"/>
      <c r="AL775" s="125"/>
      <c r="AM775" s="125"/>
      <c r="AN775" s="125"/>
      <c r="AO775" s="125"/>
      <c r="AP775" s="125"/>
      <c r="AQ775" s="125"/>
      <c r="AR775" s="125"/>
      <c r="AS775" s="125"/>
      <c r="AT775" s="125"/>
      <c r="AU775" s="125"/>
      <c r="AV775" s="125"/>
      <c r="AW775" s="125"/>
      <c r="AX775" s="125"/>
      <c r="AY775" s="125"/>
      <c r="AZ775" s="125"/>
      <c r="BA775" s="125"/>
      <c r="BB775" s="125"/>
      <c r="BC775" s="125"/>
      <c r="BD775" s="125"/>
      <c r="BE775" s="125"/>
      <c r="BF775" s="125"/>
    </row>
    <row r="776" spans="1:58" ht="15.75" customHeight="1">
      <c r="A776" s="125"/>
      <c r="B776" s="125"/>
      <c r="C776" s="125"/>
      <c r="D776" s="125"/>
      <c r="E776" s="125"/>
      <c r="F776" s="125"/>
      <c r="G776" s="125"/>
      <c r="H776" s="125"/>
      <c r="I776" s="125"/>
      <c r="J776" s="125"/>
      <c r="K776" s="125"/>
      <c r="L776" s="125"/>
      <c r="M776" s="125"/>
      <c r="N776" s="125"/>
      <c r="O776" s="125"/>
      <c r="P776" s="125"/>
      <c r="Q776" s="125"/>
      <c r="R776" s="125"/>
      <c r="S776" s="125"/>
      <c r="T776" s="125"/>
      <c r="U776" s="125"/>
      <c r="V776" s="125"/>
      <c r="W776" s="125"/>
      <c r="X776" s="125"/>
      <c r="Y776" s="125"/>
      <c r="Z776" s="125"/>
      <c r="AA776" s="125"/>
      <c r="AB776" s="125"/>
      <c r="AC776" s="125"/>
      <c r="AD776" s="125"/>
      <c r="AE776" s="125"/>
      <c r="AF776" s="125"/>
      <c r="AG776" s="125"/>
      <c r="AH776" s="125"/>
      <c r="AI776" s="125"/>
      <c r="AJ776" s="125"/>
      <c r="AK776" s="125"/>
      <c r="AL776" s="125"/>
      <c r="AM776" s="125"/>
      <c r="AN776" s="125"/>
      <c r="AO776" s="125"/>
      <c r="AP776" s="125"/>
      <c r="AQ776" s="125"/>
      <c r="AR776" s="125"/>
      <c r="AS776" s="125"/>
      <c r="AT776" s="125"/>
      <c r="AU776" s="125"/>
      <c r="AV776" s="125"/>
      <c r="AW776" s="125"/>
      <c r="AX776" s="125"/>
      <c r="AY776" s="125"/>
      <c r="AZ776" s="125"/>
      <c r="BA776" s="125"/>
      <c r="BB776" s="125"/>
      <c r="BC776" s="125"/>
      <c r="BD776" s="125"/>
      <c r="BE776" s="125"/>
      <c r="BF776" s="125"/>
    </row>
    <row r="777" spans="1:58" ht="15.75" customHeight="1">
      <c r="A777" s="125"/>
      <c r="B777" s="125"/>
      <c r="C777" s="125"/>
      <c r="D777" s="125"/>
      <c r="E777" s="125"/>
      <c r="F777" s="125"/>
      <c r="G777" s="125"/>
      <c r="H777" s="125"/>
      <c r="I777" s="125"/>
      <c r="J777" s="125"/>
      <c r="K777" s="125"/>
      <c r="L777" s="125"/>
      <c r="M777" s="125"/>
      <c r="N777" s="125"/>
      <c r="O777" s="125"/>
      <c r="P777" s="125"/>
      <c r="Q777" s="125"/>
      <c r="R777" s="125"/>
      <c r="S777" s="125"/>
      <c r="T777" s="125"/>
      <c r="U777" s="125"/>
      <c r="V777" s="125"/>
      <c r="W777" s="125"/>
      <c r="X777" s="125"/>
      <c r="Y777" s="125"/>
      <c r="Z777" s="125"/>
      <c r="AA777" s="125"/>
      <c r="AB777" s="125"/>
      <c r="AC777" s="125"/>
      <c r="AD777" s="125"/>
      <c r="AE777" s="125"/>
      <c r="AF777" s="125"/>
      <c r="AG777" s="125"/>
      <c r="AH777" s="125"/>
      <c r="AI777" s="125"/>
      <c r="AJ777" s="125"/>
      <c r="AK777" s="125"/>
      <c r="AL777" s="125"/>
      <c r="AM777" s="125"/>
      <c r="AN777" s="125"/>
      <c r="AO777" s="125"/>
      <c r="AP777" s="125"/>
      <c r="AQ777" s="125"/>
      <c r="AR777" s="125"/>
      <c r="AS777" s="125"/>
      <c r="AT777" s="125"/>
      <c r="AU777" s="125"/>
      <c r="AV777" s="125"/>
      <c r="AW777" s="125"/>
      <c r="AX777" s="125"/>
      <c r="AY777" s="125"/>
      <c r="AZ777" s="125"/>
      <c r="BA777" s="125"/>
      <c r="BB777" s="125"/>
      <c r="BC777" s="125"/>
      <c r="BD777" s="125"/>
      <c r="BE777" s="125"/>
      <c r="BF777" s="125"/>
    </row>
    <row r="778" spans="1:58" ht="15.75" customHeight="1">
      <c r="A778" s="125"/>
      <c r="B778" s="125"/>
      <c r="C778" s="125"/>
      <c r="D778" s="125"/>
      <c r="E778" s="125"/>
      <c r="F778" s="125"/>
      <c r="G778" s="125"/>
      <c r="H778" s="125"/>
      <c r="I778" s="125"/>
      <c r="J778" s="125"/>
      <c r="K778" s="125"/>
      <c r="L778" s="125"/>
      <c r="M778" s="125"/>
      <c r="N778" s="125"/>
      <c r="O778" s="125"/>
      <c r="P778" s="125"/>
      <c r="Q778" s="125"/>
      <c r="R778" s="125"/>
      <c r="S778" s="125"/>
      <c r="T778" s="125"/>
      <c r="U778" s="125"/>
      <c r="V778" s="125"/>
      <c r="W778" s="125"/>
      <c r="X778" s="125"/>
      <c r="Y778" s="125"/>
      <c r="Z778" s="125"/>
      <c r="AA778" s="125"/>
      <c r="AB778" s="125"/>
      <c r="AC778" s="125"/>
      <c r="AD778" s="125"/>
      <c r="AE778" s="125"/>
      <c r="AF778" s="125"/>
      <c r="AG778" s="125"/>
      <c r="AH778" s="125"/>
      <c r="AI778" s="125"/>
      <c r="AJ778" s="125"/>
      <c r="AK778" s="125"/>
      <c r="AL778" s="125"/>
      <c r="AM778" s="125"/>
      <c r="AN778" s="125"/>
      <c r="AO778" s="125"/>
      <c r="AP778" s="125"/>
      <c r="AQ778" s="125"/>
      <c r="AR778" s="125"/>
      <c r="AS778" s="125"/>
      <c r="AT778" s="125"/>
      <c r="AU778" s="125"/>
      <c r="AV778" s="125"/>
      <c r="AW778" s="125"/>
      <c r="AX778" s="125"/>
      <c r="AY778" s="125"/>
      <c r="AZ778" s="125"/>
      <c r="BA778" s="125"/>
      <c r="BB778" s="125"/>
      <c r="BC778" s="125"/>
      <c r="BD778" s="125"/>
      <c r="BE778" s="125"/>
      <c r="BF778" s="125"/>
    </row>
    <row r="779" spans="1:58" ht="15.75" customHeight="1">
      <c r="A779" s="125"/>
      <c r="B779" s="125"/>
      <c r="C779" s="125"/>
      <c r="D779" s="125"/>
      <c r="E779" s="125"/>
      <c r="F779" s="125"/>
      <c r="G779" s="125"/>
      <c r="H779" s="125"/>
      <c r="I779" s="125"/>
      <c r="J779" s="125"/>
      <c r="K779" s="125"/>
      <c r="L779" s="125"/>
      <c r="M779" s="125"/>
      <c r="N779" s="125"/>
      <c r="O779" s="125"/>
      <c r="P779" s="125"/>
      <c r="Q779" s="125"/>
      <c r="R779" s="125"/>
      <c r="S779" s="125"/>
      <c r="T779" s="125"/>
      <c r="U779" s="125"/>
      <c r="V779" s="125"/>
      <c r="W779" s="125"/>
      <c r="X779" s="125"/>
      <c r="Y779" s="125"/>
      <c r="Z779" s="125"/>
      <c r="AA779" s="125"/>
      <c r="AB779" s="125"/>
      <c r="AC779" s="125"/>
      <c r="AD779" s="125"/>
      <c r="AE779" s="125"/>
      <c r="AF779" s="125"/>
      <c r="AG779" s="125"/>
      <c r="AH779" s="125"/>
      <c r="AI779" s="125"/>
      <c r="AJ779" s="125"/>
      <c r="AK779" s="125"/>
      <c r="AL779" s="125"/>
      <c r="AM779" s="125"/>
      <c r="AN779" s="125"/>
      <c r="AO779" s="125"/>
      <c r="AP779" s="125"/>
      <c r="AQ779" s="125"/>
      <c r="AR779" s="125"/>
      <c r="AS779" s="125"/>
      <c r="AT779" s="125"/>
      <c r="AU779" s="125"/>
      <c r="AV779" s="125"/>
      <c r="AW779" s="125"/>
      <c r="AX779" s="125"/>
      <c r="AY779" s="125"/>
      <c r="AZ779" s="125"/>
      <c r="BA779" s="125"/>
      <c r="BB779" s="125"/>
      <c r="BC779" s="125"/>
      <c r="BD779" s="125"/>
      <c r="BE779" s="125"/>
      <c r="BF779" s="125"/>
    </row>
    <row r="780" spans="1:58" ht="15.75" customHeight="1">
      <c r="A780" s="125"/>
      <c r="B780" s="125"/>
      <c r="C780" s="125"/>
      <c r="D780" s="125"/>
      <c r="E780" s="125"/>
      <c r="F780" s="125"/>
      <c r="G780" s="125"/>
      <c r="H780" s="125"/>
      <c r="I780" s="125"/>
      <c r="J780" s="125"/>
      <c r="K780" s="125"/>
      <c r="L780" s="125"/>
      <c r="M780" s="125"/>
      <c r="N780" s="125"/>
      <c r="O780" s="125"/>
      <c r="P780" s="125"/>
      <c r="Q780" s="125"/>
      <c r="R780" s="125"/>
      <c r="S780" s="125"/>
      <c r="T780" s="125"/>
      <c r="U780" s="125"/>
      <c r="V780" s="125"/>
      <c r="W780" s="125"/>
      <c r="X780" s="125"/>
      <c r="Y780" s="125"/>
      <c r="Z780" s="125"/>
      <c r="AA780" s="125"/>
      <c r="AB780" s="125"/>
      <c r="AC780" s="125"/>
      <c r="AD780" s="125"/>
      <c r="AE780" s="125"/>
      <c r="AF780" s="125"/>
      <c r="AG780" s="125"/>
      <c r="AH780" s="125"/>
      <c r="AI780" s="125"/>
      <c r="AJ780" s="125"/>
      <c r="AK780" s="125"/>
      <c r="AL780" s="125"/>
      <c r="AM780" s="125"/>
      <c r="AN780" s="125"/>
      <c r="AO780" s="125"/>
      <c r="AP780" s="125"/>
      <c r="AQ780" s="125"/>
      <c r="AR780" s="125"/>
      <c r="AS780" s="125"/>
      <c r="AT780" s="125"/>
      <c r="AU780" s="125"/>
      <c r="AV780" s="125"/>
      <c r="AW780" s="125"/>
      <c r="AX780" s="125"/>
      <c r="AY780" s="125"/>
      <c r="AZ780" s="125"/>
      <c r="BA780" s="125"/>
      <c r="BB780" s="125"/>
      <c r="BC780" s="125"/>
      <c r="BD780" s="125"/>
      <c r="BE780" s="125"/>
      <c r="BF780" s="125"/>
    </row>
    <row r="781" spans="1:58" ht="15.75" customHeight="1">
      <c r="A781" s="125"/>
      <c r="B781" s="125"/>
      <c r="C781" s="125"/>
      <c r="D781" s="125"/>
      <c r="E781" s="125"/>
      <c r="F781" s="125"/>
      <c r="G781" s="125"/>
      <c r="H781" s="125"/>
      <c r="I781" s="125"/>
      <c r="J781" s="125"/>
      <c r="K781" s="125"/>
      <c r="L781" s="125"/>
      <c r="M781" s="125"/>
      <c r="N781" s="125"/>
      <c r="O781" s="125"/>
      <c r="P781" s="125"/>
      <c r="Q781" s="125"/>
      <c r="R781" s="125"/>
      <c r="S781" s="125"/>
      <c r="T781" s="125"/>
      <c r="U781" s="125"/>
      <c r="V781" s="125"/>
      <c r="W781" s="125"/>
      <c r="X781" s="125"/>
      <c r="Y781" s="125"/>
      <c r="Z781" s="125"/>
      <c r="AA781" s="125"/>
      <c r="AB781" s="125"/>
      <c r="AC781" s="125"/>
      <c r="AD781" s="125"/>
      <c r="AE781" s="125"/>
      <c r="AF781" s="125"/>
      <c r="AG781" s="125"/>
      <c r="AH781" s="125"/>
      <c r="AI781" s="125"/>
      <c r="AJ781" s="125"/>
      <c r="AK781" s="125"/>
      <c r="AL781" s="125"/>
      <c r="AM781" s="125"/>
      <c r="AN781" s="125"/>
      <c r="AO781" s="125"/>
      <c r="AP781" s="125"/>
      <c r="AQ781" s="125"/>
      <c r="AR781" s="125"/>
      <c r="AS781" s="125"/>
      <c r="AT781" s="125"/>
      <c r="AU781" s="125"/>
      <c r="AV781" s="125"/>
      <c r="AW781" s="125"/>
      <c r="AX781" s="125"/>
      <c r="AY781" s="125"/>
      <c r="AZ781" s="125"/>
      <c r="BA781" s="125"/>
      <c r="BB781" s="125"/>
      <c r="BC781" s="125"/>
      <c r="BD781" s="125"/>
      <c r="BE781" s="125"/>
      <c r="BF781" s="125"/>
    </row>
    <row r="782" spans="1:58" ht="15.75" customHeight="1">
      <c r="A782" s="125"/>
      <c r="B782" s="125"/>
      <c r="C782" s="125"/>
      <c r="D782" s="125"/>
      <c r="E782" s="125"/>
      <c r="F782" s="125"/>
      <c r="G782" s="125"/>
      <c r="H782" s="125"/>
      <c r="I782" s="125"/>
      <c r="J782" s="125"/>
      <c r="K782" s="125"/>
      <c r="L782" s="125"/>
      <c r="M782" s="125"/>
      <c r="N782" s="125"/>
      <c r="O782" s="125"/>
      <c r="P782" s="125"/>
      <c r="Q782" s="125"/>
      <c r="R782" s="125"/>
      <c r="S782" s="125"/>
      <c r="T782" s="125"/>
      <c r="U782" s="125"/>
      <c r="V782" s="125"/>
      <c r="W782" s="125"/>
      <c r="X782" s="125"/>
      <c r="Y782" s="125"/>
      <c r="Z782" s="125"/>
      <c r="AA782" s="125"/>
      <c r="AB782" s="125"/>
      <c r="AC782" s="125"/>
      <c r="AD782" s="125"/>
      <c r="AE782" s="125"/>
      <c r="AF782" s="125"/>
      <c r="AG782" s="125"/>
      <c r="AH782" s="125"/>
      <c r="AI782" s="125"/>
      <c r="AJ782" s="125"/>
      <c r="AK782" s="125"/>
      <c r="AL782" s="125"/>
      <c r="AM782" s="125"/>
      <c r="AN782" s="125"/>
      <c r="AO782" s="125"/>
      <c r="AP782" s="125"/>
      <c r="AQ782" s="125"/>
      <c r="AR782" s="125"/>
      <c r="AS782" s="125"/>
      <c r="AT782" s="125"/>
      <c r="AU782" s="125"/>
      <c r="AV782" s="125"/>
      <c r="AW782" s="125"/>
      <c r="AX782" s="125"/>
      <c r="AY782" s="125"/>
      <c r="AZ782" s="125"/>
      <c r="BA782" s="125"/>
      <c r="BB782" s="125"/>
      <c r="BC782" s="125"/>
      <c r="BD782" s="125"/>
      <c r="BE782" s="125"/>
      <c r="BF782" s="125"/>
    </row>
    <row r="783" spans="1:58" ht="15.75" customHeight="1">
      <c r="A783" s="125"/>
      <c r="B783" s="125"/>
      <c r="C783" s="125"/>
      <c r="D783" s="125"/>
      <c r="E783" s="125"/>
      <c r="F783" s="125"/>
      <c r="G783" s="125"/>
      <c r="H783" s="125"/>
      <c r="I783" s="125"/>
      <c r="J783" s="125"/>
      <c r="K783" s="125"/>
      <c r="L783" s="125"/>
      <c r="M783" s="125"/>
      <c r="N783" s="125"/>
      <c r="O783" s="125"/>
      <c r="P783" s="125"/>
      <c r="Q783" s="125"/>
      <c r="R783" s="125"/>
      <c r="S783" s="125"/>
      <c r="T783" s="125"/>
      <c r="U783" s="125"/>
      <c r="V783" s="125"/>
      <c r="W783" s="125"/>
      <c r="X783" s="125"/>
      <c r="Y783" s="125"/>
      <c r="Z783" s="125"/>
      <c r="AA783" s="125"/>
      <c r="AB783" s="125"/>
      <c r="AC783" s="125"/>
      <c r="AD783" s="125"/>
      <c r="AE783" s="125"/>
      <c r="AF783" s="125"/>
      <c r="AG783" s="125"/>
      <c r="AH783" s="125"/>
      <c r="AI783" s="125"/>
      <c r="AJ783" s="125"/>
      <c r="AK783" s="125"/>
      <c r="AL783" s="125"/>
      <c r="AM783" s="125"/>
      <c r="AN783" s="125"/>
      <c r="AO783" s="125"/>
      <c r="AP783" s="125"/>
      <c r="AQ783" s="125"/>
      <c r="AR783" s="125"/>
      <c r="AS783" s="125"/>
      <c r="AT783" s="125"/>
      <c r="AU783" s="125"/>
      <c r="AV783" s="125"/>
      <c r="AW783" s="125"/>
      <c r="AX783" s="125"/>
      <c r="AY783" s="125"/>
      <c r="AZ783" s="125"/>
      <c r="BA783" s="125"/>
      <c r="BB783" s="125"/>
      <c r="BC783" s="125"/>
      <c r="BD783" s="125"/>
      <c r="BE783" s="125"/>
      <c r="BF783" s="125"/>
    </row>
    <row r="784" spans="1:58" ht="15.75" customHeight="1">
      <c r="A784" s="125"/>
      <c r="B784" s="125"/>
      <c r="C784" s="125"/>
      <c r="D784" s="125"/>
      <c r="E784" s="125"/>
      <c r="F784" s="125"/>
      <c r="G784" s="125"/>
      <c r="H784" s="125"/>
      <c r="I784" s="125"/>
      <c r="J784" s="125"/>
      <c r="K784" s="125"/>
      <c r="L784" s="125"/>
      <c r="M784" s="125"/>
      <c r="N784" s="125"/>
      <c r="O784" s="125"/>
      <c r="P784" s="125"/>
      <c r="Q784" s="125"/>
      <c r="R784" s="125"/>
      <c r="S784" s="125"/>
      <c r="T784" s="125"/>
      <c r="U784" s="125"/>
      <c r="V784" s="125"/>
      <c r="W784" s="125"/>
      <c r="X784" s="125"/>
      <c r="Y784" s="125"/>
      <c r="Z784" s="125"/>
      <c r="AA784" s="125"/>
      <c r="AB784" s="125"/>
      <c r="AC784" s="125"/>
      <c r="AD784" s="125"/>
      <c r="AE784" s="125"/>
      <c r="AF784" s="125"/>
      <c r="AG784" s="125"/>
      <c r="AH784" s="125"/>
      <c r="AI784" s="125"/>
      <c r="AJ784" s="125"/>
      <c r="AK784" s="125"/>
      <c r="AL784" s="125"/>
      <c r="AM784" s="125"/>
      <c r="AN784" s="125"/>
      <c r="AO784" s="125"/>
      <c r="AP784" s="125"/>
      <c r="AQ784" s="125"/>
      <c r="AR784" s="125"/>
      <c r="AS784" s="125"/>
      <c r="AT784" s="125"/>
      <c r="AU784" s="125"/>
      <c r="AV784" s="125"/>
      <c r="AW784" s="125"/>
      <c r="AX784" s="125"/>
      <c r="AY784" s="125"/>
      <c r="AZ784" s="125"/>
      <c r="BA784" s="125"/>
      <c r="BB784" s="125"/>
      <c r="BC784" s="125"/>
      <c r="BD784" s="125"/>
      <c r="BE784" s="125"/>
      <c r="BF784" s="125"/>
    </row>
    <row r="785" spans="1:58" ht="15.75" customHeight="1">
      <c r="A785" s="125"/>
      <c r="B785" s="125"/>
      <c r="C785" s="125"/>
      <c r="D785" s="125"/>
      <c r="E785" s="125"/>
      <c r="F785" s="125"/>
      <c r="G785" s="125"/>
      <c r="H785" s="125"/>
      <c r="I785" s="125"/>
      <c r="J785" s="125"/>
      <c r="K785" s="125"/>
      <c r="L785" s="125"/>
      <c r="M785" s="125"/>
      <c r="N785" s="125"/>
      <c r="O785" s="125"/>
      <c r="P785" s="125"/>
      <c r="Q785" s="125"/>
      <c r="R785" s="125"/>
      <c r="S785" s="125"/>
      <c r="T785" s="125"/>
      <c r="U785" s="125"/>
      <c r="V785" s="125"/>
      <c r="W785" s="125"/>
      <c r="X785" s="125"/>
      <c r="Y785" s="125"/>
      <c r="Z785" s="125"/>
      <c r="AA785" s="125"/>
      <c r="AB785" s="125"/>
      <c r="AC785" s="125"/>
      <c r="AD785" s="125"/>
      <c r="AE785" s="125"/>
      <c r="AF785" s="125"/>
      <c r="AG785" s="125"/>
      <c r="AH785" s="125"/>
      <c r="AI785" s="125"/>
      <c r="AJ785" s="125"/>
      <c r="AK785" s="125"/>
      <c r="AL785" s="125"/>
      <c r="AM785" s="125"/>
      <c r="AN785" s="125"/>
      <c r="AO785" s="125"/>
      <c r="AP785" s="125"/>
      <c r="AQ785" s="125"/>
      <c r="AR785" s="125"/>
      <c r="AS785" s="125"/>
      <c r="AT785" s="125"/>
      <c r="AU785" s="125"/>
      <c r="AV785" s="125"/>
      <c r="AW785" s="125"/>
      <c r="AX785" s="125"/>
      <c r="AY785" s="125"/>
      <c r="AZ785" s="125"/>
      <c r="BA785" s="125"/>
      <c r="BB785" s="125"/>
      <c r="BC785" s="125"/>
      <c r="BD785" s="125"/>
      <c r="BE785" s="125"/>
      <c r="BF785" s="125"/>
    </row>
    <row r="786" spans="1:58" ht="15.75" customHeight="1">
      <c r="A786" s="125"/>
      <c r="B786" s="125"/>
      <c r="C786" s="125"/>
      <c r="D786" s="125"/>
      <c r="E786" s="125"/>
      <c r="F786" s="125"/>
      <c r="G786" s="125"/>
      <c r="H786" s="125"/>
      <c r="I786" s="125"/>
      <c r="J786" s="125"/>
      <c r="K786" s="125"/>
      <c r="L786" s="125"/>
      <c r="M786" s="125"/>
      <c r="N786" s="125"/>
      <c r="O786" s="125"/>
      <c r="P786" s="125"/>
      <c r="Q786" s="125"/>
      <c r="R786" s="125"/>
      <c r="S786" s="125"/>
      <c r="T786" s="125"/>
      <c r="U786" s="125"/>
      <c r="V786" s="125"/>
      <c r="W786" s="125"/>
      <c r="X786" s="125"/>
      <c r="Y786" s="125"/>
      <c r="Z786" s="125"/>
      <c r="AA786" s="125"/>
      <c r="AB786" s="125"/>
      <c r="AC786" s="125"/>
      <c r="AD786" s="125"/>
      <c r="AE786" s="125"/>
      <c r="AF786" s="125"/>
      <c r="AG786" s="125"/>
      <c r="AH786" s="125"/>
      <c r="AI786" s="125"/>
      <c r="AJ786" s="125"/>
      <c r="AK786" s="125"/>
      <c r="AL786" s="125"/>
      <c r="AM786" s="125"/>
      <c r="AN786" s="125"/>
      <c r="AO786" s="125"/>
      <c r="AP786" s="125"/>
      <c r="AQ786" s="125"/>
      <c r="AR786" s="125"/>
      <c r="AS786" s="125"/>
      <c r="AT786" s="125"/>
      <c r="AU786" s="125"/>
      <c r="AV786" s="125"/>
      <c r="AW786" s="125"/>
      <c r="AX786" s="125"/>
      <c r="AY786" s="125"/>
      <c r="AZ786" s="125"/>
      <c r="BA786" s="125"/>
      <c r="BB786" s="125"/>
      <c r="BC786" s="125"/>
      <c r="BD786" s="125"/>
      <c r="BE786" s="125"/>
      <c r="BF786" s="125"/>
    </row>
    <row r="787" spans="1:58" ht="15.75" customHeight="1">
      <c r="A787" s="125"/>
      <c r="B787" s="125"/>
      <c r="C787" s="125"/>
      <c r="D787" s="125"/>
      <c r="E787" s="125"/>
      <c r="F787" s="125"/>
      <c r="G787" s="125"/>
      <c r="H787" s="125"/>
      <c r="I787" s="125"/>
      <c r="J787" s="125"/>
      <c r="K787" s="125"/>
      <c r="L787" s="125"/>
      <c r="M787" s="125"/>
      <c r="N787" s="125"/>
      <c r="O787" s="125"/>
      <c r="P787" s="125"/>
      <c r="Q787" s="125"/>
      <c r="R787" s="125"/>
      <c r="S787" s="125"/>
      <c r="T787" s="125"/>
      <c r="U787" s="125"/>
      <c r="V787" s="125"/>
      <c r="W787" s="125"/>
      <c r="X787" s="125"/>
      <c r="Y787" s="125"/>
      <c r="Z787" s="125"/>
      <c r="AA787" s="125"/>
      <c r="AB787" s="125"/>
      <c r="AC787" s="125"/>
      <c r="AD787" s="125"/>
      <c r="AE787" s="125"/>
      <c r="AF787" s="125"/>
      <c r="AG787" s="125"/>
      <c r="AH787" s="125"/>
      <c r="AI787" s="125"/>
      <c r="AJ787" s="125"/>
      <c r="AK787" s="125"/>
      <c r="AL787" s="125"/>
      <c r="AM787" s="125"/>
      <c r="AN787" s="125"/>
      <c r="AO787" s="125"/>
      <c r="AP787" s="125"/>
      <c r="AQ787" s="125"/>
      <c r="AR787" s="125"/>
      <c r="AS787" s="125"/>
      <c r="AT787" s="125"/>
      <c r="AU787" s="125"/>
      <c r="AV787" s="125"/>
      <c r="AW787" s="125"/>
      <c r="AX787" s="125"/>
      <c r="AY787" s="125"/>
      <c r="AZ787" s="125"/>
      <c r="BA787" s="125"/>
      <c r="BB787" s="125"/>
      <c r="BC787" s="125"/>
      <c r="BD787" s="125"/>
      <c r="BE787" s="125"/>
      <c r="BF787" s="125"/>
    </row>
    <row r="788" spans="1:58" ht="15.75" customHeight="1">
      <c r="A788" s="125"/>
      <c r="B788" s="125"/>
      <c r="C788" s="125"/>
      <c r="D788" s="125"/>
      <c r="E788" s="125"/>
      <c r="F788" s="125"/>
      <c r="G788" s="125"/>
      <c r="H788" s="125"/>
      <c r="I788" s="125"/>
      <c r="J788" s="125"/>
      <c r="K788" s="125"/>
      <c r="L788" s="125"/>
      <c r="M788" s="125"/>
      <c r="N788" s="125"/>
      <c r="O788" s="125"/>
      <c r="P788" s="125"/>
      <c r="Q788" s="125"/>
      <c r="R788" s="125"/>
      <c r="S788" s="125"/>
      <c r="T788" s="125"/>
      <c r="U788" s="125"/>
      <c r="V788" s="125"/>
      <c r="W788" s="125"/>
      <c r="X788" s="125"/>
      <c r="Y788" s="125"/>
      <c r="Z788" s="125"/>
      <c r="AA788" s="125"/>
      <c r="AB788" s="125"/>
      <c r="AC788" s="125"/>
      <c r="AD788" s="125"/>
      <c r="AE788" s="125"/>
      <c r="AF788" s="125"/>
      <c r="AG788" s="125"/>
      <c r="AH788" s="125"/>
      <c r="AI788" s="125"/>
      <c r="AJ788" s="125"/>
      <c r="AK788" s="125"/>
      <c r="AL788" s="125"/>
      <c r="AM788" s="125"/>
      <c r="AN788" s="125"/>
      <c r="AO788" s="125"/>
      <c r="AP788" s="125"/>
      <c r="AQ788" s="125"/>
      <c r="AR788" s="125"/>
      <c r="AS788" s="125"/>
      <c r="AT788" s="125"/>
      <c r="AU788" s="125"/>
      <c r="AV788" s="125"/>
      <c r="AW788" s="125"/>
      <c r="AX788" s="125"/>
      <c r="AY788" s="125"/>
      <c r="AZ788" s="125"/>
      <c r="BA788" s="125"/>
      <c r="BB788" s="125"/>
      <c r="BC788" s="125"/>
      <c r="BD788" s="125"/>
      <c r="BE788" s="125"/>
      <c r="BF788" s="125"/>
    </row>
    <row r="789" spans="1:58" ht="15.75" customHeight="1">
      <c r="A789" s="125"/>
      <c r="B789" s="125"/>
      <c r="C789" s="125"/>
      <c r="D789" s="125"/>
      <c r="E789" s="125"/>
      <c r="F789" s="125"/>
      <c r="G789" s="125"/>
      <c r="H789" s="125"/>
      <c r="I789" s="125"/>
      <c r="J789" s="125"/>
      <c r="K789" s="125"/>
      <c r="L789" s="125"/>
      <c r="M789" s="125"/>
      <c r="N789" s="125"/>
      <c r="O789" s="125"/>
      <c r="P789" s="125"/>
      <c r="Q789" s="125"/>
      <c r="R789" s="125"/>
      <c r="S789" s="125"/>
      <c r="T789" s="125"/>
      <c r="U789" s="125"/>
      <c r="V789" s="125"/>
      <c r="W789" s="125"/>
      <c r="X789" s="125"/>
      <c r="Y789" s="125"/>
      <c r="Z789" s="125"/>
      <c r="AA789" s="125"/>
      <c r="AB789" s="125"/>
      <c r="AC789" s="125"/>
      <c r="AD789" s="125"/>
      <c r="AE789" s="125"/>
      <c r="AF789" s="125"/>
      <c r="AG789" s="125"/>
      <c r="AH789" s="125"/>
      <c r="AI789" s="125"/>
      <c r="AJ789" s="125"/>
      <c r="AK789" s="125"/>
      <c r="AL789" s="125"/>
      <c r="AM789" s="125"/>
      <c r="AN789" s="125"/>
      <c r="AO789" s="125"/>
      <c r="AP789" s="125"/>
      <c r="AQ789" s="125"/>
      <c r="AR789" s="125"/>
      <c r="AS789" s="125"/>
      <c r="AT789" s="125"/>
      <c r="AU789" s="125"/>
      <c r="AV789" s="125"/>
      <c r="AW789" s="125"/>
      <c r="AX789" s="125"/>
      <c r="AY789" s="125"/>
      <c r="AZ789" s="125"/>
      <c r="BA789" s="125"/>
      <c r="BB789" s="125"/>
      <c r="BC789" s="125"/>
      <c r="BD789" s="125"/>
      <c r="BE789" s="125"/>
      <c r="BF789" s="125"/>
    </row>
    <row r="790" spans="1:58" ht="15.75" customHeight="1">
      <c r="A790" s="125"/>
      <c r="B790" s="125"/>
      <c r="C790" s="125"/>
      <c r="D790" s="125"/>
      <c r="E790" s="125"/>
      <c r="F790" s="125"/>
      <c r="G790" s="125"/>
      <c r="H790" s="125"/>
      <c r="I790" s="125"/>
      <c r="J790" s="125"/>
      <c r="K790" s="125"/>
      <c r="L790" s="125"/>
      <c r="M790" s="125"/>
      <c r="N790" s="125"/>
      <c r="O790" s="125"/>
      <c r="P790" s="125"/>
      <c r="Q790" s="125"/>
      <c r="R790" s="125"/>
      <c r="S790" s="125"/>
      <c r="T790" s="125"/>
      <c r="U790" s="125"/>
      <c r="V790" s="125"/>
      <c r="W790" s="125"/>
      <c r="X790" s="125"/>
      <c r="Y790" s="125"/>
      <c r="Z790" s="125"/>
      <c r="AA790" s="125"/>
      <c r="AB790" s="125"/>
      <c r="AC790" s="125"/>
      <c r="AD790" s="125"/>
      <c r="AE790" s="125"/>
      <c r="AF790" s="125"/>
      <c r="AG790" s="125"/>
      <c r="AH790" s="125"/>
      <c r="AI790" s="125"/>
      <c r="AJ790" s="125"/>
      <c r="AK790" s="125"/>
      <c r="AL790" s="125"/>
      <c r="AM790" s="125"/>
      <c r="AN790" s="125"/>
      <c r="AO790" s="125"/>
      <c r="AP790" s="125"/>
      <c r="AQ790" s="125"/>
      <c r="AR790" s="125"/>
      <c r="AS790" s="125"/>
      <c r="AT790" s="125"/>
      <c r="AU790" s="125"/>
      <c r="AV790" s="125"/>
      <c r="AW790" s="125"/>
      <c r="AX790" s="125"/>
      <c r="AY790" s="125"/>
      <c r="AZ790" s="125"/>
      <c r="BA790" s="125"/>
      <c r="BB790" s="125"/>
      <c r="BC790" s="125"/>
      <c r="BD790" s="125"/>
      <c r="BE790" s="125"/>
      <c r="BF790" s="125"/>
    </row>
    <row r="791" spans="1:58" ht="15.75" customHeight="1">
      <c r="A791" s="125"/>
      <c r="B791" s="125"/>
      <c r="C791" s="125"/>
      <c r="D791" s="125"/>
      <c r="E791" s="125"/>
      <c r="F791" s="125"/>
      <c r="G791" s="125"/>
      <c r="H791" s="125"/>
      <c r="I791" s="125"/>
      <c r="J791" s="125"/>
      <c r="K791" s="125"/>
      <c r="L791" s="125"/>
      <c r="M791" s="125"/>
      <c r="N791" s="125"/>
      <c r="O791" s="125"/>
      <c r="P791" s="125"/>
      <c r="Q791" s="125"/>
      <c r="R791" s="125"/>
      <c r="S791" s="125"/>
      <c r="T791" s="125"/>
      <c r="U791" s="125"/>
      <c r="V791" s="125"/>
      <c r="W791" s="125"/>
      <c r="X791" s="125"/>
      <c r="Y791" s="125"/>
      <c r="Z791" s="125"/>
      <c r="AA791" s="125"/>
      <c r="AB791" s="125"/>
      <c r="AC791" s="125"/>
      <c r="AD791" s="125"/>
      <c r="AE791" s="125"/>
      <c r="AF791" s="125"/>
      <c r="AG791" s="125"/>
      <c r="AH791" s="125"/>
      <c r="AI791" s="125"/>
      <c r="AJ791" s="125"/>
      <c r="AK791" s="125"/>
      <c r="AL791" s="125"/>
      <c r="AM791" s="125"/>
      <c r="AN791" s="125"/>
      <c r="AO791" s="125"/>
      <c r="AP791" s="125"/>
      <c r="AQ791" s="125"/>
      <c r="AR791" s="125"/>
      <c r="AS791" s="125"/>
      <c r="AT791" s="125"/>
      <c r="AU791" s="125"/>
      <c r="AV791" s="125"/>
      <c r="AW791" s="125"/>
      <c r="AX791" s="125"/>
      <c r="AY791" s="125"/>
      <c r="AZ791" s="125"/>
      <c r="BA791" s="125"/>
      <c r="BB791" s="125"/>
      <c r="BC791" s="125"/>
      <c r="BD791" s="125"/>
      <c r="BE791" s="125"/>
      <c r="BF791" s="125"/>
    </row>
    <row r="792" spans="1:58" ht="15.75" customHeight="1">
      <c r="A792" s="125"/>
      <c r="B792" s="125"/>
      <c r="C792" s="125"/>
      <c r="D792" s="125"/>
      <c r="E792" s="125"/>
      <c r="F792" s="125"/>
      <c r="G792" s="125"/>
      <c r="H792" s="125"/>
      <c r="I792" s="125"/>
      <c r="J792" s="125"/>
      <c r="K792" s="125"/>
      <c r="L792" s="125"/>
      <c r="M792" s="125"/>
      <c r="N792" s="125"/>
      <c r="O792" s="125"/>
      <c r="P792" s="125"/>
      <c r="Q792" s="125"/>
      <c r="R792" s="125"/>
      <c r="S792" s="125"/>
      <c r="T792" s="125"/>
      <c r="U792" s="125"/>
      <c r="V792" s="125"/>
      <c r="W792" s="125"/>
      <c r="X792" s="125"/>
      <c r="Y792" s="125"/>
      <c r="Z792" s="125"/>
      <c r="AA792" s="125"/>
      <c r="AB792" s="125"/>
      <c r="AC792" s="125"/>
      <c r="AD792" s="125"/>
      <c r="AE792" s="125"/>
      <c r="AF792" s="125"/>
      <c r="AG792" s="125"/>
      <c r="AH792" s="125"/>
      <c r="AI792" s="125"/>
      <c r="AJ792" s="125"/>
      <c r="AK792" s="125"/>
      <c r="AL792" s="125"/>
      <c r="AM792" s="125"/>
      <c r="AN792" s="125"/>
      <c r="AO792" s="125"/>
      <c r="AP792" s="125"/>
      <c r="AQ792" s="125"/>
      <c r="AR792" s="125"/>
      <c r="AS792" s="125"/>
      <c r="AT792" s="125"/>
      <c r="AU792" s="125"/>
      <c r="AV792" s="125"/>
      <c r="AW792" s="125"/>
      <c r="AX792" s="125"/>
      <c r="AY792" s="125"/>
      <c r="AZ792" s="125"/>
      <c r="BA792" s="125"/>
      <c r="BB792" s="125"/>
      <c r="BC792" s="125"/>
      <c r="BD792" s="125"/>
      <c r="BE792" s="125"/>
      <c r="BF792" s="125"/>
    </row>
    <row r="793" spans="1:58" ht="15.75" customHeight="1">
      <c r="A793" s="125"/>
      <c r="B793" s="125"/>
      <c r="C793" s="125"/>
      <c r="D793" s="125"/>
      <c r="E793" s="125"/>
      <c r="F793" s="125"/>
      <c r="G793" s="125"/>
      <c r="H793" s="125"/>
      <c r="I793" s="125"/>
      <c r="J793" s="125"/>
      <c r="K793" s="125"/>
      <c r="L793" s="125"/>
      <c r="M793" s="125"/>
      <c r="N793" s="125"/>
      <c r="O793" s="125"/>
      <c r="P793" s="125"/>
      <c r="Q793" s="125"/>
      <c r="R793" s="125"/>
      <c r="S793" s="125"/>
      <c r="T793" s="125"/>
      <c r="U793" s="125"/>
      <c r="V793" s="125"/>
      <c r="W793" s="125"/>
      <c r="X793" s="125"/>
      <c r="Y793" s="125"/>
      <c r="Z793" s="125"/>
      <c r="AA793" s="125"/>
      <c r="AB793" s="125"/>
      <c r="AC793" s="125"/>
      <c r="AD793" s="125"/>
      <c r="AE793" s="125"/>
      <c r="AF793" s="125"/>
      <c r="AG793" s="125"/>
      <c r="AH793" s="125"/>
      <c r="AI793" s="125"/>
      <c r="AJ793" s="125"/>
      <c r="AK793" s="125"/>
      <c r="AL793" s="125"/>
      <c r="AM793" s="125"/>
      <c r="AN793" s="125"/>
      <c r="AO793" s="125"/>
      <c r="AP793" s="125"/>
      <c r="AQ793" s="125"/>
      <c r="AR793" s="125"/>
      <c r="AS793" s="125"/>
      <c r="AT793" s="125"/>
      <c r="AU793" s="125"/>
      <c r="AV793" s="125"/>
      <c r="AW793" s="125"/>
      <c r="AX793" s="125"/>
      <c r="AY793" s="125"/>
      <c r="AZ793" s="125"/>
      <c r="BA793" s="125"/>
      <c r="BB793" s="125"/>
      <c r="BC793" s="125"/>
      <c r="BD793" s="125"/>
      <c r="BE793" s="125"/>
      <c r="BF793" s="125"/>
    </row>
    <row r="794" spans="1:58" ht="15.75" customHeight="1">
      <c r="A794" s="125"/>
      <c r="B794" s="125"/>
      <c r="C794" s="125"/>
      <c r="D794" s="125"/>
      <c r="E794" s="125"/>
      <c r="F794" s="125"/>
      <c r="G794" s="125"/>
      <c r="H794" s="125"/>
      <c r="I794" s="125"/>
      <c r="J794" s="125"/>
      <c r="K794" s="125"/>
      <c r="L794" s="125"/>
      <c r="M794" s="125"/>
      <c r="N794" s="125"/>
      <c r="O794" s="125"/>
      <c r="P794" s="125"/>
      <c r="Q794" s="125"/>
      <c r="R794" s="125"/>
      <c r="S794" s="125"/>
      <c r="T794" s="125"/>
      <c r="U794" s="125"/>
      <c r="V794" s="125"/>
      <c r="W794" s="125"/>
      <c r="X794" s="125"/>
      <c r="Y794" s="125"/>
      <c r="Z794" s="125"/>
      <c r="AA794" s="125"/>
      <c r="AB794" s="125"/>
      <c r="AC794" s="125"/>
      <c r="AD794" s="125"/>
      <c r="AE794" s="125"/>
      <c r="AF794" s="125"/>
      <c r="AG794" s="125"/>
      <c r="AH794" s="125"/>
      <c r="AI794" s="125"/>
      <c r="AJ794" s="125"/>
      <c r="AK794" s="125"/>
      <c r="AL794" s="125"/>
      <c r="AM794" s="125"/>
      <c r="AN794" s="125"/>
      <c r="AO794" s="125"/>
      <c r="AP794" s="125"/>
      <c r="AQ794" s="125"/>
      <c r="AR794" s="125"/>
      <c r="AS794" s="125"/>
      <c r="AT794" s="125"/>
      <c r="AU794" s="125"/>
      <c r="AV794" s="125"/>
      <c r="AW794" s="125"/>
      <c r="AX794" s="125"/>
      <c r="AY794" s="125"/>
      <c r="AZ794" s="125"/>
      <c r="BA794" s="125"/>
      <c r="BB794" s="125"/>
      <c r="BC794" s="125"/>
      <c r="BD794" s="125"/>
      <c r="BE794" s="125"/>
      <c r="BF794" s="125"/>
    </row>
    <row r="795" spans="1:58" ht="15.75" customHeight="1">
      <c r="A795" s="125"/>
      <c r="B795" s="125"/>
      <c r="C795" s="125"/>
      <c r="D795" s="125"/>
      <c r="E795" s="125"/>
      <c r="F795" s="125"/>
      <c r="G795" s="125"/>
      <c r="H795" s="125"/>
      <c r="I795" s="125"/>
      <c r="J795" s="125"/>
      <c r="K795" s="125"/>
      <c r="L795" s="125"/>
      <c r="M795" s="125"/>
      <c r="N795" s="125"/>
      <c r="O795" s="125"/>
      <c r="P795" s="125"/>
      <c r="Q795" s="125"/>
      <c r="R795" s="125"/>
      <c r="S795" s="125"/>
      <c r="T795" s="125"/>
      <c r="U795" s="125"/>
      <c r="V795" s="125"/>
      <c r="W795" s="125"/>
      <c r="X795" s="125"/>
      <c r="Y795" s="125"/>
      <c r="Z795" s="125"/>
      <c r="AA795" s="125"/>
      <c r="AB795" s="125"/>
      <c r="AC795" s="125"/>
      <c r="AD795" s="125"/>
      <c r="AE795" s="125"/>
      <c r="AF795" s="125"/>
      <c r="AG795" s="125"/>
      <c r="AH795" s="125"/>
      <c r="AI795" s="125"/>
      <c r="AJ795" s="125"/>
      <c r="AK795" s="125"/>
      <c r="AL795" s="125"/>
      <c r="AM795" s="125"/>
      <c r="AN795" s="125"/>
      <c r="AO795" s="125"/>
      <c r="AP795" s="125"/>
      <c r="AQ795" s="125"/>
      <c r="AR795" s="125"/>
      <c r="AS795" s="125"/>
      <c r="AT795" s="125"/>
      <c r="AU795" s="125"/>
      <c r="AV795" s="125"/>
      <c r="AW795" s="125"/>
      <c r="AX795" s="125"/>
      <c r="AY795" s="125"/>
      <c r="AZ795" s="125"/>
      <c r="BA795" s="125"/>
      <c r="BB795" s="125"/>
      <c r="BC795" s="125"/>
      <c r="BD795" s="125"/>
      <c r="BE795" s="125"/>
      <c r="BF795" s="125"/>
    </row>
    <row r="796" spans="1:58" ht="15.75" customHeight="1">
      <c r="A796" s="125"/>
      <c r="B796" s="125"/>
      <c r="C796" s="125"/>
      <c r="D796" s="125"/>
      <c r="E796" s="125"/>
      <c r="F796" s="125"/>
      <c r="G796" s="125"/>
      <c r="H796" s="125"/>
      <c r="I796" s="125"/>
      <c r="J796" s="125"/>
      <c r="K796" s="125"/>
      <c r="L796" s="125"/>
      <c r="M796" s="125"/>
      <c r="N796" s="125"/>
      <c r="O796" s="125"/>
      <c r="P796" s="125"/>
      <c r="Q796" s="125"/>
      <c r="R796" s="125"/>
      <c r="S796" s="125"/>
      <c r="T796" s="125"/>
      <c r="U796" s="125"/>
      <c r="V796" s="125"/>
      <c r="W796" s="125"/>
      <c r="X796" s="125"/>
      <c r="Y796" s="125"/>
      <c r="Z796" s="125"/>
      <c r="AA796" s="125"/>
      <c r="AB796" s="125"/>
      <c r="AC796" s="125"/>
      <c r="AD796" s="125"/>
      <c r="AE796" s="125"/>
      <c r="AF796" s="125"/>
      <c r="AG796" s="125"/>
      <c r="AH796" s="125"/>
      <c r="AI796" s="125"/>
      <c r="AJ796" s="125"/>
      <c r="AK796" s="125"/>
      <c r="AL796" s="125"/>
      <c r="AM796" s="125"/>
      <c r="AN796" s="125"/>
      <c r="AO796" s="125"/>
      <c r="AP796" s="125"/>
      <c r="AQ796" s="125"/>
      <c r="AR796" s="125"/>
      <c r="AS796" s="125"/>
      <c r="AT796" s="125"/>
      <c r="AU796" s="125"/>
      <c r="AV796" s="125"/>
      <c r="AW796" s="125"/>
      <c r="AX796" s="125"/>
      <c r="AY796" s="125"/>
      <c r="AZ796" s="125"/>
      <c r="BA796" s="125"/>
      <c r="BB796" s="125"/>
      <c r="BC796" s="125"/>
      <c r="BD796" s="125"/>
      <c r="BE796" s="125"/>
      <c r="BF796" s="125"/>
    </row>
    <row r="797" spans="1:58" ht="15.75" customHeight="1">
      <c r="A797" s="125"/>
      <c r="B797" s="125"/>
      <c r="C797" s="125"/>
      <c r="D797" s="125"/>
      <c r="E797" s="125"/>
      <c r="F797" s="125"/>
      <c r="G797" s="125"/>
      <c r="H797" s="125"/>
      <c r="I797" s="125"/>
      <c r="J797" s="125"/>
      <c r="K797" s="125"/>
      <c r="L797" s="125"/>
      <c r="M797" s="125"/>
      <c r="N797" s="125"/>
      <c r="O797" s="125"/>
      <c r="P797" s="125"/>
      <c r="Q797" s="125"/>
      <c r="R797" s="125"/>
      <c r="S797" s="125"/>
      <c r="T797" s="125"/>
      <c r="U797" s="125"/>
      <c r="V797" s="125"/>
      <c r="W797" s="125"/>
      <c r="X797" s="125"/>
      <c r="Y797" s="125"/>
      <c r="Z797" s="125"/>
      <c r="AA797" s="125"/>
      <c r="AB797" s="125"/>
      <c r="AC797" s="125"/>
      <c r="AD797" s="125"/>
      <c r="AE797" s="125"/>
      <c r="AF797" s="125"/>
      <c r="AG797" s="125"/>
      <c r="AH797" s="125"/>
      <c r="AI797" s="125"/>
      <c r="AJ797" s="125"/>
      <c r="AK797" s="125"/>
      <c r="AL797" s="125"/>
      <c r="AM797" s="125"/>
      <c r="AN797" s="125"/>
      <c r="AO797" s="125"/>
      <c r="AP797" s="125"/>
      <c r="AQ797" s="125"/>
      <c r="AR797" s="125"/>
      <c r="AS797" s="125"/>
      <c r="AT797" s="125"/>
      <c r="AU797" s="125"/>
      <c r="AV797" s="125"/>
      <c r="AW797" s="125"/>
      <c r="AX797" s="125"/>
      <c r="AY797" s="125"/>
      <c r="AZ797" s="125"/>
      <c r="BA797" s="125"/>
      <c r="BB797" s="125"/>
      <c r="BC797" s="125"/>
      <c r="BD797" s="125"/>
      <c r="BE797" s="125"/>
      <c r="BF797" s="125"/>
    </row>
    <row r="798" spans="1:58" ht="15.75" customHeight="1">
      <c r="A798" s="125"/>
      <c r="B798" s="125"/>
      <c r="C798" s="125"/>
      <c r="D798" s="125"/>
      <c r="E798" s="125"/>
      <c r="F798" s="125"/>
      <c r="G798" s="125"/>
      <c r="H798" s="125"/>
      <c r="I798" s="125"/>
      <c r="J798" s="125"/>
      <c r="K798" s="125"/>
      <c r="L798" s="125"/>
      <c r="M798" s="125"/>
      <c r="N798" s="125"/>
      <c r="O798" s="125"/>
      <c r="P798" s="125"/>
      <c r="Q798" s="125"/>
      <c r="R798" s="125"/>
      <c r="S798" s="125"/>
      <c r="T798" s="125"/>
      <c r="U798" s="125"/>
      <c r="V798" s="125"/>
      <c r="W798" s="125"/>
      <c r="X798" s="125"/>
      <c r="Y798" s="125"/>
      <c r="Z798" s="125"/>
      <c r="AA798" s="125"/>
      <c r="AB798" s="125"/>
      <c r="AC798" s="125"/>
      <c r="AD798" s="125"/>
      <c r="AE798" s="125"/>
      <c r="AF798" s="125"/>
      <c r="AG798" s="125"/>
      <c r="AH798" s="125"/>
      <c r="AI798" s="125"/>
      <c r="AJ798" s="125"/>
      <c r="AK798" s="125"/>
      <c r="AL798" s="125"/>
      <c r="AM798" s="125"/>
      <c r="AN798" s="125"/>
      <c r="AO798" s="125"/>
      <c r="AP798" s="125"/>
      <c r="AQ798" s="125"/>
      <c r="AR798" s="125"/>
      <c r="AS798" s="125"/>
      <c r="AT798" s="125"/>
      <c r="AU798" s="125"/>
      <c r="AV798" s="125"/>
      <c r="AW798" s="125"/>
      <c r="AX798" s="125"/>
      <c r="AY798" s="125"/>
      <c r="AZ798" s="125"/>
      <c r="BA798" s="125"/>
      <c r="BB798" s="125"/>
      <c r="BC798" s="125"/>
      <c r="BD798" s="125"/>
      <c r="BE798" s="125"/>
      <c r="BF798" s="125"/>
    </row>
    <row r="799" spans="1:58" ht="15.75" customHeight="1">
      <c r="A799" s="125"/>
      <c r="B799" s="125"/>
      <c r="C799" s="125"/>
      <c r="D799" s="125"/>
      <c r="E799" s="125"/>
      <c r="F799" s="125"/>
      <c r="G799" s="125"/>
      <c r="H799" s="125"/>
      <c r="I799" s="125"/>
      <c r="J799" s="125"/>
      <c r="K799" s="125"/>
      <c r="L799" s="125"/>
      <c r="M799" s="125"/>
      <c r="N799" s="125"/>
      <c r="O799" s="125"/>
      <c r="P799" s="125"/>
      <c r="Q799" s="125"/>
      <c r="R799" s="125"/>
      <c r="S799" s="125"/>
      <c r="T799" s="125"/>
      <c r="U799" s="125"/>
      <c r="V799" s="125"/>
      <c r="W799" s="125"/>
      <c r="X799" s="125"/>
      <c r="Y799" s="125"/>
      <c r="Z799" s="125"/>
      <c r="AA799" s="125"/>
      <c r="AB799" s="125"/>
      <c r="AC799" s="125"/>
      <c r="AD799" s="125"/>
      <c r="AE799" s="125"/>
      <c r="AF799" s="125"/>
      <c r="AG799" s="125"/>
      <c r="AH799" s="125"/>
      <c r="AI799" s="125"/>
      <c r="AJ799" s="125"/>
      <c r="AK799" s="125"/>
      <c r="AL799" s="125"/>
      <c r="AM799" s="125"/>
      <c r="AN799" s="125"/>
      <c r="AO799" s="125"/>
      <c r="AP799" s="125"/>
      <c r="AQ799" s="125"/>
      <c r="AR799" s="125"/>
      <c r="AS799" s="125"/>
      <c r="AT799" s="125"/>
      <c r="AU799" s="125"/>
      <c r="AV799" s="125"/>
      <c r="AW799" s="125"/>
      <c r="AX799" s="125"/>
      <c r="AY799" s="125"/>
      <c r="AZ799" s="125"/>
      <c r="BA799" s="125"/>
      <c r="BB799" s="125"/>
      <c r="BC799" s="125"/>
      <c r="BD799" s="125"/>
      <c r="BE799" s="125"/>
      <c r="BF799" s="125"/>
    </row>
    <row r="800" spans="1:58" ht="15.75" customHeight="1">
      <c r="A800" s="125"/>
      <c r="B800" s="125"/>
      <c r="C800" s="125"/>
      <c r="D800" s="125"/>
      <c r="E800" s="125"/>
      <c r="F800" s="125"/>
      <c r="G800" s="125"/>
      <c r="H800" s="125"/>
      <c r="I800" s="125"/>
      <c r="J800" s="125"/>
      <c r="K800" s="125"/>
      <c r="L800" s="125"/>
      <c r="M800" s="125"/>
      <c r="N800" s="125"/>
      <c r="O800" s="125"/>
      <c r="P800" s="125"/>
      <c r="Q800" s="125"/>
      <c r="R800" s="125"/>
      <c r="S800" s="125"/>
      <c r="T800" s="125"/>
      <c r="U800" s="125"/>
      <c r="V800" s="125"/>
      <c r="W800" s="125"/>
      <c r="X800" s="125"/>
      <c r="Y800" s="125"/>
      <c r="Z800" s="125"/>
      <c r="AA800" s="125"/>
      <c r="AB800" s="125"/>
      <c r="AC800" s="125"/>
      <c r="AD800" s="125"/>
      <c r="AE800" s="125"/>
      <c r="AF800" s="125"/>
      <c r="AG800" s="125"/>
      <c r="AH800" s="125"/>
      <c r="AI800" s="125"/>
      <c r="AJ800" s="125"/>
      <c r="AK800" s="125"/>
      <c r="AL800" s="125"/>
      <c r="AM800" s="125"/>
      <c r="AN800" s="125"/>
      <c r="AO800" s="125"/>
      <c r="AP800" s="125"/>
      <c r="AQ800" s="125"/>
      <c r="AR800" s="125"/>
      <c r="AS800" s="125"/>
      <c r="AT800" s="125"/>
      <c r="AU800" s="125"/>
      <c r="AV800" s="125"/>
      <c r="AW800" s="125"/>
      <c r="AX800" s="125"/>
      <c r="AY800" s="125"/>
      <c r="AZ800" s="125"/>
      <c r="BA800" s="125"/>
      <c r="BB800" s="125"/>
      <c r="BC800" s="125"/>
      <c r="BD800" s="125"/>
      <c r="BE800" s="125"/>
      <c r="BF800" s="125"/>
    </row>
    <row r="801" spans="1:58" ht="15.75" customHeight="1">
      <c r="A801" s="125"/>
      <c r="B801" s="125"/>
      <c r="C801" s="125"/>
      <c r="D801" s="125"/>
      <c r="E801" s="125"/>
      <c r="F801" s="125"/>
      <c r="G801" s="125"/>
      <c r="H801" s="125"/>
      <c r="I801" s="125"/>
      <c r="J801" s="125"/>
      <c r="K801" s="125"/>
      <c r="L801" s="125"/>
      <c r="M801" s="125"/>
      <c r="N801" s="125"/>
      <c r="O801" s="125"/>
      <c r="P801" s="125"/>
      <c r="Q801" s="125"/>
      <c r="R801" s="125"/>
      <c r="S801" s="125"/>
      <c r="T801" s="125"/>
      <c r="U801" s="125"/>
      <c r="V801" s="125"/>
      <c r="W801" s="125"/>
      <c r="X801" s="125"/>
      <c r="Y801" s="125"/>
      <c r="Z801" s="125"/>
      <c r="AA801" s="125"/>
      <c r="AB801" s="125"/>
      <c r="AC801" s="125"/>
      <c r="AD801" s="125"/>
      <c r="AE801" s="125"/>
      <c r="AF801" s="125"/>
      <c r="AG801" s="125"/>
      <c r="AH801" s="125"/>
      <c r="AI801" s="125"/>
      <c r="AJ801" s="125"/>
      <c r="AK801" s="125"/>
      <c r="AL801" s="125"/>
      <c r="AM801" s="125"/>
      <c r="AN801" s="125"/>
      <c r="AO801" s="125"/>
      <c r="AP801" s="125"/>
      <c r="AQ801" s="125"/>
      <c r="AR801" s="125"/>
      <c r="AS801" s="125"/>
      <c r="AT801" s="125"/>
      <c r="AU801" s="125"/>
      <c r="AV801" s="125"/>
      <c r="AW801" s="125"/>
      <c r="AX801" s="125"/>
      <c r="AY801" s="125"/>
      <c r="AZ801" s="125"/>
      <c r="BA801" s="125"/>
      <c r="BB801" s="125"/>
      <c r="BC801" s="125"/>
      <c r="BD801" s="125"/>
      <c r="BE801" s="125"/>
      <c r="BF801" s="125"/>
    </row>
    <row r="802" spans="1:58" ht="15.75" customHeight="1">
      <c r="A802" s="125"/>
      <c r="B802" s="125"/>
      <c r="C802" s="125"/>
      <c r="D802" s="125"/>
      <c r="E802" s="125"/>
      <c r="F802" s="125"/>
      <c r="G802" s="125"/>
      <c r="H802" s="125"/>
      <c r="I802" s="125"/>
      <c r="J802" s="125"/>
      <c r="K802" s="125"/>
      <c r="L802" s="125"/>
      <c r="M802" s="125"/>
      <c r="N802" s="125"/>
      <c r="O802" s="125"/>
      <c r="P802" s="125"/>
      <c r="Q802" s="125"/>
      <c r="R802" s="125"/>
      <c r="S802" s="125"/>
      <c r="T802" s="125"/>
      <c r="U802" s="125"/>
      <c r="V802" s="125"/>
      <c r="W802" s="125"/>
      <c r="X802" s="125"/>
      <c r="Y802" s="125"/>
      <c r="Z802" s="125"/>
      <c r="AA802" s="125"/>
      <c r="AB802" s="125"/>
      <c r="AC802" s="125"/>
      <c r="AD802" s="125"/>
      <c r="AE802" s="125"/>
      <c r="AF802" s="125"/>
      <c r="AG802" s="125"/>
      <c r="AH802" s="125"/>
      <c r="AI802" s="125"/>
      <c r="AJ802" s="125"/>
      <c r="AK802" s="125"/>
      <c r="AL802" s="125"/>
      <c r="AM802" s="125"/>
      <c r="AN802" s="125"/>
      <c r="AO802" s="125"/>
      <c r="AP802" s="125"/>
      <c r="AQ802" s="125"/>
      <c r="AR802" s="125"/>
      <c r="AS802" s="125"/>
      <c r="AT802" s="125"/>
      <c r="AU802" s="125"/>
      <c r="AV802" s="125"/>
      <c r="AW802" s="125"/>
      <c r="AX802" s="125"/>
      <c r="AY802" s="125"/>
      <c r="AZ802" s="125"/>
      <c r="BA802" s="125"/>
      <c r="BB802" s="125"/>
      <c r="BC802" s="125"/>
      <c r="BD802" s="125"/>
      <c r="BE802" s="125"/>
      <c r="BF802" s="125"/>
    </row>
    <row r="803" spans="1:58" ht="15.75" customHeight="1">
      <c r="A803" s="125"/>
      <c r="B803" s="125"/>
      <c r="C803" s="125"/>
      <c r="D803" s="125"/>
      <c r="E803" s="125"/>
      <c r="F803" s="125"/>
      <c r="G803" s="125"/>
      <c r="H803" s="125"/>
      <c r="I803" s="125"/>
      <c r="J803" s="125"/>
      <c r="K803" s="125"/>
      <c r="L803" s="125"/>
      <c r="M803" s="125"/>
      <c r="N803" s="125"/>
      <c r="O803" s="125"/>
      <c r="P803" s="125"/>
      <c r="Q803" s="125"/>
      <c r="R803" s="125"/>
      <c r="S803" s="125"/>
      <c r="T803" s="125"/>
      <c r="U803" s="125"/>
      <c r="V803" s="125"/>
      <c r="W803" s="125"/>
      <c r="X803" s="125"/>
      <c r="Y803" s="125"/>
      <c r="Z803" s="125"/>
      <c r="AA803" s="125"/>
      <c r="AB803" s="125"/>
      <c r="AC803" s="125"/>
      <c r="AD803" s="125"/>
      <c r="AE803" s="125"/>
      <c r="AF803" s="125"/>
      <c r="AG803" s="125"/>
      <c r="AH803" s="125"/>
      <c r="AI803" s="125"/>
      <c r="AJ803" s="125"/>
      <c r="AK803" s="125"/>
      <c r="AL803" s="125"/>
      <c r="AM803" s="125"/>
      <c r="AN803" s="125"/>
      <c r="AO803" s="125"/>
      <c r="AP803" s="125"/>
      <c r="AQ803" s="125"/>
      <c r="AR803" s="125"/>
      <c r="AS803" s="125"/>
      <c r="AT803" s="125"/>
      <c r="AU803" s="125"/>
      <c r="AV803" s="125"/>
      <c r="AW803" s="125"/>
      <c r="AX803" s="125"/>
      <c r="AY803" s="125"/>
      <c r="AZ803" s="125"/>
      <c r="BA803" s="125"/>
      <c r="BB803" s="125"/>
      <c r="BC803" s="125"/>
      <c r="BD803" s="125"/>
      <c r="BE803" s="125"/>
      <c r="BF803" s="125"/>
    </row>
    <row r="804" spans="1:58" ht="15.75" customHeight="1">
      <c r="A804" s="125"/>
      <c r="B804" s="125"/>
      <c r="C804" s="125"/>
      <c r="D804" s="125"/>
      <c r="E804" s="125"/>
      <c r="F804" s="125"/>
      <c r="G804" s="125"/>
      <c r="H804" s="125"/>
      <c r="I804" s="125"/>
      <c r="J804" s="125"/>
      <c r="K804" s="125"/>
      <c r="L804" s="125"/>
      <c r="M804" s="125"/>
      <c r="N804" s="125"/>
      <c r="O804" s="125"/>
      <c r="P804" s="125"/>
      <c r="Q804" s="125"/>
      <c r="R804" s="125"/>
      <c r="S804" s="125"/>
      <c r="T804" s="125"/>
      <c r="U804" s="125"/>
      <c r="V804" s="125"/>
      <c r="W804" s="125"/>
      <c r="X804" s="125"/>
      <c r="Y804" s="125"/>
      <c r="Z804" s="125"/>
      <c r="AA804" s="125"/>
      <c r="AB804" s="125"/>
      <c r="AC804" s="125"/>
      <c r="AD804" s="125"/>
      <c r="AE804" s="125"/>
      <c r="AF804" s="125"/>
      <c r="AG804" s="125"/>
      <c r="AH804" s="125"/>
      <c r="AI804" s="125"/>
      <c r="AJ804" s="125"/>
      <c r="AK804" s="125"/>
      <c r="AL804" s="125"/>
      <c r="AM804" s="125"/>
      <c r="AN804" s="125"/>
      <c r="AO804" s="125"/>
      <c r="AP804" s="125"/>
      <c r="AQ804" s="125"/>
      <c r="AR804" s="125"/>
      <c r="AS804" s="125"/>
      <c r="AT804" s="125"/>
      <c r="AU804" s="125"/>
      <c r="AV804" s="125"/>
      <c r="AW804" s="125"/>
      <c r="AX804" s="125"/>
      <c r="AY804" s="125"/>
      <c r="AZ804" s="125"/>
      <c r="BA804" s="125"/>
      <c r="BB804" s="125"/>
      <c r="BC804" s="125"/>
      <c r="BD804" s="125"/>
      <c r="BE804" s="125"/>
      <c r="BF804" s="125"/>
    </row>
    <row r="805" spans="1:58" ht="15.75" customHeight="1">
      <c r="A805" s="125"/>
      <c r="B805" s="125"/>
      <c r="C805" s="125"/>
      <c r="D805" s="125"/>
      <c r="E805" s="125"/>
      <c r="F805" s="125"/>
      <c r="G805" s="125"/>
      <c r="H805" s="125"/>
      <c r="I805" s="125"/>
      <c r="J805" s="125"/>
      <c r="K805" s="125"/>
      <c r="L805" s="125"/>
      <c r="M805" s="125"/>
      <c r="N805" s="125"/>
      <c r="O805" s="125"/>
      <c r="P805" s="125"/>
      <c r="Q805" s="125"/>
      <c r="R805" s="125"/>
      <c r="S805" s="125"/>
      <c r="T805" s="125"/>
      <c r="U805" s="125"/>
      <c r="V805" s="125"/>
      <c r="W805" s="125"/>
      <c r="X805" s="125"/>
      <c r="Y805" s="125"/>
      <c r="Z805" s="125"/>
      <c r="AA805" s="125"/>
      <c r="AB805" s="125"/>
      <c r="AC805" s="125"/>
      <c r="AD805" s="125"/>
      <c r="AE805" s="125"/>
      <c r="AF805" s="125"/>
      <c r="AG805" s="125"/>
      <c r="AH805" s="125"/>
      <c r="AI805" s="125"/>
      <c r="AJ805" s="125"/>
      <c r="AK805" s="125"/>
      <c r="AL805" s="125"/>
      <c r="AM805" s="125"/>
      <c r="AN805" s="125"/>
      <c r="AO805" s="125"/>
      <c r="AP805" s="125"/>
      <c r="AQ805" s="125"/>
      <c r="AR805" s="125"/>
      <c r="AS805" s="125"/>
      <c r="AT805" s="125"/>
      <c r="AU805" s="125"/>
      <c r="AV805" s="125"/>
      <c r="AW805" s="125"/>
      <c r="AX805" s="125"/>
      <c r="AY805" s="125"/>
      <c r="AZ805" s="125"/>
      <c r="BA805" s="125"/>
      <c r="BB805" s="125"/>
      <c r="BC805" s="125"/>
      <c r="BD805" s="125"/>
      <c r="BE805" s="125"/>
      <c r="BF805" s="125"/>
    </row>
    <row r="806" spans="1:58" ht="15.75" customHeight="1">
      <c r="A806" s="125"/>
      <c r="B806" s="125"/>
      <c r="C806" s="125"/>
      <c r="D806" s="125"/>
      <c r="E806" s="125"/>
      <c r="F806" s="125"/>
      <c r="G806" s="125"/>
      <c r="H806" s="125"/>
      <c r="I806" s="125"/>
      <c r="J806" s="125"/>
      <c r="K806" s="125"/>
      <c r="L806" s="125"/>
      <c r="M806" s="125"/>
      <c r="N806" s="125"/>
      <c r="O806" s="125"/>
      <c r="P806" s="125"/>
      <c r="Q806" s="125"/>
      <c r="R806" s="125"/>
      <c r="S806" s="125"/>
      <c r="T806" s="125"/>
      <c r="U806" s="125"/>
      <c r="V806" s="125"/>
      <c r="W806" s="125"/>
      <c r="X806" s="125"/>
      <c r="Y806" s="125"/>
      <c r="Z806" s="125"/>
      <c r="AA806" s="125"/>
      <c r="AB806" s="125"/>
      <c r="AC806" s="125"/>
      <c r="AD806" s="125"/>
      <c r="AE806" s="125"/>
      <c r="AF806" s="125"/>
      <c r="AG806" s="125"/>
      <c r="AH806" s="125"/>
      <c r="AI806" s="125"/>
      <c r="AJ806" s="125"/>
      <c r="AK806" s="125"/>
      <c r="AL806" s="125"/>
      <c r="AM806" s="125"/>
      <c r="AN806" s="125"/>
      <c r="AO806" s="125"/>
      <c r="AP806" s="125"/>
      <c r="AQ806" s="125"/>
      <c r="AR806" s="125"/>
      <c r="AS806" s="125"/>
      <c r="AT806" s="125"/>
      <c r="AU806" s="125"/>
      <c r="AV806" s="125"/>
      <c r="AW806" s="125"/>
      <c r="AX806" s="125"/>
      <c r="AY806" s="125"/>
      <c r="AZ806" s="125"/>
      <c r="BA806" s="125"/>
      <c r="BB806" s="125"/>
      <c r="BC806" s="125"/>
      <c r="BD806" s="125"/>
      <c r="BE806" s="125"/>
      <c r="BF806" s="125"/>
    </row>
    <row r="807" spans="1:58" ht="15.75" customHeight="1">
      <c r="A807" s="125"/>
      <c r="B807" s="125"/>
      <c r="C807" s="125"/>
      <c r="D807" s="125"/>
      <c r="E807" s="125"/>
      <c r="F807" s="125"/>
      <c r="G807" s="125"/>
      <c r="H807" s="125"/>
      <c r="I807" s="125"/>
      <c r="J807" s="125"/>
      <c r="K807" s="125"/>
      <c r="L807" s="125"/>
      <c r="M807" s="125"/>
      <c r="N807" s="125"/>
      <c r="O807" s="125"/>
      <c r="P807" s="125"/>
      <c r="Q807" s="125"/>
      <c r="R807" s="125"/>
      <c r="S807" s="125"/>
      <c r="T807" s="125"/>
      <c r="U807" s="125"/>
      <c r="V807" s="125"/>
      <c r="W807" s="125"/>
      <c r="X807" s="125"/>
      <c r="Y807" s="125"/>
      <c r="Z807" s="125"/>
      <c r="AA807" s="125"/>
      <c r="AB807" s="125"/>
      <c r="AC807" s="125"/>
      <c r="AD807" s="125"/>
      <c r="AE807" s="125"/>
      <c r="AF807" s="125"/>
      <c r="AG807" s="125"/>
      <c r="AH807" s="125"/>
      <c r="AI807" s="125"/>
      <c r="AJ807" s="125"/>
      <c r="AK807" s="125"/>
      <c r="AL807" s="125"/>
      <c r="AM807" s="125"/>
      <c r="AN807" s="125"/>
      <c r="AO807" s="125"/>
      <c r="AP807" s="125"/>
      <c r="AQ807" s="125"/>
      <c r="AR807" s="125"/>
      <c r="AS807" s="125"/>
      <c r="AT807" s="125"/>
      <c r="AU807" s="125"/>
      <c r="AV807" s="125"/>
      <c r="AW807" s="125"/>
      <c r="AX807" s="125"/>
      <c r="AY807" s="125"/>
      <c r="AZ807" s="125"/>
      <c r="BA807" s="125"/>
      <c r="BB807" s="125"/>
      <c r="BC807" s="125"/>
      <c r="BD807" s="125"/>
      <c r="BE807" s="125"/>
      <c r="BF807" s="125"/>
    </row>
    <row r="808" spans="1:58" ht="15.75" customHeight="1">
      <c r="A808" s="125"/>
      <c r="B808" s="125"/>
      <c r="C808" s="125"/>
      <c r="D808" s="125"/>
      <c r="E808" s="125"/>
      <c r="F808" s="125"/>
      <c r="G808" s="125"/>
      <c r="H808" s="125"/>
      <c r="I808" s="125"/>
      <c r="J808" s="125"/>
      <c r="K808" s="125"/>
      <c r="L808" s="125"/>
      <c r="M808" s="125"/>
      <c r="N808" s="125"/>
      <c r="O808" s="125"/>
      <c r="P808" s="125"/>
      <c r="Q808" s="125"/>
      <c r="R808" s="125"/>
      <c r="S808" s="125"/>
      <c r="T808" s="125"/>
      <c r="U808" s="125"/>
      <c r="V808" s="125"/>
      <c r="W808" s="125"/>
      <c r="X808" s="125"/>
      <c r="Y808" s="125"/>
      <c r="Z808" s="125"/>
      <c r="AA808" s="125"/>
      <c r="AB808" s="125"/>
      <c r="AC808" s="125"/>
      <c r="AD808" s="125"/>
      <c r="AE808" s="125"/>
      <c r="AF808" s="125"/>
      <c r="AG808" s="125"/>
      <c r="AH808" s="125"/>
      <c r="AI808" s="125"/>
      <c r="AJ808" s="125"/>
      <c r="AK808" s="125"/>
      <c r="AL808" s="125"/>
      <c r="AM808" s="125"/>
      <c r="AN808" s="125"/>
      <c r="AO808" s="125"/>
      <c r="AP808" s="125"/>
      <c r="AQ808" s="125"/>
      <c r="AR808" s="125"/>
      <c r="AS808" s="125"/>
      <c r="AT808" s="125"/>
      <c r="AU808" s="125"/>
      <c r="AV808" s="125"/>
      <c r="AW808" s="125"/>
      <c r="AX808" s="125"/>
      <c r="AY808" s="125"/>
      <c r="AZ808" s="125"/>
      <c r="BA808" s="125"/>
      <c r="BB808" s="125"/>
      <c r="BC808" s="125"/>
      <c r="BD808" s="125"/>
      <c r="BE808" s="125"/>
      <c r="BF808" s="125"/>
    </row>
    <row r="809" spans="1:58" ht="15.75" customHeight="1">
      <c r="A809" s="125"/>
      <c r="B809" s="125"/>
      <c r="C809" s="125"/>
      <c r="D809" s="125"/>
      <c r="E809" s="125"/>
      <c r="F809" s="125"/>
      <c r="G809" s="125"/>
      <c r="H809" s="125"/>
      <c r="I809" s="125"/>
      <c r="J809" s="125"/>
      <c r="K809" s="125"/>
      <c r="L809" s="125"/>
      <c r="M809" s="125"/>
      <c r="N809" s="125"/>
      <c r="O809" s="125"/>
      <c r="P809" s="125"/>
      <c r="Q809" s="125"/>
      <c r="R809" s="125"/>
      <c r="S809" s="125"/>
      <c r="T809" s="125"/>
      <c r="U809" s="125"/>
      <c r="V809" s="125"/>
      <c r="W809" s="125"/>
      <c r="X809" s="125"/>
      <c r="Y809" s="125"/>
      <c r="Z809" s="125"/>
      <c r="AA809" s="125"/>
      <c r="AB809" s="125"/>
      <c r="AC809" s="125"/>
      <c r="AD809" s="125"/>
      <c r="AE809" s="125"/>
      <c r="AF809" s="125"/>
      <c r="AG809" s="125"/>
      <c r="AH809" s="125"/>
      <c r="AI809" s="125"/>
      <c r="AJ809" s="125"/>
      <c r="AK809" s="125"/>
      <c r="AL809" s="125"/>
      <c r="AM809" s="125"/>
      <c r="AN809" s="125"/>
      <c r="AO809" s="125"/>
      <c r="AP809" s="125"/>
      <c r="AQ809" s="125"/>
      <c r="AR809" s="125"/>
      <c r="AS809" s="125"/>
      <c r="AT809" s="125"/>
      <c r="AU809" s="125"/>
      <c r="AV809" s="125"/>
      <c r="AW809" s="125"/>
      <c r="AX809" s="125"/>
      <c r="AY809" s="125"/>
      <c r="AZ809" s="125"/>
      <c r="BA809" s="125"/>
      <c r="BB809" s="125"/>
      <c r="BC809" s="125"/>
      <c r="BD809" s="125"/>
      <c r="BE809" s="125"/>
      <c r="BF809" s="125"/>
    </row>
    <row r="810" spans="1:58" ht="15.75" customHeight="1">
      <c r="A810" s="125"/>
      <c r="B810" s="125"/>
      <c r="C810" s="125"/>
      <c r="D810" s="125"/>
      <c r="E810" s="125"/>
      <c r="F810" s="125"/>
      <c r="G810" s="125"/>
      <c r="H810" s="125"/>
      <c r="I810" s="125"/>
      <c r="J810" s="125"/>
      <c r="K810" s="125"/>
      <c r="L810" s="125"/>
      <c r="M810" s="125"/>
      <c r="N810" s="125"/>
      <c r="O810" s="125"/>
      <c r="P810" s="125"/>
      <c r="Q810" s="125"/>
      <c r="R810" s="125"/>
      <c r="S810" s="125"/>
      <c r="T810" s="125"/>
      <c r="U810" s="125"/>
      <c r="V810" s="125"/>
      <c r="W810" s="125"/>
      <c r="X810" s="125"/>
      <c r="Y810" s="125"/>
      <c r="Z810" s="125"/>
      <c r="AA810" s="125"/>
      <c r="AB810" s="125"/>
      <c r="AC810" s="125"/>
      <c r="AD810" s="125"/>
      <c r="AE810" s="125"/>
      <c r="AF810" s="125"/>
      <c r="AG810" s="125"/>
      <c r="AH810" s="125"/>
      <c r="AI810" s="125"/>
      <c r="AJ810" s="125"/>
      <c r="AK810" s="125"/>
      <c r="AL810" s="125"/>
      <c r="AM810" s="125"/>
      <c r="AN810" s="125"/>
      <c r="AO810" s="125"/>
      <c r="AP810" s="125"/>
      <c r="AQ810" s="125"/>
      <c r="AR810" s="125"/>
      <c r="AS810" s="125"/>
      <c r="AT810" s="125"/>
      <c r="AU810" s="125"/>
      <c r="AV810" s="125"/>
      <c r="AW810" s="125"/>
      <c r="AX810" s="125"/>
      <c r="AY810" s="125"/>
      <c r="AZ810" s="125"/>
      <c r="BA810" s="125"/>
      <c r="BB810" s="125"/>
      <c r="BC810" s="125"/>
      <c r="BD810" s="125"/>
      <c r="BE810" s="125"/>
      <c r="BF810" s="125"/>
    </row>
    <row r="811" spans="1:58" ht="15.75" customHeight="1">
      <c r="A811" s="125"/>
      <c r="B811" s="125"/>
      <c r="C811" s="125"/>
      <c r="D811" s="125"/>
      <c r="E811" s="125"/>
      <c r="F811" s="125"/>
      <c r="G811" s="125"/>
      <c r="H811" s="125"/>
      <c r="I811" s="125"/>
      <c r="J811" s="125"/>
      <c r="K811" s="125"/>
      <c r="L811" s="125"/>
      <c r="M811" s="125"/>
      <c r="N811" s="125"/>
      <c r="O811" s="125"/>
      <c r="P811" s="125"/>
      <c r="Q811" s="125"/>
      <c r="R811" s="125"/>
      <c r="S811" s="125"/>
      <c r="T811" s="125"/>
      <c r="U811" s="125"/>
      <c r="V811" s="125"/>
      <c r="W811" s="125"/>
      <c r="X811" s="125"/>
      <c r="Y811" s="125"/>
      <c r="Z811" s="125"/>
      <c r="AA811" s="125"/>
      <c r="AB811" s="125"/>
      <c r="AC811" s="125"/>
      <c r="AD811" s="125"/>
      <c r="AE811" s="125"/>
      <c r="AF811" s="125"/>
      <c r="AG811" s="125"/>
      <c r="AH811" s="125"/>
      <c r="AI811" s="125"/>
      <c r="AJ811" s="125"/>
      <c r="AK811" s="125"/>
      <c r="AL811" s="125"/>
      <c r="AM811" s="125"/>
      <c r="AN811" s="125"/>
      <c r="AO811" s="125"/>
      <c r="AP811" s="125"/>
      <c r="AQ811" s="125"/>
      <c r="AR811" s="125"/>
      <c r="AS811" s="125"/>
      <c r="AT811" s="125"/>
      <c r="AU811" s="125"/>
      <c r="AV811" s="125"/>
      <c r="AW811" s="125"/>
      <c r="AX811" s="125"/>
      <c r="AY811" s="125"/>
      <c r="AZ811" s="125"/>
      <c r="BA811" s="125"/>
      <c r="BB811" s="125"/>
      <c r="BC811" s="125"/>
      <c r="BD811" s="125"/>
      <c r="BE811" s="125"/>
      <c r="BF811" s="125"/>
    </row>
    <row r="812" spans="1:58" ht="15.75" customHeight="1">
      <c r="A812" s="125"/>
      <c r="B812" s="125"/>
      <c r="C812" s="125"/>
      <c r="D812" s="125"/>
      <c r="E812" s="125"/>
      <c r="F812" s="125"/>
      <c r="G812" s="125"/>
      <c r="H812" s="125"/>
      <c r="I812" s="125"/>
      <c r="J812" s="125"/>
      <c r="K812" s="125"/>
      <c r="L812" s="125"/>
      <c r="M812" s="125"/>
      <c r="N812" s="125"/>
      <c r="O812" s="125"/>
      <c r="P812" s="125"/>
      <c r="Q812" s="125"/>
      <c r="R812" s="125"/>
      <c r="S812" s="125"/>
      <c r="T812" s="125"/>
      <c r="U812" s="125"/>
      <c r="V812" s="125"/>
      <c r="W812" s="125"/>
      <c r="X812" s="125"/>
      <c r="Y812" s="125"/>
      <c r="Z812" s="125"/>
      <c r="AA812" s="125"/>
      <c r="AB812" s="125"/>
      <c r="AC812" s="125"/>
      <c r="AD812" s="125"/>
      <c r="AE812" s="125"/>
      <c r="AF812" s="125"/>
      <c r="AG812" s="125"/>
      <c r="AH812" s="125"/>
      <c r="AI812" s="125"/>
      <c r="AJ812" s="125"/>
      <c r="AK812" s="125"/>
      <c r="AL812" s="125"/>
      <c r="AM812" s="125"/>
      <c r="AN812" s="125"/>
      <c r="AO812" s="125"/>
      <c r="AP812" s="125"/>
      <c r="AQ812" s="125"/>
      <c r="AR812" s="125"/>
      <c r="AS812" s="125"/>
      <c r="AT812" s="125"/>
      <c r="AU812" s="125"/>
      <c r="AV812" s="125"/>
      <c r="AW812" s="125"/>
      <c r="AX812" s="125"/>
      <c r="AY812" s="125"/>
      <c r="AZ812" s="125"/>
      <c r="BA812" s="125"/>
      <c r="BB812" s="125"/>
      <c r="BC812" s="125"/>
      <c r="BD812" s="125"/>
      <c r="BE812" s="125"/>
      <c r="BF812" s="125"/>
    </row>
    <row r="813" spans="1:58" ht="15.75" customHeight="1">
      <c r="A813" s="125"/>
      <c r="B813" s="125"/>
      <c r="C813" s="125"/>
      <c r="D813" s="125"/>
      <c r="E813" s="125"/>
      <c r="F813" s="125"/>
      <c r="G813" s="125"/>
      <c r="H813" s="125"/>
      <c r="I813" s="125"/>
      <c r="J813" s="125"/>
      <c r="K813" s="125"/>
      <c r="L813" s="125"/>
      <c r="M813" s="125"/>
      <c r="N813" s="125"/>
      <c r="O813" s="125"/>
      <c r="P813" s="125"/>
      <c r="Q813" s="125"/>
      <c r="R813" s="125"/>
      <c r="S813" s="125"/>
      <c r="T813" s="125"/>
      <c r="U813" s="125"/>
      <c r="V813" s="125"/>
      <c r="W813" s="125"/>
      <c r="X813" s="125"/>
      <c r="Y813" s="125"/>
      <c r="Z813" s="125"/>
      <c r="AA813" s="125"/>
      <c r="AB813" s="125"/>
      <c r="AC813" s="125"/>
      <c r="AD813" s="125"/>
      <c r="AE813" s="125"/>
      <c r="AF813" s="125"/>
      <c r="AG813" s="125"/>
      <c r="AH813" s="125"/>
      <c r="AI813" s="125"/>
      <c r="AJ813" s="125"/>
      <c r="AK813" s="125"/>
      <c r="AL813" s="125"/>
      <c r="AM813" s="125"/>
      <c r="AN813" s="125"/>
      <c r="AO813" s="125"/>
      <c r="AP813" s="125"/>
      <c r="AQ813" s="125"/>
      <c r="AR813" s="125"/>
      <c r="AS813" s="125"/>
      <c r="AT813" s="125"/>
      <c r="AU813" s="125"/>
      <c r="AV813" s="125"/>
      <c r="AW813" s="125"/>
      <c r="AX813" s="125"/>
      <c r="AY813" s="125"/>
      <c r="AZ813" s="125"/>
      <c r="BA813" s="125"/>
      <c r="BB813" s="125"/>
      <c r="BC813" s="125"/>
      <c r="BD813" s="125"/>
      <c r="BE813" s="125"/>
      <c r="BF813" s="125"/>
    </row>
    <row r="814" spans="1:58" ht="15.75" customHeight="1">
      <c r="A814" s="125"/>
      <c r="B814" s="125"/>
      <c r="C814" s="125"/>
      <c r="D814" s="125"/>
      <c r="E814" s="125"/>
      <c r="F814" s="125"/>
      <c r="G814" s="125"/>
      <c r="H814" s="125"/>
      <c r="I814" s="125"/>
      <c r="J814" s="125"/>
      <c r="K814" s="125"/>
      <c r="L814" s="125"/>
      <c r="M814" s="125"/>
      <c r="N814" s="125"/>
      <c r="O814" s="125"/>
      <c r="P814" s="125"/>
      <c r="Q814" s="125"/>
      <c r="R814" s="125"/>
      <c r="S814" s="125"/>
      <c r="T814" s="125"/>
      <c r="U814" s="125"/>
      <c r="V814" s="125"/>
      <c r="W814" s="125"/>
      <c r="X814" s="125"/>
      <c r="Y814" s="125"/>
      <c r="Z814" s="125"/>
      <c r="AA814" s="125"/>
      <c r="AB814" s="125"/>
      <c r="AC814" s="125"/>
      <c r="AD814" s="125"/>
      <c r="AE814" s="125"/>
      <c r="AF814" s="125"/>
      <c r="AG814" s="125"/>
      <c r="AH814" s="125"/>
      <c r="AI814" s="125"/>
      <c r="AJ814" s="125"/>
      <c r="AK814" s="125"/>
      <c r="AL814" s="125"/>
      <c r="AM814" s="125"/>
      <c r="AN814" s="125"/>
      <c r="AO814" s="125"/>
      <c r="AP814" s="125"/>
      <c r="AQ814" s="125"/>
      <c r="AR814" s="125"/>
      <c r="AS814" s="125"/>
      <c r="AT814" s="125"/>
      <c r="AU814" s="125"/>
      <c r="AV814" s="125"/>
      <c r="AW814" s="125"/>
      <c r="AX814" s="125"/>
      <c r="AY814" s="125"/>
      <c r="AZ814" s="125"/>
      <c r="BA814" s="125"/>
      <c r="BB814" s="125"/>
      <c r="BC814" s="125"/>
      <c r="BD814" s="125"/>
      <c r="BE814" s="125"/>
      <c r="BF814" s="125"/>
    </row>
    <row r="815" spans="1:58" ht="15.75" customHeight="1">
      <c r="A815" s="125"/>
      <c r="B815" s="125"/>
      <c r="C815" s="125"/>
      <c r="D815" s="125"/>
      <c r="E815" s="125"/>
      <c r="F815" s="125"/>
      <c r="G815" s="125"/>
      <c r="H815" s="125"/>
      <c r="I815" s="125"/>
      <c r="J815" s="125"/>
      <c r="K815" s="125"/>
      <c r="L815" s="125"/>
      <c r="M815" s="125"/>
      <c r="N815" s="125"/>
      <c r="O815" s="125"/>
      <c r="P815" s="125"/>
      <c r="Q815" s="125"/>
      <c r="R815" s="125"/>
      <c r="S815" s="125"/>
      <c r="T815" s="125"/>
      <c r="U815" s="125"/>
      <c r="V815" s="125"/>
      <c r="W815" s="125"/>
      <c r="X815" s="125"/>
      <c r="Y815" s="125"/>
      <c r="Z815" s="125"/>
      <c r="AA815" s="125"/>
      <c r="AB815" s="125"/>
      <c r="AC815" s="125"/>
      <c r="AD815" s="125"/>
      <c r="AE815" s="125"/>
      <c r="AF815" s="125"/>
      <c r="AG815" s="125"/>
      <c r="AH815" s="125"/>
      <c r="AI815" s="125"/>
      <c r="AJ815" s="125"/>
      <c r="AK815" s="125"/>
      <c r="AL815" s="125"/>
      <c r="AM815" s="125"/>
      <c r="AN815" s="125"/>
      <c r="AO815" s="125"/>
      <c r="AP815" s="125"/>
      <c r="AQ815" s="125"/>
      <c r="AR815" s="125"/>
      <c r="AS815" s="125"/>
      <c r="AT815" s="125"/>
      <c r="AU815" s="125"/>
      <c r="AV815" s="125"/>
      <c r="AW815" s="125"/>
      <c r="AX815" s="125"/>
      <c r="AY815" s="125"/>
      <c r="AZ815" s="125"/>
      <c r="BA815" s="125"/>
      <c r="BB815" s="125"/>
      <c r="BC815" s="125"/>
      <c r="BD815" s="125"/>
      <c r="BE815" s="125"/>
      <c r="BF815" s="125"/>
    </row>
    <row r="816" spans="1:58" ht="15.75" customHeight="1">
      <c r="A816" s="125"/>
      <c r="B816" s="125"/>
      <c r="C816" s="125"/>
      <c r="D816" s="125"/>
      <c r="E816" s="125"/>
      <c r="F816" s="125"/>
      <c r="G816" s="125"/>
      <c r="H816" s="125"/>
      <c r="I816" s="125"/>
      <c r="J816" s="125"/>
      <c r="K816" s="125"/>
      <c r="L816" s="125"/>
      <c r="M816" s="125"/>
      <c r="N816" s="125"/>
      <c r="O816" s="125"/>
      <c r="P816" s="125"/>
      <c r="Q816" s="125"/>
      <c r="R816" s="125"/>
      <c r="S816" s="125"/>
      <c r="T816" s="125"/>
      <c r="U816" s="125"/>
      <c r="V816" s="125"/>
      <c r="W816" s="125"/>
      <c r="X816" s="125"/>
      <c r="Y816" s="125"/>
      <c r="Z816" s="125"/>
      <c r="AA816" s="125"/>
      <c r="AB816" s="125"/>
      <c r="AC816" s="125"/>
      <c r="AD816" s="125"/>
      <c r="AE816" s="125"/>
      <c r="AF816" s="125"/>
      <c r="AG816" s="125"/>
      <c r="AH816" s="125"/>
      <c r="AI816" s="125"/>
      <c r="AJ816" s="125"/>
      <c r="AK816" s="125"/>
      <c r="AL816" s="125"/>
      <c r="AM816" s="125"/>
      <c r="AN816" s="125"/>
      <c r="AO816" s="125"/>
      <c r="AP816" s="125"/>
      <c r="AQ816" s="125"/>
      <c r="AR816" s="125"/>
      <c r="AS816" s="125"/>
      <c r="AT816" s="125"/>
      <c r="AU816" s="125"/>
      <c r="AV816" s="125"/>
      <c r="AW816" s="125"/>
      <c r="AX816" s="125"/>
      <c r="AY816" s="125"/>
      <c r="AZ816" s="125"/>
      <c r="BA816" s="125"/>
      <c r="BB816" s="125"/>
      <c r="BC816" s="125"/>
      <c r="BD816" s="125"/>
      <c r="BE816" s="125"/>
      <c r="BF816" s="125"/>
    </row>
    <row r="817" spans="1:58" ht="15.75" customHeight="1">
      <c r="A817" s="125"/>
      <c r="B817" s="125"/>
      <c r="C817" s="125"/>
      <c r="D817" s="125"/>
      <c r="E817" s="125"/>
      <c r="F817" s="125"/>
      <c r="G817" s="125"/>
      <c r="H817" s="125"/>
      <c r="I817" s="125"/>
      <c r="J817" s="125"/>
      <c r="K817" s="125"/>
      <c r="L817" s="125"/>
      <c r="M817" s="125"/>
      <c r="N817" s="125"/>
      <c r="O817" s="125"/>
      <c r="P817" s="125"/>
      <c r="Q817" s="125"/>
      <c r="R817" s="125"/>
      <c r="S817" s="125"/>
      <c r="T817" s="125"/>
      <c r="U817" s="125"/>
      <c r="V817" s="125"/>
      <c r="W817" s="125"/>
      <c r="X817" s="125"/>
      <c r="Y817" s="125"/>
      <c r="Z817" s="125"/>
      <c r="AA817" s="125"/>
      <c r="AB817" s="125"/>
      <c r="AC817" s="125"/>
      <c r="AD817" s="125"/>
      <c r="AE817" s="125"/>
      <c r="AF817" s="125"/>
      <c r="AG817" s="125"/>
      <c r="AH817" s="125"/>
      <c r="AI817" s="125"/>
      <c r="AJ817" s="125"/>
      <c r="AK817" s="125"/>
      <c r="AL817" s="125"/>
      <c r="AM817" s="125"/>
      <c r="AN817" s="125"/>
      <c r="AO817" s="125"/>
      <c r="AP817" s="125"/>
      <c r="AQ817" s="125"/>
      <c r="AR817" s="125"/>
      <c r="AS817" s="125"/>
      <c r="AT817" s="125"/>
      <c r="AU817" s="125"/>
      <c r="AV817" s="125"/>
      <c r="AW817" s="125"/>
      <c r="AX817" s="125"/>
      <c r="AY817" s="125"/>
      <c r="AZ817" s="125"/>
      <c r="BA817" s="125"/>
      <c r="BB817" s="125"/>
      <c r="BC817" s="125"/>
      <c r="BD817" s="125"/>
      <c r="BE817" s="125"/>
      <c r="BF817" s="125"/>
    </row>
    <row r="818" spans="1:58" ht="15.75" customHeight="1">
      <c r="A818" s="125"/>
      <c r="B818" s="125"/>
      <c r="C818" s="125"/>
      <c r="D818" s="125"/>
      <c r="E818" s="125"/>
      <c r="F818" s="125"/>
      <c r="G818" s="125"/>
      <c r="H818" s="125"/>
      <c r="I818" s="125"/>
      <c r="J818" s="125"/>
      <c r="K818" s="125"/>
      <c r="L818" s="125"/>
      <c r="M818" s="125"/>
      <c r="N818" s="125"/>
      <c r="O818" s="125"/>
      <c r="P818" s="125"/>
      <c r="Q818" s="125"/>
      <c r="R818" s="125"/>
      <c r="S818" s="125"/>
      <c r="T818" s="125"/>
      <c r="U818" s="125"/>
      <c r="V818" s="125"/>
      <c r="W818" s="125"/>
      <c r="X818" s="125"/>
      <c r="Y818" s="125"/>
      <c r="Z818" s="125"/>
      <c r="AA818" s="125"/>
      <c r="AB818" s="125"/>
      <c r="AC818" s="125"/>
      <c r="AD818" s="125"/>
      <c r="AE818" s="125"/>
      <c r="AF818" s="125"/>
      <c r="AG818" s="125"/>
      <c r="AH818" s="125"/>
      <c r="AI818" s="125"/>
      <c r="AJ818" s="125"/>
      <c r="AK818" s="125"/>
      <c r="AL818" s="125"/>
      <c r="AM818" s="125"/>
      <c r="AN818" s="125"/>
      <c r="AO818" s="125"/>
      <c r="AP818" s="125"/>
      <c r="AQ818" s="125"/>
      <c r="AR818" s="125"/>
      <c r="AS818" s="125"/>
      <c r="AT818" s="125"/>
      <c r="AU818" s="125"/>
      <c r="AV818" s="125"/>
      <c r="AW818" s="125"/>
      <c r="AX818" s="125"/>
      <c r="AY818" s="125"/>
      <c r="AZ818" s="125"/>
      <c r="BA818" s="125"/>
      <c r="BB818" s="125"/>
      <c r="BC818" s="125"/>
      <c r="BD818" s="125"/>
      <c r="BE818" s="125"/>
      <c r="BF818" s="125"/>
    </row>
    <row r="819" spans="1:58" ht="15.75" customHeight="1">
      <c r="A819" s="125"/>
      <c r="B819" s="125"/>
      <c r="C819" s="125"/>
      <c r="D819" s="125"/>
      <c r="E819" s="125"/>
      <c r="F819" s="125"/>
      <c r="G819" s="125"/>
      <c r="H819" s="125"/>
      <c r="I819" s="125"/>
      <c r="J819" s="125"/>
      <c r="K819" s="125"/>
      <c r="L819" s="125"/>
      <c r="M819" s="125"/>
      <c r="N819" s="125"/>
      <c r="O819" s="125"/>
      <c r="P819" s="125"/>
      <c r="Q819" s="125"/>
      <c r="R819" s="125"/>
      <c r="S819" s="125"/>
      <c r="T819" s="125"/>
      <c r="U819" s="125"/>
      <c r="V819" s="125"/>
      <c r="W819" s="125"/>
      <c r="X819" s="125"/>
      <c r="Y819" s="125"/>
      <c r="Z819" s="125"/>
      <c r="AA819" s="125"/>
      <c r="AB819" s="125"/>
      <c r="AC819" s="125"/>
      <c r="AD819" s="125"/>
      <c r="AE819" s="125"/>
      <c r="AF819" s="125"/>
      <c r="AG819" s="125"/>
      <c r="AH819" s="125"/>
      <c r="AI819" s="125"/>
      <c r="AJ819" s="125"/>
      <c r="AK819" s="125"/>
      <c r="AL819" s="125"/>
      <c r="AM819" s="125"/>
      <c r="AN819" s="125"/>
      <c r="AO819" s="125"/>
      <c r="AP819" s="125"/>
      <c r="AQ819" s="125"/>
      <c r="AR819" s="125"/>
      <c r="AS819" s="125"/>
      <c r="AT819" s="125"/>
      <c r="AU819" s="125"/>
      <c r="AV819" s="125"/>
      <c r="AW819" s="125"/>
      <c r="AX819" s="125"/>
      <c r="AY819" s="125"/>
      <c r="AZ819" s="125"/>
      <c r="BA819" s="125"/>
      <c r="BB819" s="125"/>
      <c r="BC819" s="125"/>
      <c r="BD819" s="125"/>
      <c r="BE819" s="125"/>
      <c r="BF819" s="125"/>
    </row>
    <row r="820" spans="1:58" ht="15.75" customHeight="1">
      <c r="A820" s="125"/>
      <c r="B820" s="125"/>
      <c r="C820" s="125"/>
      <c r="D820" s="125"/>
      <c r="E820" s="125"/>
      <c r="F820" s="125"/>
      <c r="G820" s="125"/>
      <c r="H820" s="125"/>
      <c r="I820" s="125"/>
      <c r="J820" s="125"/>
      <c r="K820" s="125"/>
      <c r="L820" s="125"/>
      <c r="M820" s="125"/>
      <c r="N820" s="125"/>
      <c r="O820" s="125"/>
      <c r="P820" s="125"/>
      <c r="Q820" s="125"/>
      <c r="R820" s="125"/>
      <c r="S820" s="125"/>
      <c r="T820" s="125"/>
      <c r="U820" s="125"/>
      <c r="V820" s="125"/>
      <c r="W820" s="125"/>
      <c r="X820" s="125"/>
      <c r="Y820" s="125"/>
      <c r="Z820" s="125"/>
      <c r="AA820" s="125"/>
      <c r="AB820" s="125"/>
      <c r="AC820" s="125"/>
      <c r="AD820" s="125"/>
      <c r="AE820" s="125"/>
      <c r="AF820" s="125"/>
      <c r="AG820" s="125"/>
      <c r="AH820" s="125"/>
      <c r="AI820" s="125"/>
      <c r="AJ820" s="125"/>
      <c r="AK820" s="125"/>
      <c r="AL820" s="125"/>
      <c r="AM820" s="125"/>
      <c r="AN820" s="125"/>
      <c r="AO820" s="125"/>
      <c r="AP820" s="125"/>
      <c r="AQ820" s="125"/>
      <c r="AR820" s="125"/>
      <c r="AS820" s="125"/>
      <c r="AT820" s="125"/>
      <c r="AU820" s="125"/>
      <c r="AV820" s="125"/>
      <c r="AW820" s="125"/>
      <c r="AX820" s="125"/>
      <c r="AY820" s="125"/>
      <c r="AZ820" s="125"/>
      <c r="BA820" s="125"/>
      <c r="BB820" s="125"/>
      <c r="BC820" s="125"/>
      <c r="BD820" s="125"/>
      <c r="BE820" s="125"/>
      <c r="BF820" s="125"/>
    </row>
    <row r="821" spans="1:58" ht="15.75" customHeight="1">
      <c r="A821" s="125"/>
      <c r="B821" s="125"/>
      <c r="C821" s="125"/>
      <c r="D821" s="125"/>
      <c r="E821" s="125"/>
      <c r="F821" s="125"/>
      <c r="G821" s="125"/>
      <c r="H821" s="125"/>
      <c r="I821" s="125"/>
      <c r="J821" s="125"/>
      <c r="K821" s="125"/>
      <c r="L821" s="125"/>
      <c r="M821" s="125"/>
      <c r="N821" s="125"/>
      <c r="O821" s="125"/>
      <c r="P821" s="125"/>
      <c r="Q821" s="125"/>
      <c r="R821" s="125"/>
      <c r="S821" s="125"/>
      <c r="T821" s="125"/>
      <c r="U821" s="125"/>
      <c r="V821" s="125"/>
      <c r="W821" s="125"/>
      <c r="X821" s="125"/>
      <c r="Y821" s="125"/>
      <c r="Z821" s="125"/>
      <c r="AA821" s="125"/>
      <c r="AB821" s="125"/>
      <c r="AC821" s="125"/>
      <c r="AD821" s="125"/>
      <c r="AE821" s="125"/>
      <c r="AF821" s="125"/>
      <c r="AG821" s="125"/>
      <c r="AH821" s="125"/>
      <c r="AI821" s="125"/>
      <c r="AJ821" s="125"/>
      <c r="AK821" s="125"/>
      <c r="AL821" s="125"/>
      <c r="AM821" s="125"/>
      <c r="AN821" s="125"/>
      <c r="AO821" s="125"/>
      <c r="AP821" s="125"/>
      <c r="AQ821" s="125"/>
      <c r="AR821" s="125"/>
      <c r="AS821" s="125"/>
      <c r="AT821" s="125"/>
      <c r="AU821" s="125"/>
      <c r="AV821" s="125"/>
      <c r="AW821" s="125"/>
      <c r="AX821" s="125"/>
      <c r="AY821" s="125"/>
      <c r="AZ821" s="125"/>
      <c r="BA821" s="125"/>
      <c r="BB821" s="125"/>
      <c r="BC821" s="125"/>
      <c r="BD821" s="125"/>
      <c r="BE821" s="125"/>
      <c r="BF821" s="125"/>
    </row>
    <row r="822" spans="1:58" ht="15.75" customHeight="1">
      <c r="A822" s="125"/>
      <c r="B822" s="125"/>
      <c r="C822" s="125"/>
      <c r="D822" s="125"/>
      <c r="E822" s="125"/>
      <c r="F822" s="125"/>
      <c r="G822" s="125"/>
      <c r="H822" s="125"/>
      <c r="I822" s="125"/>
      <c r="J822" s="125"/>
      <c r="K822" s="125"/>
      <c r="L822" s="125"/>
      <c r="M822" s="125"/>
      <c r="N822" s="125"/>
      <c r="O822" s="125"/>
      <c r="P822" s="125"/>
      <c r="Q822" s="125"/>
      <c r="R822" s="125"/>
      <c r="S822" s="125"/>
      <c r="T822" s="125"/>
      <c r="U822" s="125"/>
      <c r="V822" s="125"/>
      <c r="W822" s="125"/>
      <c r="X822" s="125"/>
      <c r="Y822" s="125"/>
      <c r="Z822" s="125"/>
      <c r="AA822" s="125"/>
      <c r="AB822" s="125"/>
      <c r="AC822" s="125"/>
      <c r="AD822" s="125"/>
      <c r="AE822" s="125"/>
      <c r="AF822" s="125"/>
      <c r="AG822" s="125"/>
      <c r="AH822" s="125"/>
      <c r="AI822" s="125"/>
      <c r="AJ822" s="125"/>
      <c r="AK822" s="125"/>
      <c r="AL822" s="125"/>
      <c r="AM822" s="125"/>
      <c r="AN822" s="125"/>
      <c r="AO822" s="125"/>
      <c r="AP822" s="125"/>
      <c r="AQ822" s="125"/>
      <c r="AR822" s="125"/>
      <c r="AS822" s="125"/>
      <c r="AT822" s="125"/>
      <c r="AU822" s="125"/>
      <c r="AV822" s="125"/>
      <c r="AW822" s="125"/>
      <c r="AX822" s="125"/>
      <c r="AY822" s="125"/>
      <c r="AZ822" s="125"/>
      <c r="BA822" s="125"/>
      <c r="BB822" s="125"/>
      <c r="BC822" s="125"/>
      <c r="BD822" s="125"/>
      <c r="BE822" s="125"/>
      <c r="BF822" s="125"/>
    </row>
    <row r="823" spans="1:58" ht="15.75" customHeight="1">
      <c r="A823" s="125"/>
      <c r="B823" s="125"/>
      <c r="C823" s="125"/>
      <c r="D823" s="125"/>
      <c r="E823" s="125"/>
      <c r="F823" s="125"/>
      <c r="G823" s="125"/>
      <c r="H823" s="125"/>
      <c r="I823" s="125"/>
      <c r="J823" s="125"/>
      <c r="K823" s="125"/>
      <c r="L823" s="125"/>
      <c r="M823" s="125"/>
      <c r="N823" s="125"/>
      <c r="O823" s="125"/>
      <c r="P823" s="125"/>
      <c r="Q823" s="125"/>
      <c r="R823" s="125"/>
      <c r="S823" s="125"/>
      <c r="T823" s="125"/>
      <c r="U823" s="125"/>
      <c r="V823" s="125"/>
      <c r="W823" s="125"/>
      <c r="X823" s="125"/>
      <c r="Y823" s="125"/>
      <c r="Z823" s="125"/>
      <c r="AA823" s="125"/>
      <c r="AB823" s="125"/>
      <c r="AC823" s="125"/>
      <c r="AD823" s="125"/>
      <c r="AE823" s="125"/>
      <c r="AF823" s="125"/>
      <c r="AG823" s="125"/>
      <c r="AH823" s="125"/>
      <c r="AI823" s="125"/>
      <c r="AJ823" s="125"/>
      <c r="AK823" s="125"/>
      <c r="AL823" s="125"/>
      <c r="AM823" s="125"/>
      <c r="AN823" s="125"/>
      <c r="AO823" s="125"/>
      <c r="AP823" s="125"/>
      <c r="AQ823" s="125"/>
      <c r="AR823" s="125"/>
      <c r="AS823" s="125"/>
      <c r="AT823" s="125"/>
      <c r="AU823" s="125"/>
      <c r="AV823" s="125"/>
      <c r="AW823" s="125"/>
      <c r="AX823" s="125"/>
      <c r="AY823" s="125"/>
      <c r="AZ823" s="125"/>
      <c r="BA823" s="125"/>
      <c r="BB823" s="125"/>
      <c r="BC823" s="125"/>
      <c r="BD823" s="125"/>
      <c r="BE823" s="125"/>
      <c r="BF823" s="125"/>
    </row>
    <row r="824" spans="1:58" ht="15.75" customHeight="1">
      <c r="A824" s="125"/>
      <c r="B824" s="125"/>
      <c r="C824" s="125"/>
      <c r="D824" s="125"/>
      <c r="E824" s="125"/>
      <c r="F824" s="125"/>
      <c r="G824" s="125"/>
      <c r="H824" s="125"/>
      <c r="I824" s="125"/>
      <c r="J824" s="125"/>
      <c r="K824" s="125"/>
      <c r="L824" s="125"/>
      <c r="M824" s="125"/>
      <c r="N824" s="125"/>
      <c r="O824" s="125"/>
      <c r="P824" s="125"/>
      <c r="Q824" s="125"/>
      <c r="R824" s="125"/>
      <c r="S824" s="125"/>
      <c r="T824" s="125"/>
      <c r="U824" s="125"/>
      <c r="V824" s="125"/>
      <c r="W824" s="125"/>
      <c r="X824" s="125"/>
      <c r="Y824" s="125"/>
      <c r="Z824" s="125"/>
      <c r="AA824" s="125"/>
      <c r="AB824" s="125"/>
      <c r="AC824" s="125"/>
      <c r="AD824" s="125"/>
      <c r="AE824" s="125"/>
      <c r="AF824" s="125"/>
      <c r="AG824" s="125"/>
      <c r="AH824" s="125"/>
      <c r="AI824" s="125"/>
      <c r="AJ824" s="125"/>
      <c r="AK824" s="125"/>
      <c r="AL824" s="125"/>
      <c r="AM824" s="125"/>
      <c r="AN824" s="125"/>
      <c r="AO824" s="125"/>
      <c r="AP824" s="125"/>
      <c r="AQ824" s="125"/>
      <c r="AR824" s="125"/>
      <c r="AS824" s="125"/>
      <c r="AT824" s="125"/>
      <c r="AU824" s="125"/>
      <c r="AV824" s="125"/>
      <c r="AW824" s="125"/>
      <c r="AX824" s="125"/>
      <c r="AY824" s="125"/>
      <c r="AZ824" s="125"/>
      <c r="BA824" s="125"/>
      <c r="BB824" s="125"/>
      <c r="BC824" s="125"/>
      <c r="BD824" s="125"/>
      <c r="BE824" s="125"/>
      <c r="BF824" s="125"/>
    </row>
    <row r="825" spans="1:58" ht="15.75" customHeight="1">
      <c r="A825" s="125"/>
      <c r="B825" s="125"/>
      <c r="C825" s="125"/>
      <c r="D825" s="125"/>
      <c r="E825" s="125"/>
      <c r="F825" s="125"/>
      <c r="G825" s="125"/>
      <c r="H825" s="125"/>
      <c r="I825" s="125"/>
      <c r="J825" s="125"/>
      <c r="K825" s="125"/>
      <c r="L825" s="125"/>
      <c r="M825" s="125"/>
      <c r="N825" s="125"/>
      <c r="O825" s="125"/>
      <c r="P825" s="125"/>
      <c r="Q825" s="125"/>
      <c r="R825" s="125"/>
      <c r="S825" s="125"/>
      <c r="T825" s="125"/>
      <c r="U825" s="125"/>
      <c r="V825" s="125"/>
      <c r="W825" s="125"/>
      <c r="X825" s="125"/>
      <c r="Y825" s="125"/>
      <c r="Z825" s="125"/>
      <c r="AA825" s="125"/>
      <c r="AB825" s="125"/>
      <c r="AC825" s="125"/>
      <c r="AD825" s="125"/>
      <c r="AE825" s="125"/>
      <c r="AF825" s="125"/>
      <c r="AG825" s="125"/>
      <c r="AH825" s="125"/>
      <c r="AI825" s="125"/>
      <c r="AJ825" s="125"/>
      <c r="AK825" s="125"/>
      <c r="AL825" s="125"/>
      <c r="AM825" s="125"/>
      <c r="AN825" s="125"/>
      <c r="AO825" s="125"/>
      <c r="AP825" s="125"/>
      <c r="AQ825" s="125"/>
      <c r="AR825" s="125"/>
      <c r="AS825" s="125"/>
      <c r="AT825" s="125"/>
      <c r="AU825" s="125"/>
      <c r="AV825" s="125"/>
      <c r="AW825" s="125"/>
      <c r="AX825" s="125"/>
      <c r="AY825" s="125"/>
      <c r="AZ825" s="125"/>
      <c r="BA825" s="125"/>
      <c r="BB825" s="125"/>
      <c r="BC825" s="125"/>
      <c r="BD825" s="125"/>
      <c r="BE825" s="125"/>
      <c r="BF825" s="125"/>
    </row>
    <row r="826" spans="1:58" ht="15.75" customHeight="1">
      <c r="A826" s="125"/>
      <c r="B826" s="125"/>
      <c r="C826" s="125"/>
      <c r="D826" s="125"/>
      <c r="E826" s="125"/>
      <c r="F826" s="125"/>
      <c r="G826" s="125"/>
      <c r="H826" s="125"/>
      <c r="I826" s="125"/>
      <c r="J826" s="125"/>
      <c r="K826" s="125"/>
      <c r="L826" s="125"/>
      <c r="M826" s="125"/>
      <c r="N826" s="125"/>
      <c r="O826" s="125"/>
      <c r="P826" s="125"/>
      <c r="Q826" s="125"/>
      <c r="R826" s="125"/>
      <c r="S826" s="125"/>
      <c r="T826" s="125"/>
      <c r="U826" s="125"/>
      <c r="V826" s="125"/>
      <c r="W826" s="125"/>
      <c r="X826" s="125"/>
      <c r="Y826" s="125"/>
      <c r="Z826" s="125"/>
      <c r="AA826" s="125"/>
      <c r="AB826" s="125"/>
      <c r="AC826" s="125"/>
      <c r="AD826" s="125"/>
      <c r="AE826" s="125"/>
      <c r="AF826" s="125"/>
      <c r="AG826" s="125"/>
      <c r="AH826" s="125"/>
      <c r="AI826" s="125"/>
      <c r="AJ826" s="125"/>
      <c r="AK826" s="125"/>
      <c r="AL826" s="125"/>
      <c r="AM826" s="125"/>
      <c r="AN826" s="125"/>
      <c r="AO826" s="125"/>
      <c r="AP826" s="125"/>
      <c r="AQ826" s="125"/>
      <c r="AR826" s="125"/>
      <c r="AS826" s="125"/>
      <c r="AT826" s="125"/>
      <c r="AU826" s="125"/>
      <c r="AV826" s="125"/>
      <c r="AW826" s="125"/>
      <c r="AX826" s="125"/>
      <c r="AY826" s="125"/>
      <c r="AZ826" s="125"/>
      <c r="BA826" s="125"/>
      <c r="BB826" s="125"/>
      <c r="BC826" s="125"/>
      <c r="BD826" s="125"/>
      <c r="BE826" s="125"/>
      <c r="BF826" s="125"/>
    </row>
    <row r="827" spans="1:58" ht="15.75" customHeight="1">
      <c r="A827" s="125"/>
      <c r="B827" s="125"/>
      <c r="C827" s="125"/>
      <c r="D827" s="125"/>
      <c r="E827" s="125"/>
      <c r="F827" s="125"/>
      <c r="G827" s="125"/>
      <c r="H827" s="125"/>
      <c r="I827" s="125"/>
      <c r="J827" s="125"/>
      <c r="K827" s="125"/>
      <c r="L827" s="125"/>
      <c r="M827" s="125"/>
      <c r="N827" s="125"/>
      <c r="O827" s="125"/>
      <c r="P827" s="125"/>
      <c r="Q827" s="125"/>
      <c r="R827" s="125"/>
      <c r="S827" s="125"/>
      <c r="T827" s="125"/>
      <c r="U827" s="125"/>
      <c r="V827" s="125"/>
      <c r="W827" s="125"/>
      <c r="X827" s="125"/>
      <c r="Y827" s="125"/>
      <c r="Z827" s="125"/>
      <c r="AA827" s="125"/>
      <c r="AB827" s="125"/>
      <c r="AC827" s="125"/>
      <c r="AD827" s="125"/>
      <c r="AE827" s="125"/>
      <c r="AF827" s="125"/>
      <c r="AG827" s="125"/>
      <c r="AH827" s="125"/>
      <c r="AI827" s="125"/>
      <c r="AJ827" s="125"/>
      <c r="AK827" s="125"/>
      <c r="AL827" s="125"/>
      <c r="AM827" s="125"/>
      <c r="AN827" s="125"/>
      <c r="AO827" s="125"/>
      <c r="AP827" s="125"/>
      <c r="AQ827" s="125"/>
      <c r="AR827" s="125"/>
      <c r="AS827" s="125"/>
      <c r="AT827" s="125"/>
      <c r="AU827" s="125"/>
      <c r="AV827" s="125"/>
      <c r="AW827" s="125"/>
      <c r="AX827" s="125"/>
      <c r="AY827" s="125"/>
      <c r="AZ827" s="125"/>
      <c r="BA827" s="125"/>
      <c r="BB827" s="125"/>
      <c r="BC827" s="125"/>
      <c r="BD827" s="125"/>
      <c r="BE827" s="125"/>
      <c r="BF827" s="125"/>
    </row>
    <row r="828" spans="1:58" ht="15.75" customHeight="1">
      <c r="A828" s="125"/>
      <c r="B828" s="125"/>
      <c r="C828" s="125"/>
      <c r="D828" s="125"/>
      <c r="E828" s="125"/>
      <c r="F828" s="125"/>
      <c r="G828" s="125"/>
      <c r="H828" s="125"/>
      <c r="I828" s="125"/>
      <c r="J828" s="125"/>
      <c r="K828" s="125"/>
      <c r="L828" s="125"/>
      <c r="M828" s="125"/>
      <c r="N828" s="125"/>
      <c r="O828" s="125"/>
      <c r="P828" s="125"/>
      <c r="Q828" s="125"/>
      <c r="R828" s="125"/>
      <c r="S828" s="125"/>
      <c r="T828" s="125"/>
      <c r="U828" s="125"/>
      <c r="V828" s="125"/>
      <c r="W828" s="125"/>
      <c r="X828" s="125"/>
      <c r="Y828" s="125"/>
      <c r="Z828" s="125"/>
      <c r="AA828" s="125"/>
      <c r="AB828" s="125"/>
      <c r="AC828" s="125"/>
      <c r="AD828" s="125"/>
      <c r="AE828" s="125"/>
      <c r="AF828" s="125"/>
      <c r="AG828" s="125"/>
      <c r="AH828" s="125"/>
      <c r="AI828" s="125"/>
      <c r="AJ828" s="125"/>
      <c r="AK828" s="125"/>
      <c r="AL828" s="125"/>
      <c r="AM828" s="125"/>
      <c r="AN828" s="125"/>
      <c r="AO828" s="125"/>
      <c r="AP828" s="125"/>
      <c r="AQ828" s="125"/>
      <c r="AR828" s="125"/>
      <c r="AS828" s="125"/>
      <c r="AT828" s="125"/>
      <c r="AU828" s="125"/>
      <c r="AV828" s="125"/>
      <c r="AW828" s="125"/>
      <c r="AX828" s="125"/>
      <c r="AY828" s="125"/>
      <c r="AZ828" s="125"/>
      <c r="BA828" s="125"/>
      <c r="BB828" s="125"/>
      <c r="BC828" s="125"/>
      <c r="BD828" s="125"/>
      <c r="BE828" s="125"/>
      <c r="BF828" s="125"/>
    </row>
    <row r="829" spans="1:58" ht="15.75" customHeight="1">
      <c r="A829" s="125"/>
      <c r="B829" s="125"/>
      <c r="C829" s="125"/>
      <c r="D829" s="125"/>
      <c r="E829" s="125"/>
      <c r="F829" s="125"/>
      <c r="G829" s="125"/>
      <c r="H829" s="125"/>
      <c r="I829" s="125"/>
      <c r="J829" s="125"/>
      <c r="K829" s="125"/>
      <c r="L829" s="125"/>
      <c r="M829" s="125"/>
      <c r="N829" s="125"/>
      <c r="O829" s="125"/>
      <c r="P829" s="125"/>
      <c r="Q829" s="125"/>
      <c r="R829" s="125"/>
      <c r="S829" s="125"/>
      <c r="T829" s="125"/>
      <c r="U829" s="125"/>
      <c r="V829" s="125"/>
      <c r="W829" s="125"/>
      <c r="X829" s="125"/>
      <c r="Y829" s="125"/>
      <c r="Z829" s="125"/>
      <c r="AA829" s="125"/>
      <c r="AB829" s="125"/>
      <c r="AC829" s="125"/>
      <c r="AD829" s="125"/>
      <c r="AE829" s="125"/>
      <c r="AF829" s="125"/>
      <c r="AG829" s="125"/>
      <c r="AH829" s="125"/>
      <c r="AI829" s="125"/>
      <c r="AJ829" s="125"/>
      <c r="AK829" s="125"/>
      <c r="AL829" s="125"/>
      <c r="AM829" s="125"/>
      <c r="AN829" s="125"/>
      <c r="AO829" s="125"/>
      <c r="AP829" s="125"/>
      <c r="AQ829" s="125"/>
      <c r="AR829" s="125"/>
      <c r="AS829" s="125"/>
      <c r="AT829" s="125"/>
      <c r="AU829" s="125"/>
      <c r="AV829" s="125"/>
      <c r="AW829" s="125"/>
      <c r="AX829" s="125"/>
      <c r="AY829" s="125"/>
      <c r="AZ829" s="125"/>
      <c r="BA829" s="125"/>
      <c r="BB829" s="125"/>
      <c r="BC829" s="125"/>
      <c r="BD829" s="125"/>
      <c r="BE829" s="125"/>
      <c r="BF829" s="125"/>
    </row>
    <row r="830" spans="1:58" ht="15.75" customHeight="1">
      <c r="A830" s="125"/>
      <c r="B830" s="125"/>
      <c r="C830" s="125"/>
      <c r="D830" s="125"/>
      <c r="E830" s="125"/>
      <c r="F830" s="125"/>
      <c r="G830" s="125"/>
      <c r="H830" s="125"/>
      <c r="I830" s="125"/>
      <c r="J830" s="125"/>
      <c r="K830" s="125"/>
      <c r="L830" s="125"/>
      <c r="M830" s="125"/>
      <c r="N830" s="125"/>
      <c r="O830" s="125"/>
      <c r="P830" s="125"/>
      <c r="Q830" s="125"/>
      <c r="R830" s="125"/>
      <c r="S830" s="125"/>
      <c r="T830" s="125"/>
      <c r="U830" s="125"/>
      <c r="V830" s="125"/>
      <c r="W830" s="125"/>
      <c r="X830" s="125"/>
      <c r="Y830" s="125"/>
      <c r="Z830" s="125"/>
      <c r="AA830" s="125"/>
      <c r="AB830" s="125"/>
      <c r="AC830" s="125"/>
      <c r="AD830" s="125"/>
      <c r="AE830" s="125"/>
      <c r="AF830" s="125"/>
      <c r="AG830" s="125"/>
      <c r="AH830" s="125"/>
      <c r="AI830" s="125"/>
      <c r="AJ830" s="125"/>
      <c r="AK830" s="125"/>
      <c r="AL830" s="125"/>
      <c r="AM830" s="125"/>
      <c r="AN830" s="125"/>
      <c r="AO830" s="125"/>
      <c r="AP830" s="125"/>
      <c r="AQ830" s="125"/>
      <c r="AR830" s="125"/>
      <c r="AS830" s="125"/>
      <c r="AT830" s="125"/>
      <c r="AU830" s="125"/>
      <c r="AV830" s="125"/>
      <c r="AW830" s="125"/>
      <c r="AX830" s="125"/>
      <c r="AY830" s="125"/>
      <c r="AZ830" s="125"/>
      <c r="BA830" s="125"/>
      <c r="BB830" s="125"/>
      <c r="BC830" s="125"/>
      <c r="BD830" s="125"/>
      <c r="BE830" s="125"/>
      <c r="BF830" s="125"/>
    </row>
    <row r="831" spans="1:58" ht="15.75" customHeight="1">
      <c r="A831" s="125"/>
      <c r="B831" s="125"/>
      <c r="C831" s="125"/>
      <c r="D831" s="125"/>
      <c r="E831" s="125"/>
      <c r="F831" s="125"/>
      <c r="G831" s="125"/>
      <c r="H831" s="125"/>
      <c r="I831" s="125"/>
      <c r="J831" s="125"/>
      <c r="K831" s="125"/>
      <c r="L831" s="125"/>
      <c r="M831" s="125"/>
      <c r="N831" s="125"/>
      <c r="O831" s="125"/>
      <c r="P831" s="125"/>
      <c r="Q831" s="125"/>
      <c r="R831" s="125"/>
      <c r="S831" s="125"/>
      <c r="T831" s="125"/>
      <c r="U831" s="125"/>
      <c r="V831" s="125"/>
      <c r="W831" s="125"/>
      <c r="X831" s="125"/>
      <c r="Y831" s="125"/>
      <c r="Z831" s="125"/>
      <c r="AA831" s="125"/>
      <c r="AB831" s="125"/>
      <c r="AC831" s="125"/>
      <c r="AD831" s="125"/>
      <c r="AE831" s="125"/>
      <c r="AF831" s="125"/>
      <c r="AG831" s="125"/>
      <c r="AH831" s="125"/>
      <c r="AI831" s="125"/>
      <c r="AJ831" s="125"/>
      <c r="AK831" s="125"/>
      <c r="AL831" s="125"/>
      <c r="AM831" s="125"/>
      <c r="AN831" s="125"/>
      <c r="AO831" s="125"/>
      <c r="AP831" s="125"/>
      <c r="AQ831" s="125"/>
      <c r="AR831" s="125"/>
      <c r="AS831" s="125"/>
      <c r="AT831" s="125"/>
      <c r="AU831" s="125"/>
      <c r="AV831" s="125"/>
      <c r="AW831" s="125"/>
      <c r="AX831" s="125"/>
      <c r="AY831" s="125"/>
      <c r="AZ831" s="125"/>
      <c r="BA831" s="125"/>
      <c r="BB831" s="125"/>
      <c r="BC831" s="125"/>
      <c r="BD831" s="125"/>
      <c r="BE831" s="125"/>
      <c r="BF831" s="125"/>
    </row>
    <row r="832" spans="1:58" ht="15.75" customHeight="1">
      <c r="A832" s="125"/>
      <c r="B832" s="125"/>
      <c r="C832" s="125"/>
      <c r="D832" s="125"/>
      <c r="E832" s="125"/>
      <c r="F832" s="125"/>
      <c r="G832" s="125"/>
      <c r="H832" s="125"/>
      <c r="I832" s="125"/>
      <c r="J832" s="125"/>
      <c r="K832" s="125"/>
      <c r="L832" s="125"/>
      <c r="M832" s="125"/>
      <c r="N832" s="125"/>
      <c r="O832" s="125"/>
      <c r="P832" s="125"/>
      <c r="Q832" s="125"/>
      <c r="R832" s="125"/>
      <c r="S832" s="125"/>
      <c r="T832" s="125"/>
      <c r="U832" s="125"/>
      <c r="V832" s="125"/>
      <c r="W832" s="125"/>
      <c r="X832" s="125"/>
      <c r="Y832" s="125"/>
      <c r="Z832" s="125"/>
      <c r="AA832" s="125"/>
      <c r="AB832" s="125"/>
      <c r="AC832" s="125"/>
      <c r="AD832" s="125"/>
      <c r="AE832" s="125"/>
      <c r="AF832" s="125"/>
      <c r="AG832" s="125"/>
      <c r="AH832" s="125"/>
      <c r="AI832" s="125"/>
      <c r="AJ832" s="125"/>
      <c r="AK832" s="125"/>
      <c r="AL832" s="125"/>
      <c r="AM832" s="125"/>
      <c r="AN832" s="125"/>
      <c r="AO832" s="125"/>
      <c r="AP832" s="125"/>
      <c r="AQ832" s="125"/>
      <c r="AR832" s="125"/>
      <c r="AS832" s="125"/>
      <c r="AT832" s="125"/>
      <c r="AU832" s="125"/>
      <c r="AV832" s="125"/>
      <c r="AW832" s="125"/>
      <c r="AX832" s="125"/>
      <c r="AY832" s="125"/>
      <c r="AZ832" s="125"/>
      <c r="BA832" s="125"/>
      <c r="BB832" s="125"/>
      <c r="BC832" s="125"/>
      <c r="BD832" s="125"/>
      <c r="BE832" s="125"/>
      <c r="BF832" s="125"/>
    </row>
    <row r="833" spans="1:58" ht="15.75" customHeight="1">
      <c r="A833" s="125"/>
      <c r="B833" s="125"/>
      <c r="C833" s="125"/>
      <c r="D833" s="125"/>
      <c r="E833" s="125"/>
      <c r="F833" s="125"/>
      <c r="G833" s="125"/>
      <c r="H833" s="125"/>
      <c r="I833" s="125"/>
      <c r="J833" s="125"/>
      <c r="K833" s="125"/>
      <c r="L833" s="125"/>
      <c r="M833" s="125"/>
      <c r="N833" s="125"/>
      <c r="O833" s="125"/>
      <c r="P833" s="125"/>
      <c r="Q833" s="125"/>
      <c r="R833" s="125"/>
      <c r="S833" s="125"/>
      <c r="T833" s="125"/>
      <c r="U833" s="125"/>
      <c r="V833" s="125"/>
      <c r="W833" s="125"/>
      <c r="X833" s="125"/>
      <c r="Y833" s="125"/>
      <c r="Z833" s="125"/>
      <c r="AA833" s="125"/>
      <c r="AB833" s="125"/>
      <c r="AC833" s="125"/>
      <c r="AD833" s="125"/>
      <c r="AE833" s="125"/>
      <c r="AF833" s="125"/>
      <c r="AG833" s="125"/>
      <c r="AH833" s="125"/>
      <c r="AI833" s="125"/>
      <c r="AJ833" s="125"/>
      <c r="AK833" s="125"/>
      <c r="AL833" s="125"/>
      <c r="AM833" s="125"/>
      <c r="AN833" s="125"/>
      <c r="AO833" s="125"/>
      <c r="AP833" s="125"/>
      <c r="AQ833" s="125"/>
      <c r="AR833" s="125"/>
      <c r="AS833" s="125"/>
      <c r="AT833" s="125"/>
      <c r="AU833" s="125"/>
      <c r="AV833" s="125"/>
      <c r="AW833" s="125"/>
      <c r="AX833" s="125"/>
      <c r="AY833" s="125"/>
      <c r="AZ833" s="125"/>
      <c r="BA833" s="125"/>
      <c r="BB833" s="125"/>
      <c r="BC833" s="125"/>
      <c r="BD833" s="125"/>
      <c r="BE833" s="125"/>
      <c r="BF833" s="125"/>
    </row>
    <row r="834" spans="1:58" ht="15.75" customHeight="1">
      <c r="A834" s="125"/>
      <c r="B834" s="125"/>
      <c r="C834" s="125"/>
      <c r="D834" s="125"/>
      <c r="E834" s="125"/>
      <c r="F834" s="125"/>
      <c r="G834" s="125"/>
      <c r="H834" s="125"/>
      <c r="I834" s="125"/>
      <c r="J834" s="125"/>
      <c r="K834" s="125"/>
      <c r="L834" s="125"/>
      <c r="M834" s="125"/>
      <c r="N834" s="125"/>
      <c r="O834" s="125"/>
      <c r="P834" s="125"/>
      <c r="Q834" s="125"/>
      <c r="R834" s="125"/>
      <c r="S834" s="125"/>
      <c r="T834" s="125"/>
      <c r="U834" s="125"/>
      <c r="V834" s="125"/>
      <c r="W834" s="125"/>
      <c r="X834" s="125"/>
      <c r="Y834" s="125"/>
      <c r="Z834" s="125"/>
      <c r="AA834" s="125"/>
      <c r="AB834" s="125"/>
      <c r="AC834" s="125"/>
      <c r="AD834" s="125"/>
      <c r="AE834" s="125"/>
      <c r="AF834" s="125"/>
      <c r="AG834" s="125"/>
      <c r="AH834" s="125"/>
      <c r="AI834" s="125"/>
      <c r="AJ834" s="125"/>
      <c r="AK834" s="125"/>
      <c r="AL834" s="125"/>
      <c r="AM834" s="125"/>
      <c r="AN834" s="125"/>
      <c r="AO834" s="125"/>
      <c r="AP834" s="125"/>
      <c r="AQ834" s="125"/>
      <c r="AR834" s="125"/>
      <c r="AS834" s="125"/>
      <c r="AT834" s="125"/>
      <c r="AU834" s="125"/>
      <c r="AV834" s="125"/>
      <c r="AW834" s="125"/>
      <c r="AX834" s="125"/>
      <c r="AY834" s="125"/>
      <c r="AZ834" s="125"/>
      <c r="BA834" s="125"/>
      <c r="BB834" s="125"/>
      <c r="BC834" s="125"/>
      <c r="BD834" s="125"/>
      <c r="BE834" s="125"/>
      <c r="BF834" s="125"/>
    </row>
    <row r="835" spans="1:58" ht="15.75" customHeight="1">
      <c r="A835" s="125"/>
      <c r="B835" s="125"/>
      <c r="C835" s="125"/>
      <c r="D835" s="125"/>
      <c r="E835" s="125"/>
      <c r="F835" s="125"/>
      <c r="G835" s="125"/>
      <c r="H835" s="125"/>
      <c r="I835" s="125"/>
      <c r="J835" s="125"/>
      <c r="K835" s="125"/>
      <c r="L835" s="125"/>
      <c r="M835" s="125"/>
      <c r="N835" s="125"/>
      <c r="O835" s="125"/>
      <c r="P835" s="125"/>
      <c r="Q835" s="125"/>
      <c r="R835" s="125"/>
      <c r="S835" s="125"/>
      <c r="T835" s="125"/>
      <c r="U835" s="125"/>
      <c r="V835" s="125"/>
      <c r="W835" s="125"/>
      <c r="X835" s="125"/>
      <c r="Y835" s="125"/>
      <c r="Z835" s="125"/>
      <c r="AA835" s="125"/>
      <c r="AB835" s="125"/>
      <c r="AC835" s="125"/>
      <c r="AD835" s="125"/>
      <c r="AE835" s="125"/>
      <c r="AF835" s="125"/>
      <c r="AG835" s="125"/>
      <c r="AH835" s="125"/>
      <c r="AI835" s="125"/>
      <c r="AJ835" s="125"/>
      <c r="AK835" s="125"/>
      <c r="AL835" s="125"/>
      <c r="AM835" s="125"/>
      <c r="AN835" s="125"/>
      <c r="AO835" s="125"/>
      <c r="AP835" s="125"/>
      <c r="AQ835" s="125"/>
      <c r="AR835" s="125"/>
      <c r="AS835" s="125"/>
      <c r="AT835" s="125"/>
      <c r="AU835" s="125"/>
      <c r="AV835" s="125"/>
      <c r="AW835" s="125"/>
      <c r="AX835" s="125"/>
      <c r="AY835" s="125"/>
      <c r="AZ835" s="125"/>
      <c r="BA835" s="125"/>
      <c r="BB835" s="125"/>
      <c r="BC835" s="125"/>
      <c r="BD835" s="125"/>
      <c r="BE835" s="125"/>
      <c r="BF835" s="125"/>
    </row>
    <row r="836" spans="1:58" ht="15.75" customHeight="1">
      <c r="A836" s="125"/>
      <c r="B836" s="125"/>
      <c r="C836" s="125"/>
      <c r="D836" s="125"/>
      <c r="E836" s="125"/>
      <c r="F836" s="125"/>
      <c r="G836" s="125"/>
      <c r="H836" s="125"/>
      <c r="I836" s="125"/>
      <c r="J836" s="125"/>
      <c r="K836" s="125"/>
      <c r="L836" s="125"/>
      <c r="M836" s="125"/>
      <c r="N836" s="125"/>
      <c r="O836" s="125"/>
      <c r="P836" s="125"/>
      <c r="Q836" s="125"/>
      <c r="R836" s="125"/>
      <c r="S836" s="125"/>
      <c r="T836" s="125"/>
      <c r="U836" s="125"/>
      <c r="V836" s="125"/>
      <c r="W836" s="125"/>
      <c r="X836" s="125"/>
      <c r="Y836" s="125"/>
      <c r="Z836" s="125"/>
      <c r="AA836" s="125"/>
      <c r="AB836" s="125"/>
      <c r="AC836" s="125"/>
      <c r="AD836" s="125"/>
      <c r="AE836" s="125"/>
      <c r="AF836" s="125"/>
      <c r="AG836" s="125"/>
      <c r="AH836" s="125"/>
      <c r="AI836" s="125"/>
      <c r="AJ836" s="125"/>
      <c r="AK836" s="125"/>
      <c r="AL836" s="125"/>
      <c r="AM836" s="125"/>
      <c r="AN836" s="125"/>
      <c r="AO836" s="125"/>
      <c r="AP836" s="125"/>
      <c r="AQ836" s="125"/>
      <c r="AR836" s="125"/>
      <c r="AS836" s="125"/>
      <c r="AT836" s="125"/>
      <c r="AU836" s="125"/>
      <c r="AV836" s="125"/>
      <c r="AW836" s="125"/>
      <c r="AX836" s="125"/>
      <c r="AY836" s="125"/>
      <c r="AZ836" s="125"/>
      <c r="BA836" s="125"/>
      <c r="BB836" s="125"/>
      <c r="BC836" s="125"/>
      <c r="BD836" s="125"/>
      <c r="BE836" s="125"/>
      <c r="BF836" s="125"/>
    </row>
    <row r="837" spans="1:58" ht="15.75" customHeight="1">
      <c r="A837" s="125"/>
      <c r="B837" s="125"/>
      <c r="C837" s="125"/>
      <c r="D837" s="125"/>
      <c r="E837" s="125"/>
      <c r="F837" s="125"/>
      <c r="G837" s="125"/>
      <c r="H837" s="125"/>
      <c r="I837" s="125"/>
      <c r="J837" s="125"/>
      <c r="K837" s="125"/>
      <c r="L837" s="125"/>
      <c r="M837" s="125"/>
      <c r="N837" s="125"/>
      <c r="O837" s="125"/>
      <c r="P837" s="125"/>
      <c r="Q837" s="125"/>
      <c r="R837" s="125"/>
      <c r="S837" s="125"/>
      <c r="T837" s="125"/>
      <c r="U837" s="125"/>
      <c r="V837" s="125"/>
      <c r="W837" s="125"/>
      <c r="X837" s="125"/>
      <c r="Y837" s="125"/>
      <c r="Z837" s="125"/>
      <c r="AA837" s="125"/>
      <c r="AB837" s="125"/>
      <c r="AC837" s="125"/>
      <c r="AD837" s="125"/>
      <c r="AE837" s="125"/>
      <c r="AF837" s="125"/>
      <c r="AG837" s="125"/>
      <c r="AH837" s="125"/>
      <c r="AI837" s="125"/>
      <c r="AJ837" s="125"/>
      <c r="AK837" s="125"/>
      <c r="AL837" s="125"/>
      <c r="AM837" s="125"/>
      <c r="AN837" s="125"/>
      <c r="AO837" s="125"/>
      <c r="AP837" s="125"/>
      <c r="AQ837" s="125"/>
      <c r="AR837" s="125"/>
      <c r="AS837" s="125"/>
      <c r="AT837" s="125"/>
      <c r="AU837" s="125"/>
      <c r="AV837" s="125"/>
      <c r="AW837" s="125"/>
      <c r="AX837" s="125"/>
      <c r="AY837" s="125"/>
      <c r="AZ837" s="125"/>
      <c r="BA837" s="125"/>
      <c r="BB837" s="125"/>
      <c r="BC837" s="125"/>
      <c r="BD837" s="125"/>
      <c r="BE837" s="125"/>
      <c r="BF837" s="125"/>
    </row>
    <row r="838" spans="1:58" ht="15.75" customHeight="1">
      <c r="A838" s="125"/>
      <c r="B838" s="125"/>
      <c r="C838" s="125"/>
      <c r="D838" s="125"/>
      <c r="E838" s="125"/>
      <c r="F838" s="125"/>
      <c r="G838" s="125"/>
      <c r="H838" s="125"/>
      <c r="I838" s="125"/>
      <c r="J838" s="125"/>
      <c r="K838" s="125"/>
      <c r="L838" s="125"/>
      <c r="M838" s="125"/>
      <c r="N838" s="125"/>
      <c r="O838" s="125"/>
      <c r="P838" s="125"/>
      <c r="Q838" s="125"/>
      <c r="R838" s="125"/>
      <c r="S838" s="125"/>
      <c r="T838" s="125"/>
      <c r="U838" s="125"/>
      <c r="V838" s="125"/>
      <c r="W838" s="125"/>
      <c r="X838" s="125"/>
      <c r="Y838" s="125"/>
      <c r="Z838" s="125"/>
      <c r="AA838" s="125"/>
      <c r="AB838" s="125"/>
      <c r="AC838" s="125"/>
      <c r="AD838" s="125"/>
      <c r="AE838" s="125"/>
      <c r="AF838" s="125"/>
      <c r="AG838" s="125"/>
      <c r="AH838" s="125"/>
      <c r="AI838" s="125"/>
      <c r="AJ838" s="125"/>
      <c r="AK838" s="125"/>
      <c r="AL838" s="125"/>
      <c r="AM838" s="125"/>
      <c r="AN838" s="125"/>
      <c r="AO838" s="125"/>
      <c r="AP838" s="125"/>
      <c r="AQ838" s="125"/>
      <c r="AR838" s="125"/>
      <c r="AS838" s="125"/>
      <c r="AT838" s="125"/>
      <c r="AU838" s="125"/>
      <c r="AV838" s="125"/>
      <c r="AW838" s="125"/>
      <c r="AX838" s="125"/>
      <c r="AY838" s="125"/>
      <c r="AZ838" s="125"/>
      <c r="BA838" s="125"/>
      <c r="BB838" s="125"/>
      <c r="BC838" s="125"/>
      <c r="BD838" s="125"/>
      <c r="BE838" s="125"/>
      <c r="BF838" s="125"/>
    </row>
    <row r="839" spans="1:58" ht="15.75" customHeight="1">
      <c r="A839" s="125"/>
      <c r="B839" s="125"/>
      <c r="C839" s="125"/>
      <c r="D839" s="125"/>
      <c r="E839" s="125"/>
      <c r="F839" s="125"/>
      <c r="G839" s="125"/>
      <c r="H839" s="125"/>
      <c r="I839" s="125"/>
      <c r="J839" s="125"/>
      <c r="K839" s="125"/>
      <c r="L839" s="125"/>
      <c r="M839" s="125"/>
      <c r="N839" s="125"/>
      <c r="O839" s="125"/>
      <c r="P839" s="125"/>
      <c r="Q839" s="125"/>
      <c r="R839" s="125"/>
      <c r="S839" s="125"/>
      <c r="T839" s="125"/>
      <c r="U839" s="125"/>
      <c r="V839" s="125"/>
      <c r="W839" s="125"/>
      <c r="X839" s="125"/>
      <c r="Y839" s="125"/>
      <c r="Z839" s="125"/>
      <c r="AA839" s="125"/>
      <c r="AB839" s="125"/>
      <c r="AC839" s="125"/>
      <c r="AD839" s="125"/>
      <c r="AE839" s="125"/>
      <c r="AF839" s="125"/>
      <c r="AG839" s="125"/>
      <c r="AH839" s="125"/>
      <c r="AI839" s="125"/>
      <c r="AJ839" s="125"/>
      <c r="AK839" s="125"/>
      <c r="AL839" s="125"/>
      <c r="AM839" s="125"/>
      <c r="AN839" s="125"/>
      <c r="AO839" s="125"/>
      <c r="AP839" s="125"/>
      <c r="AQ839" s="125"/>
      <c r="AR839" s="125"/>
      <c r="AS839" s="125"/>
      <c r="AT839" s="125"/>
      <c r="AU839" s="125"/>
      <c r="AV839" s="125"/>
      <c r="AW839" s="125"/>
      <c r="AX839" s="125"/>
      <c r="AY839" s="125"/>
      <c r="AZ839" s="125"/>
      <c r="BA839" s="125"/>
      <c r="BB839" s="125"/>
      <c r="BC839" s="125"/>
      <c r="BD839" s="125"/>
      <c r="BE839" s="125"/>
      <c r="BF839" s="125"/>
    </row>
    <row r="840" spans="1:58" ht="15.75" customHeight="1">
      <c r="A840" s="125"/>
      <c r="B840" s="125"/>
      <c r="C840" s="125"/>
      <c r="D840" s="125"/>
      <c r="E840" s="125"/>
      <c r="F840" s="125"/>
      <c r="G840" s="125"/>
      <c r="H840" s="125"/>
      <c r="I840" s="125"/>
      <c r="J840" s="125"/>
      <c r="K840" s="125"/>
      <c r="L840" s="125"/>
      <c r="M840" s="125"/>
      <c r="N840" s="125"/>
      <c r="O840" s="125"/>
      <c r="P840" s="125"/>
      <c r="Q840" s="125"/>
      <c r="R840" s="125"/>
      <c r="S840" s="125"/>
      <c r="T840" s="125"/>
      <c r="U840" s="125"/>
      <c r="V840" s="125"/>
      <c r="W840" s="125"/>
      <c r="X840" s="125"/>
      <c r="Y840" s="125"/>
      <c r="Z840" s="125"/>
      <c r="AA840" s="125"/>
      <c r="AB840" s="125"/>
      <c r="AC840" s="125"/>
      <c r="AD840" s="125"/>
      <c r="AE840" s="125"/>
      <c r="AF840" s="125"/>
      <c r="AG840" s="125"/>
      <c r="AH840" s="125"/>
      <c r="AI840" s="125"/>
      <c r="AJ840" s="125"/>
      <c r="AK840" s="125"/>
      <c r="AL840" s="125"/>
      <c r="AM840" s="125"/>
      <c r="AN840" s="125"/>
      <c r="AO840" s="125"/>
      <c r="AP840" s="125"/>
      <c r="AQ840" s="125"/>
      <c r="AR840" s="125"/>
      <c r="AS840" s="125"/>
      <c r="AT840" s="125"/>
      <c r="AU840" s="125"/>
      <c r="AV840" s="125"/>
      <c r="AW840" s="125"/>
      <c r="AX840" s="125"/>
      <c r="AY840" s="125"/>
      <c r="AZ840" s="125"/>
      <c r="BA840" s="125"/>
      <c r="BB840" s="125"/>
      <c r="BC840" s="125"/>
      <c r="BD840" s="125"/>
      <c r="BE840" s="125"/>
      <c r="BF840" s="125"/>
    </row>
    <row r="841" spans="1:58" ht="15.75" customHeight="1">
      <c r="A841" s="125"/>
      <c r="B841" s="125"/>
      <c r="C841" s="125"/>
      <c r="D841" s="125"/>
      <c r="E841" s="125"/>
      <c r="F841" s="125"/>
      <c r="G841" s="125"/>
      <c r="H841" s="125"/>
      <c r="I841" s="125"/>
      <c r="J841" s="125"/>
      <c r="K841" s="125"/>
      <c r="L841" s="125"/>
      <c r="M841" s="125"/>
      <c r="N841" s="125"/>
      <c r="O841" s="125"/>
      <c r="P841" s="125"/>
      <c r="Q841" s="125"/>
      <c r="R841" s="125"/>
      <c r="S841" s="125"/>
      <c r="T841" s="125"/>
      <c r="U841" s="125"/>
      <c r="V841" s="125"/>
      <c r="W841" s="125"/>
      <c r="X841" s="125"/>
      <c r="Y841" s="125"/>
      <c r="Z841" s="125"/>
      <c r="AA841" s="125"/>
      <c r="AB841" s="125"/>
      <c r="AC841" s="125"/>
      <c r="AD841" s="125"/>
      <c r="AE841" s="125"/>
      <c r="AF841" s="125"/>
      <c r="AG841" s="125"/>
      <c r="AH841" s="125"/>
      <c r="AI841" s="125"/>
      <c r="AJ841" s="125"/>
      <c r="AK841" s="125"/>
      <c r="AL841" s="125"/>
      <c r="AM841" s="125"/>
      <c r="AN841" s="125"/>
      <c r="AO841" s="125"/>
      <c r="AP841" s="125"/>
      <c r="AQ841" s="125"/>
      <c r="AR841" s="125"/>
      <c r="AS841" s="125"/>
      <c r="AT841" s="125"/>
      <c r="AU841" s="125"/>
      <c r="AV841" s="125"/>
      <c r="AW841" s="125"/>
      <c r="AX841" s="125"/>
      <c r="AY841" s="125"/>
      <c r="AZ841" s="125"/>
      <c r="BA841" s="125"/>
      <c r="BB841" s="125"/>
      <c r="BC841" s="125"/>
      <c r="BD841" s="125"/>
      <c r="BE841" s="125"/>
      <c r="BF841" s="125"/>
    </row>
    <row r="842" spans="1:58" ht="15.75" customHeight="1">
      <c r="A842" s="125"/>
      <c r="B842" s="125"/>
      <c r="C842" s="125"/>
      <c r="D842" s="125"/>
      <c r="E842" s="125"/>
      <c r="F842" s="125"/>
      <c r="G842" s="125"/>
      <c r="H842" s="125"/>
      <c r="I842" s="125"/>
      <c r="J842" s="125"/>
      <c r="K842" s="125"/>
      <c r="L842" s="125"/>
      <c r="M842" s="125"/>
      <c r="N842" s="125"/>
      <c r="O842" s="125"/>
      <c r="P842" s="125"/>
      <c r="Q842" s="125"/>
      <c r="R842" s="125"/>
      <c r="S842" s="125"/>
      <c r="T842" s="125"/>
      <c r="U842" s="125"/>
      <c r="V842" s="125"/>
      <c r="W842" s="125"/>
      <c r="X842" s="125"/>
      <c r="Y842" s="125"/>
      <c r="Z842" s="125"/>
      <c r="AA842" s="125"/>
      <c r="AB842" s="125"/>
      <c r="AC842" s="125"/>
      <c r="AD842" s="125"/>
      <c r="AE842" s="125"/>
      <c r="AF842" s="125"/>
      <c r="AG842" s="125"/>
      <c r="AH842" s="125"/>
      <c r="AI842" s="125"/>
      <c r="AJ842" s="125"/>
      <c r="AK842" s="125"/>
      <c r="AL842" s="125"/>
      <c r="AM842" s="125"/>
      <c r="AN842" s="125"/>
      <c r="AO842" s="125"/>
      <c r="AP842" s="125"/>
      <c r="AQ842" s="125"/>
      <c r="AR842" s="125"/>
      <c r="AS842" s="125"/>
      <c r="AT842" s="125"/>
      <c r="AU842" s="125"/>
      <c r="AV842" s="125"/>
      <c r="AW842" s="125"/>
      <c r="AX842" s="125"/>
      <c r="AY842" s="125"/>
      <c r="AZ842" s="125"/>
      <c r="BA842" s="125"/>
      <c r="BB842" s="125"/>
      <c r="BC842" s="125"/>
      <c r="BD842" s="125"/>
      <c r="BE842" s="125"/>
      <c r="BF842" s="125"/>
    </row>
    <row r="843" spans="1:58" ht="15.75" customHeight="1">
      <c r="A843" s="125"/>
      <c r="B843" s="125"/>
      <c r="C843" s="125"/>
      <c r="D843" s="125"/>
      <c r="E843" s="125"/>
      <c r="F843" s="125"/>
      <c r="G843" s="125"/>
      <c r="H843" s="125"/>
      <c r="I843" s="125"/>
      <c r="J843" s="125"/>
      <c r="K843" s="125"/>
      <c r="L843" s="125"/>
      <c r="M843" s="125"/>
      <c r="N843" s="125"/>
      <c r="O843" s="125"/>
      <c r="P843" s="125"/>
      <c r="Q843" s="125"/>
      <c r="R843" s="125"/>
      <c r="S843" s="125"/>
      <c r="T843" s="125"/>
      <c r="U843" s="125"/>
      <c r="V843" s="125"/>
      <c r="W843" s="125"/>
      <c r="X843" s="125"/>
      <c r="Y843" s="125"/>
      <c r="Z843" s="125"/>
      <c r="AA843" s="125"/>
      <c r="AB843" s="125"/>
      <c r="AC843" s="125"/>
      <c r="AD843" s="125"/>
      <c r="AE843" s="125"/>
      <c r="AF843" s="125"/>
      <c r="AG843" s="125"/>
      <c r="AH843" s="125"/>
      <c r="AI843" s="125"/>
      <c r="AJ843" s="125"/>
      <c r="AK843" s="125"/>
      <c r="AL843" s="125"/>
      <c r="AM843" s="125"/>
      <c r="AN843" s="125"/>
      <c r="AO843" s="125"/>
      <c r="AP843" s="125"/>
      <c r="AQ843" s="125"/>
      <c r="AR843" s="125"/>
      <c r="AS843" s="125"/>
      <c r="AT843" s="125"/>
      <c r="AU843" s="125"/>
      <c r="AV843" s="125"/>
      <c r="AW843" s="125"/>
      <c r="AX843" s="125"/>
      <c r="AY843" s="125"/>
      <c r="AZ843" s="125"/>
      <c r="BA843" s="125"/>
      <c r="BB843" s="125"/>
      <c r="BC843" s="125"/>
      <c r="BD843" s="125"/>
      <c r="BE843" s="125"/>
      <c r="BF843" s="125"/>
    </row>
    <row r="844" spans="1:58" ht="15.75" customHeight="1">
      <c r="A844" s="125"/>
      <c r="B844" s="125"/>
      <c r="C844" s="125"/>
      <c r="D844" s="125"/>
      <c r="E844" s="125"/>
      <c r="F844" s="125"/>
      <c r="G844" s="125"/>
      <c r="H844" s="125"/>
      <c r="I844" s="125"/>
      <c r="J844" s="125"/>
      <c r="K844" s="125"/>
      <c r="L844" s="125"/>
      <c r="M844" s="125"/>
      <c r="N844" s="125"/>
      <c r="O844" s="125"/>
      <c r="P844" s="125"/>
      <c r="Q844" s="125"/>
      <c r="R844" s="125"/>
      <c r="S844" s="125"/>
      <c r="T844" s="125"/>
      <c r="U844" s="125"/>
      <c r="V844" s="125"/>
      <c r="W844" s="125"/>
      <c r="X844" s="125"/>
      <c r="Y844" s="125"/>
      <c r="Z844" s="125"/>
      <c r="AA844" s="125"/>
      <c r="AB844" s="125"/>
      <c r="AC844" s="125"/>
      <c r="AD844" s="125"/>
      <c r="AE844" s="125"/>
      <c r="AF844" s="125"/>
      <c r="AG844" s="125"/>
      <c r="AH844" s="125"/>
      <c r="AI844" s="125"/>
      <c r="AJ844" s="125"/>
      <c r="AK844" s="125"/>
      <c r="AL844" s="125"/>
      <c r="AM844" s="125"/>
      <c r="AN844" s="125"/>
      <c r="AO844" s="125"/>
      <c r="AP844" s="125"/>
      <c r="AQ844" s="125"/>
      <c r="AR844" s="125"/>
      <c r="AS844" s="125"/>
      <c r="AT844" s="125"/>
      <c r="AU844" s="125"/>
      <c r="AV844" s="125"/>
      <c r="AW844" s="125"/>
      <c r="AX844" s="125"/>
      <c r="AY844" s="125"/>
      <c r="AZ844" s="125"/>
      <c r="BA844" s="125"/>
      <c r="BB844" s="125"/>
      <c r="BC844" s="125"/>
      <c r="BD844" s="125"/>
      <c r="BE844" s="125"/>
      <c r="BF844" s="125"/>
    </row>
    <row r="845" spans="1:58" ht="15.75" customHeight="1">
      <c r="A845" s="125"/>
      <c r="B845" s="125"/>
      <c r="C845" s="125"/>
      <c r="D845" s="125"/>
      <c r="E845" s="125"/>
      <c r="F845" s="125"/>
      <c r="G845" s="125"/>
      <c r="H845" s="125"/>
      <c r="I845" s="125"/>
      <c r="J845" s="125"/>
      <c r="K845" s="125"/>
      <c r="L845" s="125"/>
      <c r="M845" s="125"/>
      <c r="N845" s="125"/>
      <c r="O845" s="125"/>
      <c r="P845" s="125"/>
      <c r="Q845" s="125"/>
      <c r="R845" s="125"/>
      <c r="S845" s="125"/>
      <c r="T845" s="125"/>
      <c r="U845" s="125"/>
      <c r="V845" s="125"/>
      <c r="W845" s="125"/>
      <c r="X845" s="125"/>
      <c r="Y845" s="125"/>
      <c r="Z845" s="125"/>
      <c r="AA845" s="125"/>
      <c r="AB845" s="125"/>
      <c r="AC845" s="125"/>
      <c r="AD845" s="125"/>
      <c r="AE845" s="125"/>
      <c r="AF845" s="125"/>
      <c r="AG845" s="125"/>
      <c r="AH845" s="125"/>
      <c r="AI845" s="125"/>
      <c r="AJ845" s="125"/>
      <c r="AK845" s="125"/>
      <c r="AL845" s="125"/>
      <c r="AM845" s="125"/>
      <c r="AN845" s="125"/>
      <c r="AO845" s="125"/>
      <c r="AP845" s="125"/>
      <c r="AQ845" s="125"/>
      <c r="AR845" s="125"/>
      <c r="AS845" s="125"/>
      <c r="AT845" s="125"/>
      <c r="AU845" s="125"/>
      <c r="AV845" s="125"/>
      <c r="AW845" s="125"/>
      <c r="AX845" s="125"/>
      <c r="AY845" s="125"/>
      <c r="AZ845" s="125"/>
      <c r="BA845" s="125"/>
      <c r="BB845" s="125"/>
      <c r="BC845" s="125"/>
      <c r="BD845" s="125"/>
      <c r="BE845" s="125"/>
      <c r="BF845" s="125"/>
    </row>
    <row r="846" spans="1:58" ht="15.75" customHeight="1">
      <c r="A846" s="125"/>
      <c r="B846" s="125"/>
      <c r="C846" s="125"/>
      <c r="D846" s="125"/>
      <c r="E846" s="125"/>
      <c r="F846" s="125"/>
      <c r="G846" s="125"/>
      <c r="H846" s="125"/>
      <c r="I846" s="125"/>
      <c r="J846" s="125"/>
      <c r="K846" s="125"/>
      <c r="L846" s="125"/>
      <c r="M846" s="125"/>
      <c r="N846" s="125"/>
      <c r="O846" s="125"/>
      <c r="P846" s="125"/>
      <c r="Q846" s="125"/>
      <c r="R846" s="125"/>
      <c r="S846" s="125"/>
      <c r="T846" s="125"/>
      <c r="U846" s="125"/>
      <c r="V846" s="125"/>
      <c r="W846" s="125"/>
      <c r="X846" s="125"/>
      <c r="Y846" s="125"/>
      <c r="Z846" s="125"/>
      <c r="AA846" s="125"/>
      <c r="AB846" s="125"/>
      <c r="AC846" s="125"/>
      <c r="AD846" s="125"/>
      <c r="AE846" s="125"/>
      <c r="AF846" s="125"/>
      <c r="AG846" s="125"/>
      <c r="AH846" s="125"/>
      <c r="AI846" s="125"/>
      <c r="AJ846" s="125"/>
      <c r="AK846" s="125"/>
      <c r="AL846" s="125"/>
      <c r="AM846" s="125"/>
      <c r="AN846" s="125"/>
      <c r="AO846" s="125"/>
      <c r="AP846" s="125"/>
      <c r="AQ846" s="125"/>
      <c r="AR846" s="125"/>
      <c r="AS846" s="125"/>
      <c r="AT846" s="125"/>
      <c r="AU846" s="125"/>
      <c r="AV846" s="125"/>
      <c r="AW846" s="125"/>
      <c r="AX846" s="125"/>
      <c r="AY846" s="125"/>
      <c r="AZ846" s="125"/>
      <c r="BA846" s="125"/>
      <c r="BB846" s="125"/>
      <c r="BC846" s="125"/>
      <c r="BD846" s="125"/>
      <c r="BE846" s="125"/>
      <c r="BF846" s="125"/>
    </row>
    <row r="847" spans="1:58" ht="15.75" customHeight="1">
      <c r="A847" s="125"/>
      <c r="B847" s="125"/>
      <c r="C847" s="125"/>
      <c r="D847" s="125"/>
      <c r="E847" s="125"/>
      <c r="F847" s="125"/>
      <c r="G847" s="125"/>
      <c r="H847" s="125"/>
      <c r="I847" s="125"/>
      <c r="J847" s="125"/>
      <c r="K847" s="125"/>
      <c r="L847" s="125"/>
      <c r="M847" s="125"/>
      <c r="N847" s="125"/>
      <c r="O847" s="125"/>
      <c r="P847" s="125"/>
      <c r="Q847" s="125"/>
      <c r="R847" s="125"/>
      <c r="S847" s="125"/>
      <c r="T847" s="125"/>
      <c r="U847" s="125"/>
      <c r="V847" s="125"/>
      <c r="W847" s="125"/>
      <c r="X847" s="125"/>
      <c r="Y847" s="125"/>
      <c r="Z847" s="125"/>
      <c r="AA847" s="125"/>
      <c r="AB847" s="125"/>
      <c r="AC847" s="125"/>
      <c r="AD847" s="125"/>
      <c r="AE847" s="125"/>
      <c r="AF847" s="125"/>
      <c r="AG847" s="125"/>
      <c r="AH847" s="125"/>
      <c r="AI847" s="125"/>
      <c r="AJ847" s="125"/>
      <c r="AK847" s="125"/>
      <c r="AL847" s="125"/>
      <c r="AM847" s="125"/>
      <c r="AN847" s="125"/>
      <c r="AO847" s="125"/>
      <c r="AP847" s="125"/>
      <c r="AQ847" s="125"/>
      <c r="AR847" s="125"/>
      <c r="AS847" s="125"/>
      <c r="AT847" s="125"/>
      <c r="AU847" s="125"/>
      <c r="AV847" s="125"/>
      <c r="AW847" s="125"/>
      <c r="AX847" s="125"/>
      <c r="AY847" s="125"/>
      <c r="AZ847" s="125"/>
      <c r="BA847" s="125"/>
      <c r="BB847" s="125"/>
      <c r="BC847" s="125"/>
      <c r="BD847" s="125"/>
      <c r="BE847" s="125"/>
      <c r="BF847" s="125"/>
    </row>
    <row r="848" spans="1:58" ht="15.75" customHeight="1">
      <c r="A848" s="125"/>
      <c r="B848" s="125"/>
      <c r="C848" s="125"/>
      <c r="D848" s="125"/>
      <c r="E848" s="125"/>
      <c r="F848" s="125"/>
      <c r="G848" s="125"/>
      <c r="H848" s="125"/>
      <c r="I848" s="125"/>
      <c r="J848" s="125"/>
      <c r="K848" s="125"/>
      <c r="L848" s="125"/>
      <c r="M848" s="125"/>
      <c r="N848" s="125"/>
      <c r="O848" s="125"/>
      <c r="P848" s="125"/>
      <c r="Q848" s="125"/>
      <c r="R848" s="125"/>
      <c r="S848" s="125"/>
      <c r="T848" s="125"/>
      <c r="U848" s="125"/>
      <c r="V848" s="125"/>
      <c r="W848" s="125"/>
      <c r="X848" s="125"/>
      <c r="Y848" s="125"/>
      <c r="Z848" s="125"/>
      <c r="AA848" s="125"/>
      <c r="AB848" s="125"/>
      <c r="AC848" s="125"/>
      <c r="AD848" s="125"/>
      <c r="AE848" s="125"/>
      <c r="AF848" s="125"/>
      <c r="AG848" s="125"/>
      <c r="AH848" s="125"/>
      <c r="AI848" s="125"/>
      <c r="AJ848" s="125"/>
      <c r="AK848" s="125"/>
      <c r="AL848" s="125"/>
      <c r="AM848" s="125"/>
      <c r="AN848" s="125"/>
      <c r="AO848" s="125"/>
      <c r="AP848" s="125"/>
      <c r="AQ848" s="125"/>
      <c r="AR848" s="125"/>
      <c r="AS848" s="125"/>
      <c r="AT848" s="125"/>
      <c r="AU848" s="125"/>
      <c r="AV848" s="125"/>
      <c r="AW848" s="125"/>
      <c r="AX848" s="125"/>
      <c r="AY848" s="125"/>
      <c r="AZ848" s="125"/>
      <c r="BA848" s="125"/>
      <c r="BB848" s="125"/>
      <c r="BC848" s="125"/>
      <c r="BD848" s="125"/>
      <c r="BE848" s="125"/>
      <c r="BF848" s="125"/>
    </row>
    <row r="849" spans="1:58" ht="15.75" customHeight="1">
      <c r="A849" s="125"/>
      <c r="B849" s="125"/>
      <c r="C849" s="125"/>
      <c r="D849" s="125"/>
      <c r="E849" s="125"/>
      <c r="F849" s="125"/>
      <c r="G849" s="125"/>
      <c r="H849" s="125"/>
      <c r="I849" s="125"/>
      <c r="J849" s="125"/>
      <c r="K849" s="125"/>
      <c r="L849" s="125"/>
      <c r="M849" s="125"/>
      <c r="N849" s="125"/>
      <c r="O849" s="125"/>
      <c r="P849" s="125"/>
      <c r="Q849" s="125"/>
      <c r="R849" s="125"/>
      <c r="S849" s="125"/>
      <c r="T849" s="125"/>
      <c r="U849" s="125"/>
      <c r="V849" s="125"/>
      <c r="W849" s="125"/>
      <c r="X849" s="125"/>
      <c r="Y849" s="125"/>
      <c r="Z849" s="125"/>
      <c r="AA849" s="125"/>
      <c r="AB849" s="125"/>
      <c r="AC849" s="125"/>
      <c r="AD849" s="125"/>
      <c r="AE849" s="125"/>
      <c r="AF849" s="125"/>
      <c r="AG849" s="125"/>
      <c r="AH849" s="125"/>
      <c r="AI849" s="125"/>
      <c r="AJ849" s="125"/>
      <c r="AK849" s="125"/>
      <c r="AL849" s="125"/>
      <c r="AM849" s="125"/>
      <c r="AN849" s="125"/>
      <c r="AO849" s="125"/>
      <c r="AP849" s="125"/>
      <c r="AQ849" s="125"/>
      <c r="AR849" s="125"/>
      <c r="AS849" s="125"/>
      <c r="AT849" s="125"/>
      <c r="AU849" s="125"/>
      <c r="AV849" s="125"/>
      <c r="AW849" s="125"/>
      <c r="AX849" s="125"/>
      <c r="AY849" s="125"/>
      <c r="AZ849" s="125"/>
      <c r="BA849" s="125"/>
      <c r="BB849" s="125"/>
      <c r="BC849" s="125"/>
      <c r="BD849" s="125"/>
      <c r="BE849" s="125"/>
      <c r="BF849" s="125"/>
    </row>
    <row r="850" spans="1:58" ht="15.75" customHeight="1">
      <c r="A850" s="125"/>
      <c r="B850" s="125"/>
      <c r="C850" s="125"/>
      <c r="D850" s="125"/>
      <c r="E850" s="125"/>
      <c r="F850" s="125"/>
      <c r="G850" s="125"/>
      <c r="H850" s="125"/>
      <c r="I850" s="125"/>
      <c r="J850" s="125"/>
      <c r="K850" s="125"/>
      <c r="L850" s="125"/>
      <c r="M850" s="125"/>
      <c r="N850" s="125"/>
      <c r="O850" s="125"/>
      <c r="P850" s="125"/>
      <c r="Q850" s="125"/>
      <c r="R850" s="125"/>
      <c r="S850" s="125"/>
      <c r="T850" s="125"/>
      <c r="U850" s="125"/>
      <c r="V850" s="125"/>
      <c r="W850" s="125"/>
      <c r="X850" s="125"/>
      <c r="Y850" s="125"/>
      <c r="Z850" s="125"/>
      <c r="AA850" s="125"/>
      <c r="AB850" s="125"/>
      <c r="AC850" s="125"/>
      <c r="AD850" s="125"/>
      <c r="AE850" s="125"/>
      <c r="AF850" s="125"/>
      <c r="AG850" s="125"/>
      <c r="AH850" s="125"/>
      <c r="AI850" s="125"/>
      <c r="AJ850" s="125"/>
      <c r="AK850" s="125"/>
      <c r="AL850" s="125"/>
      <c r="AM850" s="125"/>
      <c r="AN850" s="125"/>
      <c r="AO850" s="125"/>
      <c r="AP850" s="125"/>
      <c r="AQ850" s="125"/>
      <c r="AR850" s="125"/>
      <c r="AS850" s="125"/>
      <c r="AT850" s="125"/>
      <c r="AU850" s="125"/>
      <c r="AV850" s="125"/>
      <c r="AW850" s="125"/>
      <c r="AX850" s="125"/>
      <c r="AY850" s="125"/>
      <c r="AZ850" s="125"/>
      <c r="BA850" s="125"/>
      <c r="BB850" s="125"/>
      <c r="BC850" s="125"/>
      <c r="BD850" s="125"/>
      <c r="BE850" s="125"/>
      <c r="BF850" s="125"/>
    </row>
    <row r="851" spans="1:58" ht="15.75" customHeight="1">
      <c r="A851" s="125"/>
      <c r="B851" s="125"/>
      <c r="C851" s="125"/>
      <c r="D851" s="125"/>
      <c r="E851" s="125"/>
      <c r="F851" s="125"/>
      <c r="G851" s="125"/>
      <c r="H851" s="125"/>
      <c r="I851" s="125"/>
      <c r="J851" s="125"/>
      <c r="K851" s="125"/>
      <c r="L851" s="125"/>
      <c r="M851" s="125"/>
      <c r="N851" s="125"/>
      <c r="O851" s="125"/>
      <c r="P851" s="125"/>
      <c r="Q851" s="125"/>
      <c r="R851" s="125"/>
      <c r="S851" s="125"/>
      <c r="T851" s="125"/>
      <c r="U851" s="125"/>
      <c r="V851" s="125"/>
      <c r="W851" s="125"/>
      <c r="X851" s="125"/>
      <c r="Y851" s="125"/>
      <c r="Z851" s="125"/>
      <c r="AA851" s="125"/>
      <c r="AB851" s="125"/>
      <c r="AC851" s="125"/>
      <c r="AD851" s="125"/>
      <c r="AE851" s="125"/>
      <c r="AF851" s="125"/>
      <c r="AG851" s="125"/>
      <c r="AH851" s="125"/>
      <c r="AI851" s="125"/>
      <c r="AJ851" s="125"/>
      <c r="AK851" s="125"/>
      <c r="AL851" s="125"/>
      <c r="AM851" s="125"/>
      <c r="AN851" s="125"/>
      <c r="AO851" s="125"/>
      <c r="AP851" s="125"/>
      <c r="AQ851" s="125"/>
      <c r="AR851" s="125"/>
      <c r="AS851" s="125"/>
      <c r="AT851" s="125"/>
      <c r="AU851" s="125"/>
      <c r="AV851" s="125"/>
      <c r="AW851" s="125"/>
      <c r="AX851" s="125"/>
      <c r="AY851" s="125"/>
      <c r="AZ851" s="125"/>
      <c r="BA851" s="125"/>
      <c r="BB851" s="125"/>
      <c r="BC851" s="125"/>
      <c r="BD851" s="125"/>
      <c r="BE851" s="125"/>
      <c r="BF851" s="125"/>
    </row>
    <row r="852" spans="1:58" ht="15.75" customHeight="1">
      <c r="A852" s="125"/>
      <c r="B852" s="125"/>
      <c r="C852" s="125"/>
      <c r="D852" s="125"/>
      <c r="E852" s="125"/>
      <c r="F852" s="125"/>
      <c r="G852" s="125"/>
      <c r="H852" s="125"/>
      <c r="I852" s="125"/>
      <c r="J852" s="125"/>
      <c r="K852" s="125"/>
      <c r="L852" s="125"/>
      <c r="M852" s="125"/>
      <c r="N852" s="125"/>
      <c r="O852" s="125"/>
      <c r="P852" s="125"/>
      <c r="Q852" s="125"/>
      <c r="R852" s="125"/>
      <c r="S852" s="125"/>
      <c r="T852" s="125"/>
      <c r="U852" s="125"/>
      <c r="V852" s="125"/>
      <c r="W852" s="125"/>
      <c r="X852" s="125"/>
      <c r="Y852" s="125"/>
      <c r="Z852" s="125"/>
      <c r="AA852" s="125"/>
      <c r="AB852" s="125"/>
      <c r="AC852" s="125"/>
      <c r="AD852" s="125"/>
      <c r="AE852" s="125"/>
      <c r="AF852" s="125"/>
      <c r="AG852" s="125"/>
      <c r="AH852" s="125"/>
      <c r="AI852" s="125"/>
      <c r="AJ852" s="125"/>
      <c r="AK852" s="125"/>
      <c r="AL852" s="125"/>
      <c r="AM852" s="125"/>
      <c r="AN852" s="125"/>
      <c r="AO852" s="125"/>
      <c r="AP852" s="125"/>
      <c r="AQ852" s="125"/>
      <c r="AR852" s="125"/>
      <c r="AS852" s="125"/>
      <c r="AT852" s="125"/>
      <c r="AU852" s="125"/>
      <c r="AV852" s="125"/>
      <c r="AW852" s="125"/>
      <c r="AX852" s="125"/>
      <c r="AY852" s="125"/>
      <c r="AZ852" s="125"/>
      <c r="BA852" s="125"/>
      <c r="BB852" s="125"/>
      <c r="BC852" s="125"/>
      <c r="BD852" s="125"/>
      <c r="BE852" s="125"/>
      <c r="BF852" s="125"/>
    </row>
    <row r="853" spans="1:58" ht="15.75" customHeight="1">
      <c r="A853" s="125"/>
      <c r="B853" s="125"/>
      <c r="C853" s="125"/>
      <c r="D853" s="125"/>
      <c r="E853" s="125"/>
      <c r="F853" s="125"/>
      <c r="G853" s="125"/>
      <c r="H853" s="125"/>
      <c r="I853" s="125"/>
      <c r="J853" s="125"/>
      <c r="K853" s="125"/>
      <c r="L853" s="125"/>
      <c r="M853" s="125"/>
      <c r="N853" s="125"/>
      <c r="O853" s="125"/>
      <c r="P853" s="125"/>
      <c r="Q853" s="125"/>
      <c r="R853" s="125"/>
      <c r="S853" s="125"/>
      <c r="T853" s="125"/>
      <c r="U853" s="125"/>
      <c r="V853" s="125"/>
      <c r="W853" s="125"/>
      <c r="X853" s="125"/>
      <c r="Y853" s="125"/>
      <c r="Z853" s="125"/>
      <c r="AA853" s="125"/>
      <c r="AB853" s="125"/>
      <c r="AC853" s="125"/>
      <c r="AD853" s="125"/>
      <c r="AE853" s="125"/>
      <c r="AF853" s="125"/>
      <c r="AG853" s="125"/>
      <c r="AH853" s="125"/>
      <c r="AI853" s="125"/>
      <c r="AJ853" s="125"/>
      <c r="AK853" s="125"/>
      <c r="AL853" s="125"/>
      <c r="AM853" s="125"/>
      <c r="AN853" s="125"/>
      <c r="AO853" s="125"/>
      <c r="AP853" s="125"/>
      <c r="AQ853" s="125"/>
      <c r="AR853" s="125"/>
      <c r="AS853" s="125"/>
      <c r="AT853" s="125"/>
      <c r="AU853" s="125"/>
      <c r="AV853" s="125"/>
      <c r="AW853" s="125"/>
      <c r="AX853" s="125"/>
      <c r="AY853" s="125"/>
      <c r="AZ853" s="125"/>
      <c r="BA853" s="125"/>
      <c r="BB853" s="125"/>
      <c r="BC853" s="125"/>
      <c r="BD853" s="125"/>
      <c r="BE853" s="125"/>
      <c r="BF853" s="125"/>
    </row>
    <row r="854" spans="1:58" ht="15.75" customHeight="1">
      <c r="A854" s="125"/>
      <c r="B854" s="125"/>
      <c r="C854" s="125"/>
      <c r="D854" s="125"/>
      <c r="E854" s="125"/>
      <c r="F854" s="125"/>
      <c r="G854" s="125"/>
      <c r="H854" s="125"/>
      <c r="I854" s="125"/>
      <c r="J854" s="125"/>
      <c r="K854" s="125"/>
      <c r="L854" s="125"/>
      <c r="M854" s="125"/>
      <c r="N854" s="125"/>
      <c r="O854" s="125"/>
      <c r="P854" s="125"/>
      <c r="Q854" s="125"/>
      <c r="R854" s="125"/>
      <c r="S854" s="125"/>
      <c r="T854" s="125"/>
      <c r="U854" s="125"/>
      <c r="V854" s="125"/>
      <c r="W854" s="125"/>
      <c r="X854" s="125"/>
      <c r="Y854" s="125"/>
      <c r="Z854" s="125"/>
      <c r="AA854" s="125"/>
      <c r="AB854" s="125"/>
      <c r="AC854" s="125"/>
      <c r="AD854" s="125"/>
      <c r="AE854" s="125"/>
      <c r="AF854" s="125"/>
      <c r="AG854" s="125"/>
      <c r="AH854" s="125"/>
      <c r="AI854" s="125"/>
      <c r="AJ854" s="125"/>
      <c r="AK854" s="125"/>
      <c r="AL854" s="125"/>
      <c r="AM854" s="125"/>
      <c r="AN854" s="125"/>
      <c r="AO854" s="125"/>
      <c r="AP854" s="125"/>
      <c r="AQ854" s="125"/>
      <c r="AR854" s="125"/>
      <c r="AS854" s="125"/>
      <c r="AT854" s="125"/>
      <c r="AU854" s="125"/>
      <c r="AV854" s="125"/>
      <c r="AW854" s="125"/>
      <c r="AX854" s="125"/>
      <c r="AY854" s="125"/>
      <c r="AZ854" s="125"/>
      <c r="BA854" s="125"/>
      <c r="BB854" s="125"/>
      <c r="BC854" s="125"/>
      <c r="BD854" s="125"/>
      <c r="BE854" s="125"/>
      <c r="BF854" s="125"/>
    </row>
    <row r="855" spans="1:58" ht="15.75" customHeight="1">
      <c r="A855" s="125"/>
      <c r="B855" s="125"/>
      <c r="C855" s="125"/>
      <c r="D855" s="125"/>
      <c r="E855" s="125"/>
      <c r="F855" s="125"/>
      <c r="G855" s="125"/>
      <c r="H855" s="125"/>
      <c r="I855" s="125"/>
      <c r="J855" s="125"/>
      <c r="K855" s="125"/>
      <c r="L855" s="125"/>
      <c r="M855" s="125"/>
      <c r="N855" s="125"/>
      <c r="O855" s="125"/>
      <c r="P855" s="125"/>
      <c r="Q855" s="125"/>
      <c r="R855" s="125"/>
      <c r="S855" s="125"/>
      <c r="T855" s="125"/>
      <c r="U855" s="125"/>
      <c r="V855" s="125"/>
      <c r="W855" s="125"/>
      <c r="X855" s="125"/>
      <c r="Y855" s="125"/>
      <c r="Z855" s="125"/>
      <c r="AA855" s="125"/>
      <c r="AB855" s="125"/>
      <c r="AC855" s="125"/>
      <c r="AD855" s="125"/>
      <c r="AE855" s="125"/>
      <c r="AF855" s="125"/>
      <c r="AG855" s="125"/>
      <c r="AH855" s="125"/>
      <c r="AI855" s="125"/>
      <c r="AJ855" s="125"/>
      <c r="AK855" s="125"/>
      <c r="AL855" s="125"/>
      <c r="AM855" s="125"/>
      <c r="AN855" s="125"/>
      <c r="AO855" s="125"/>
      <c r="AP855" s="125"/>
      <c r="AQ855" s="125"/>
      <c r="AR855" s="125"/>
      <c r="AS855" s="125"/>
      <c r="AT855" s="125"/>
      <c r="AU855" s="125"/>
      <c r="AV855" s="125"/>
      <c r="AW855" s="125"/>
      <c r="AX855" s="125"/>
      <c r="AY855" s="125"/>
      <c r="AZ855" s="125"/>
      <c r="BA855" s="125"/>
      <c r="BB855" s="125"/>
      <c r="BC855" s="125"/>
      <c r="BD855" s="125"/>
      <c r="BE855" s="125"/>
      <c r="BF855" s="125"/>
    </row>
    <row r="856" spans="1:58" ht="15.75" customHeight="1">
      <c r="A856" s="125"/>
      <c r="B856" s="125"/>
      <c r="C856" s="125"/>
      <c r="D856" s="125"/>
      <c r="E856" s="125"/>
      <c r="F856" s="125"/>
      <c r="G856" s="125"/>
      <c r="H856" s="125"/>
      <c r="I856" s="125"/>
      <c r="J856" s="125"/>
      <c r="K856" s="125"/>
      <c r="L856" s="125"/>
      <c r="M856" s="125"/>
      <c r="N856" s="125"/>
      <c r="O856" s="125"/>
      <c r="P856" s="125"/>
      <c r="Q856" s="125"/>
      <c r="R856" s="125"/>
      <c r="S856" s="125"/>
      <c r="T856" s="125"/>
      <c r="U856" s="125"/>
      <c r="V856" s="125"/>
      <c r="W856" s="125"/>
      <c r="X856" s="125"/>
      <c r="Y856" s="125"/>
      <c r="Z856" s="125"/>
      <c r="AA856" s="125"/>
      <c r="AB856" s="125"/>
      <c r="AC856" s="125"/>
      <c r="AD856" s="125"/>
      <c r="AE856" s="125"/>
      <c r="AF856" s="125"/>
      <c r="AG856" s="125"/>
      <c r="AH856" s="125"/>
      <c r="AI856" s="125"/>
      <c r="AJ856" s="125"/>
      <c r="AK856" s="125"/>
      <c r="AL856" s="125"/>
      <c r="AM856" s="125"/>
      <c r="AN856" s="125"/>
      <c r="AO856" s="125"/>
      <c r="AP856" s="125"/>
      <c r="AQ856" s="125"/>
      <c r="AR856" s="125"/>
      <c r="AS856" s="125"/>
      <c r="AT856" s="125"/>
      <c r="AU856" s="125"/>
      <c r="AV856" s="125"/>
      <c r="AW856" s="125"/>
      <c r="AX856" s="125"/>
      <c r="AY856" s="125"/>
      <c r="AZ856" s="125"/>
      <c r="BA856" s="125"/>
      <c r="BB856" s="125"/>
      <c r="BC856" s="125"/>
      <c r="BD856" s="125"/>
      <c r="BE856" s="125"/>
      <c r="BF856" s="125"/>
    </row>
    <row r="857" spans="1:58" ht="15.75" customHeight="1">
      <c r="A857" s="125"/>
      <c r="B857" s="125"/>
      <c r="C857" s="125"/>
      <c r="D857" s="125"/>
      <c r="E857" s="125"/>
      <c r="F857" s="125"/>
      <c r="G857" s="125"/>
      <c r="H857" s="125"/>
      <c r="I857" s="125"/>
      <c r="J857" s="125"/>
      <c r="K857" s="125"/>
      <c r="L857" s="125"/>
      <c r="M857" s="125"/>
      <c r="N857" s="125"/>
      <c r="O857" s="125"/>
      <c r="P857" s="125"/>
      <c r="Q857" s="125"/>
      <c r="R857" s="125"/>
      <c r="S857" s="125"/>
      <c r="T857" s="125"/>
      <c r="U857" s="125"/>
      <c r="V857" s="125"/>
      <c r="W857" s="125"/>
      <c r="X857" s="125"/>
      <c r="Y857" s="125"/>
      <c r="Z857" s="125"/>
      <c r="AA857" s="125"/>
      <c r="AB857" s="125"/>
      <c r="AC857" s="125"/>
      <c r="AD857" s="125"/>
      <c r="AE857" s="125"/>
      <c r="AF857" s="125"/>
      <c r="AG857" s="125"/>
      <c r="AH857" s="125"/>
      <c r="AI857" s="125"/>
      <c r="AJ857" s="125"/>
      <c r="AK857" s="125"/>
      <c r="AL857" s="125"/>
      <c r="AM857" s="125"/>
      <c r="AN857" s="125"/>
      <c r="AO857" s="125"/>
      <c r="AP857" s="125"/>
      <c r="AQ857" s="125"/>
      <c r="AR857" s="125"/>
      <c r="AS857" s="125"/>
      <c r="AT857" s="125"/>
      <c r="AU857" s="125"/>
      <c r="AV857" s="125"/>
      <c r="AW857" s="125"/>
      <c r="AX857" s="125"/>
      <c r="AY857" s="125"/>
      <c r="AZ857" s="125"/>
      <c r="BA857" s="125"/>
      <c r="BB857" s="125"/>
      <c r="BC857" s="125"/>
      <c r="BD857" s="125"/>
      <c r="BE857" s="125"/>
      <c r="BF857" s="125"/>
    </row>
    <row r="858" spans="1:58" ht="15.75" customHeight="1">
      <c r="A858" s="125"/>
      <c r="B858" s="125"/>
      <c r="C858" s="125"/>
      <c r="D858" s="125"/>
      <c r="E858" s="125"/>
      <c r="F858" s="125"/>
      <c r="G858" s="125"/>
      <c r="H858" s="125"/>
      <c r="I858" s="125"/>
      <c r="J858" s="125"/>
      <c r="K858" s="125"/>
      <c r="L858" s="125"/>
      <c r="M858" s="125"/>
      <c r="N858" s="125"/>
      <c r="O858" s="125"/>
      <c r="P858" s="125"/>
      <c r="Q858" s="125"/>
      <c r="R858" s="125"/>
      <c r="S858" s="125"/>
      <c r="T858" s="125"/>
      <c r="U858" s="125"/>
      <c r="V858" s="125"/>
      <c r="W858" s="125"/>
      <c r="X858" s="125"/>
      <c r="Y858" s="125"/>
      <c r="Z858" s="125"/>
      <c r="AA858" s="125"/>
      <c r="AB858" s="125"/>
      <c r="AC858" s="125"/>
      <c r="AD858" s="125"/>
      <c r="AE858" s="125"/>
      <c r="AF858" s="125"/>
      <c r="AG858" s="125"/>
      <c r="AH858" s="125"/>
      <c r="AI858" s="125"/>
      <c r="AJ858" s="125"/>
      <c r="AK858" s="125"/>
      <c r="AL858" s="125"/>
      <c r="AM858" s="125"/>
      <c r="AN858" s="125"/>
      <c r="AO858" s="125"/>
      <c r="AP858" s="125"/>
      <c r="AQ858" s="125"/>
      <c r="AR858" s="125"/>
      <c r="AS858" s="125"/>
      <c r="AT858" s="125"/>
      <c r="AU858" s="125"/>
      <c r="AV858" s="125"/>
      <c r="AW858" s="125"/>
      <c r="AX858" s="125"/>
      <c r="AY858" s="125"/>
      <c r="AZ858" s="125"/>
      <c r="BA858" s="125"/>
      <c r="BB858" s="125"/>
      <c r="BC858" s="125"/>
      <c r="BD858" s="125"/>
      <c r="BE858" s="125"/>
      <c r="BF858" s="125"/>
    </row>
    <row r="859" spans="1:58" ht="15.75" customHeight="1">
      <c r="A859" s="125"/>
      <c r="B859" s="125"/>
      <c r="C859" s="125"/>
      <c r="D859" s="125"/>
      <c r="E859" s="125"/>
      <c r="F859" s="125"/>
      <c r="G859" s="125"/>
      <c r="H859" s="125"/>
      <c r="I859" s="125"/>
      <c r="J859" s="125"/>
      <c r="K859" s="125"/>
      <c r="L859" s="125"/>
      <c r="M859" s="125"/>
      <c r="N859" s="125"/>
      <c r="O859" s="125"/>
      <c r="P859" s="125"/>
      <c r="Q859" s="125"/>
      <c r="R859" s="125"/>
      <c r="S859" s="125"/>
      <c r="T859" s="125"/>
      <c r="U859" s="125"/>
      <c r="V859" s="125"/>
      <c r="W859" s="125"/>
      <c r="X859" s="125"/>
      <c r="Y859" s="125"/>
      <c r="Z859" s="125"/>
      <c r="AA859" s="125"/>
      <c r="AB859" s="125"/>
      <c r="AC859" s="125"/>
      <c r="AD859" s="125"/>
      <c r="AE859" s="125"/>
      <c r="AF859" s="125"/>
      <c r="AG859" s="125"/>
      <c r="AH859" s="125"/>
      <c r="AI859" s="125"/>
      <c r="AJ859" s="125"/>
      <c r="AK859" s="125"/>
      <c r="AL859" s="125"/>
      <c r="AM859" s="125"/>
      <c r="AN859" s="125"/>
      <c r="AO859" s="125"/>
      <c r="AP859" s="125"/>
      <c r="AQ859" s="125"/>
      <c r="AR859" s="125"/>
      <c r="AS859" s="125"/>
      <c r="AT859" s="125"/>
      <c r="AU859" s="125"/>
      <c r="AV859" s="125"/>
      <c r="AW859" s="125"/>
      <c r="AX859" s="125"/>
      <c r="AY859" s="125"/>
      <c r="AZ859" s="125"/>
      <c r="BA859" s="125"/>
      <c r="BB859" s="125"/>
      <c r="BC859" s="125"/>
      <c r="BD859" s="125"/>
      <c r="BE859" s="125"/>
      <c r="BF859" s="125"/>
    </row>
    <row r="860" spans="1:58" ht="15.75" customHeight="1">
      <c r="A860" s="125"/>
      <c r="B860" s="125"/>
      <c r="C860" s="125"/>
      <c r="D860" s="125"/>
      <c r="E860" s="125"/>
      <c r="F860" s="125"/>
      <c r="G860" s="125"/>
      <c r="H860" s="125"/>
      <c r="I860" s="125"/>
      <c r="J860" s="125"/>
      <c r="K860" s="125"/>
      <c r="L860" s="125"/>
      <c r="M860" s="125"/>
      <c r="N860" s="125"/>
      <c r="O860" s="125"/>
      <c r="P860" s="125"/>
      <c r="Q860" s="125"/>
      <c r="R860" s="125"/>
      <c r="S860" s="125"/>
      <c r="T860" s="125"/>
      <c r="U860" s="125"/>
      <c r="V860" s="125"/>
      <c r="W860" s="125"/>
      <c r="X860" s="125"/>
      <c r="Y860" s="125"/>
      <c r="Z860" s="125"/>
      <c r="AA860" s="125"/>
      <c r="AB860" s="125"/>
      <c r="AC860" s="125"/>
      <c r="AD860" s="125"/>
      <c r="AE860" s="125"/>
      <c r="AF860" s="125"/>
      <c r="AG860" s="125"/>
      <c r="AH860" s="125"/>
      <c r="AI860" s="125"/>
      <c r="AJ860" s="125"/>
      <c r="AK860" s="125"/>
      <c r="AL860" s="125"/>
      <c r="AM860" s="125"/>
      <c r="AN860" s="125"/>
      <c r="AO860" s="125"/>
      <c r="AP860" s="125"/>
      <c r="AQ860" s="125"/>
      <c r="AR860" s="125"/>
      <c r="AS860" s="125"/>
      <c r="AT860" s="125"/>
      <c r="AU860" s="125"/>
      <c r="AV860" s="125"/>
      <c r="AW860" s="125"/>
      <c r="AX860" s="125"/>
      <c r="AY860" s="125"/>
      <c r="AZ860" s="125"/>
      <c r="BA860" s="125"/>
      <c r="BB860" s="125"/>
      <c r="BC860" s="125"/>
      <c r="BD860" s="125"/>
      <c r="BE860" s="125"/>
      <c r="BF860" s="125"/>
    </row>
    <row r="861" spans="1:58" ht="15.75" customHeight="1">
      <c r="A861" s="125"/>
      <c r="B861" s="125"/>
      <c r="C861" s="125"/>
      <c r="D861" s="125"/>
      <c r="E861" s="125"/>
      <c r="F861" s="125"/>
      <c r="G861" s="125"/>
      <c r="H861" s="125"/>
      <c r="I861" s="125"/>
      <c r="J861" s="125"/>
      <c r="K861" s="125"/>
      <c r="L861" s="125"/>
      <c r="M861" s="125"/>
      <c r="N861" s="125"/>
      <c r="O861" s="125"/>
      <c r="P861" s="125"/>
      <c r="Q861" s="125"/>
      <c r="R861" s="125"/>
      <c r="S861" s="125"/>
      <c r="T861" s="125"/>
      <c r="U861" s="125"/>
      <c r="V861" s="125"/>
      <c r="W861" s="125"/>
      <c r="X861" s="125"/>
      <c r="Y861" s="125"/>
      <c r="Z861" s="125"/>
      <c r="AA861" s="125"/>
      <c r="AB861" s="125"/>
      <c r="AC861" s="125"/>
      <c r="AD861" s="125"/>
      <c r="AE861" s="125"/>
      <c r="AF861" s="125"/>
      <c r="AG861" s="125"/>
      <c r="AH861" s="125"/>
      <c r="AI861" s="125"/>
      <c r="AJ861" s="125"/>
      <c r="AK861" s="125"/>
      <c r="AL861" s="125"/>
      <c r="AM861" s="125"/>
      <c r="AN861" s="125"/>
      <c r="AO861" s="125"/>
      <c r="AP861" s="125"/>
      <c r="AQ861" s="125"/>
      <c r="AR861" s="125"/>
      <c r="AS861" s="125"/>
      <c r="AT861" s="125"/>
      <c r="AU861" s="125"/>
      <c r="AV861" s="125"/>
      <c r="AW861" s="125"/>
      <c r="AX861" s="125"/>
      <c r="AY861" s="125"/>
      <c r="AZ861" s="125"/>
      <c r="BA861" s="125"/>
      <c r="BB861" s="125"/>
      <c r="BC861" s="125"/>
      <c r="BD861" s="125"/>
      <c r="BE861" s="125"/>
      <c r="BF861" s="125"/>
    </row>
    <row r="862" spans="1:58" ht="15.75" customHeight="1">
      <c r="A862" s="125"/>
      <c r="B862" s="125"/>
      <c r="C862" s="125"/>
      <c r="D862" s="125"/>
      <c r="E862" s="125"/>
      <c r="F862" s="125"/>
      <c r="G862" s="125"/>
      <c r="H862" s="125"/>
      <c r="I862" s="125"/>
      <c r="J862" s="125"/>
      <c r="K862" s="125"/>
      <c r="L862" s="125"/>
      <c r="M862" s="125"/>
      <c r="N862" s="125"/>
      <c r="O862" s="125"/>
      <c r="P862" s="125"/>
      <c r="Q862" s="125"/>
      <c r="R862" s="125"/>
      <c r="S862" s="125"/>
      <c r="T862" s="125"/>
      <c r="U862" s="125"/>
      <c r="V862" s="125"/>
      <c r="W862" s="125"/>
      <c r="X862" s="125"/>
      <c r="Y862" s="125"/>
      <c r="Z862" s="125"/>
      <c r="AA862" s="125"/>
      <c r="AB862" s="125"/>
      <c r="AC862" s="125"/>
      <c r="AD862" s="125"/>
      <c r="AE862" s="125"/>
      <c r="AF862" s="125"/>
      <c r="AG862" s="125"/>
      <c r="AH862" s="125"/>
      <c r="AI862" s="125"/>
      <c r="AJ862" s="125"/>
      <c r="AK862" s="125"/>
      <c r="AL862" s="125"/>
      <c r="AM862" s="125"/>
      <c r="AN862" s="125"/>
      <c r="AO862" s="125"/>
      <c r="AP862" s="125"/>
      <c r="AQ862" s="125"/>
      <c r="AR862" s="125"/>
      <c r="AS862" s="125"/>
      <c r="AT862" s="125"/>
      <c r="AU862" s="125"/>
      <c r="AV862" s="125"/>
      <c r="AW862" s="125"/>
      <c r="AX862" s="125"/>
      <c r="AY862" s="125"/>
      <c r="AZ862" s="125"/>
      <c r="BA862" s="125"/>
      <c r="BB862" s="125"/>
      <c r="BC862" s="125"/>
      <c r="BD862" s="125"/>
      <c r="BE862" s="125"/>
      <c r="BF862" s="125"/>
    </row>
    <row r="863" spans="1:58" ht="15.75" customHeight="1">
      <c r="A863" s="125"/>
      <c r="B863" s="125"/>
      <c r="C863" s="125"/>
      <c r="D863" s="125"/>
      <c r="E863" s="125"/>
      <c r="F863" s="125"/>
      <c r="G863" s="125"/>
      <c r="H863" s="125"/>
      <c r="I863" s="125"/>
      <c r="J863" s="125"/>
      <c r="K863" s="125"/>
      <c r="L863" s="125"/>
      <c r="M863" s="125"/>
      <c r="N863" s="125"/>
      <c r="O863" s="125"/>
      <c r="P863" s="125"/>
      <c r="Q863" s="125"/>
      <c r="R863" s="125"/>
      <c r="S863" s="125"/>
      <c r="T863" s="125"/>
      <c r="U863" s="125"/>
      <c r="V863" s="125"/>
      <c r="W863" s="125"/>
      <c r="X863" s="125"/>
      <c r="Y863" s="125"/>
      <c r="Z863" s="125"/>
      <c r="AA863" s="125"/>
      <c r="AB863" s="125"/>
      <c r="AC863" s="125"/>
      <c r="AD863" s="125"/>
      <c r="AE863" s="125"/>
      <c r="AF863" s="125"/>
      <c r="AG863" s="125"/>
      <c r="AH863" s="125"/>
      <c r="AI863" s="125"/>
      <c r="AJ863" s="125"/>
      <c r="AK863" s="125"/>
      <c r="AL863" s="125"/>
      <c r="AM863" s="125"/>
      <c r="AN863" s="125"/>
      <c r="AO863" s="125"/>
      <c r="AP863" s="125"/>
      <c r="AQ863" s="125"/>
      <c r="AR863" s="125"/>
      <c r="AS863" s="125"/>
      <c r="AT863" s="125"/>
      <c r="AU863" s="125"/>
      <c r="AV863" s="125"/>
      <c r="AW863" s="125"/>
      <c r="AX863" s="125"/>
      <c r="AY863" s="125"/>
      <c r="AZ863" s="125"/>
      <c r="BA863" s="125"/>
      <c r="BB863" s="125"/>
      <c r="BC863" s="125"/>
      <c r="BD863" s="125"/>
      <c r="BE863" s="125"/>
      <c r="BF863" s="125"/>
    </row>
    <row r="864" spans="1:58" ht="15.75" customHeight="1">
      <c r="A864" s="125"/>
      <c r="B864" s="125"/>
      <c r="C864" s="125"/>
      <c r="D864" s="125"/>
      <c r="E864" s="125"/>
      <c r="F864" s="125"/>
      <c r="G864" s="125"/>
      <c r="H864" s="125"/>
      <c r="I864" s="125"/>
      <c r="J864" s="125"/>
      <c r="K864" s="125"/>
      <c r="L864" s="125"/>
      <c r="M864" s="125"/>
      <c r="N864" s="125"/>
      <c r="O864" s="125"/>
      <c r="P864" s="125"/>
      <c r="Q864" s="125"/>
      <c r="R864" s="125"/>
      <c r="S864" s="125"/>
      <c r="T864" s="125"/>
      <c r="U864" s="125"/>
      <c r="V864" s="125"/>
      <c r="W864" s="125"/>
      <c r="X864" s="125"/>
      <c r="Y864" s="125"/>
      <c r="Z864" s="125"/>
      <c r="AA864" s="125"/>
      <c r="AB864" s="125"/>
      <c r="AC864" s="125"/>
      <c r="AD864" s="125"/>
      <c r="AE864" s="125"/>
      <c r="AF864" s="125"/>
      <c r="AG864" s="125"/>
      <c r="AH864" s="125"/>
      <c r="AI864" s="125"/>
      <c r="AJ864" s="125"/>
      <c r="AK864" s="125"/>
      <c r="AL864" s="125"/>
      <c r="AM864" s="125"/>
      <c r="AN864" s="125"/>
      <c r="AO864" s="125"/>
      <c r="AP864" s="125"/>
      <c r="AQ864" s="125"/>
      <c r="AR864" s="125"/>
      <c r="AS864" s="125"/>
      <c r="AT864" s="125"/>
      <c r="AU864" s="125"/>
      <c r="AV864" s="125"/>
      <c r="AW864" s="125"/>
      <c r="AX864" s="125"/>
      <c r="AY864" s="125"/>
      <c r="AZ864" s="125"/>
      <c r="BA864" s="125"/>
      <c r="BB864" s="125"/>
      <c r="BC864" s="125"/>
      <c r="BD864" s="125"/>
      <c r="BE864" s="125"/>
      <c r="BF864" s="125"/>
    </row>
    <row r="865" spans="1:58" ht="15.75" customHeight="1">
      <c r="A865" s="125"/>
      <c r="B865" s="125"/>
      <c r="C865" s="125"/>
      <c r="D865" s="125"/>
      <c r="E865" s="125"/>
      <c r="F865" s="125"/>
      <c r="G865" s="125"/>
      <c r="H865" s="125"/>
      <c r="I865" s="125"/>
      <c r="J865" s="125"/>
      <c r="K865" s="125"/>
      <c r="L865" s="125"/>
      <c r="M865" s="125"/>
      <c r="N865" s="125"/>
      <c r="O865" s="125"/>
      <c r="P865" s="125"/>
      <c r="Q865" s="125"/>
      <c r="R865" s="125"/>
      <c r="S865" s="125"/>
      <c r="T865" s="125"/>
      <c r="U865" s="125"/>
      <c r="V865" s="125"/>
      <c r="W865" s="125"/>
      <c r="X865" s="125"/>
      <c r="Y865" s="125"/>
      <c r="Z865" s="125"/>
      <c r="AA865" s="125"/>
      <c r="AB865" s="125"/>
      <c r="AC865" s="125"/>
      <c r="AD865" s="125"/>
      <c r="AE865" s="125"/>
      <c r="AF865" s="125"/>
      <c r="AG865" s="125"/>
      <c r="AH865" s="125"/>
      <c r="AI865" s="125"/>
      <c r="AJ865" s="125"/>
      <c r="AK865" s="125"/>
      <c r="AL865" s="125"/>
      <c r="AM865" s="125"/>
      <c r="AN865" s="125"/>
      <c r="AO865" s="125"/>
      <c r="AP865" s="125"/>
      <c r="AQ865" s="125"/>
      <c r="AR865" s="125"/>
      <c r="AS865" s="125"/>
      <c r="AT865" s="125"/>
      <c r="AU865" s="125"/>
      <c r="AV865" s="125"/>
      <c r="AW865" s="125"/>
      <c r="AX865" s="125"/>
      <c r="AY865" s="125"/>
      <c r="AZ865" s="125"/>
      <c r="BA865" s="125"/>
      <c r="BB865" s="125"/>
      <c r="BC865" s="125"/>
      <c r="BD865" s="125"/>
      <c r="BE865" s="125"/>
      <c r="BF865" s="125"/>
    </row>
    <row r="866" spans="1:58" ht="15.75" customHeight="1">
      <c r="A866" s="125"/>
      <c r="B866" s="125"/>
      <c r="C866" s="125"/>
      <c r="D866" s="125"/>
      <c r="E866" s="125"/>
      <c r="F866" s="125"/>
      <c r="G866" s="125"/>
      <c r="H866" s="125"/>
      <c r="I866" s="125"/>
      <c r="J866" s="125"/>
      <c r="K866" s="125"/>
      <c r="L866" s="125"/>
      <c r="M866" s="125"/>
      <c r="N866" s="125"/>
      <c r="O866" s="125"/>
      <c r="P866" s="125"/>
      <c r="Q866" s="125"/>
      <c r="R866" s="125"/>
      <c r="S866" s="125"/>
      <c r="T866" s="125"/>
      <c r="U866" s="125"/>
      <c r="V866" s="125"/>
      <c r="W866" s="125"/>
      <c r="X866" s="125"/>
      <c r="Y866" s="125"/>
      <c r="Z866" s="125"/>
      <c r="AA866" s="125"/>
      <c r="AB866" s="125"/>
      <c r="AC866" s="125"/>
      <c r="AD866" s="125"/>
      <c r="AE866" s="125"/>
      <c r="AF866" s="125"/>
      <c r="AG866" s="125"/>
      <c r="AH866" s="125"/>
      <c r="AI866" s="125"/>
      <c r="AJ866" s="125"/>
      <c r="AK866" s="125"/>
      <c r="AL866" s="125"/>
      <c r="AM866" s="125"/>
      <c r="AN866" s="125"/>
      <c r="AO866" s="125"/>
      <c r="AP866" s="125"/>
      <c r="AQ866" s="125"/>
      <c r="AR866" s="125"/>
      <c r="AS866" s="125"/>
      <c r="AT866" s="125"/>
      <c r="AU866" s="125"/>
      <c r="AV866" s="125"/>
      <c r="AW866" s="125"/>
      <c r="AX866" s="125"/>
      <c r="AY866" s="125"/>
      <c r="AZ866" s="125"/>
      <c r="BA866" s="125"/>
      <c r="BB866" s="125"/>
      <c r="BC866" s="125"/>
      <c r="BD866" s="125"/>
      <c r="BE866" s="125"/>
      <c r="BF866" s="125"/>
    </row>
    <row r="867" spans="1:58" ht="15.75" customHeight="1">
      <c r="A867" s="125"/>
      <c r="B867" s="125"/>
      <c r="C867" s="125"/>
      <c r="D867" s="125"/>
      <c r="E867" s="125"/>
      <c r="F867" s="125"/>
      <c r="G867" s="125"/>
      <c r="H867" s="125"/>
      <c r="I867" s="125"/>
      <c r="J867" s="125"/>
      <c r="K867" s="125"/>
      <c r="L867" s="125"/>
      <c r="M867" s="125"/>
      <c r="N867" s="125"/>
      <c r="O867" s="125"/>
      <c r="P867" s="125"/>
      <c r="Q867" s="125"/>
      <c r="R867" s="125"/>
      <c r="S867" s="125"/>
      <c r="T867" s="125"/>
      <c r="U867" s="125"/>
      <c r="V867" s="125"/>
      <c r="W867" s="125"/>
      <c r="X867" s="125"/>
      <c r="Y867" s="125"/>
      <c r="Z867" s="125"/>
      <c r="AA867" s="125"/>
      <c r="AB867" s="125"/>
      <c r="AC867" s="125"/>
      <c r="AD867" s="125"/>
      <c r="AE867" s="125"/>
      <c r="AF867" s="125"/>
      <c r="AG867" s="125"/>
      <c r="AH867" s="125"/>
      <c r="AI867" s="125"/>
      <c r="AJ867" s="125"/>
      <c r="AK867" s="125"/>
      <c r="AL867" s="125"/>
      <c r="AM867" s="125"/>
      <c r="AN867" s="125"/>
      <c r="AO867" s="125"/>
      <c r="AP867" s="125"/>
      <c r="AQ867" s="125"/>
      <c r="AR867" s="125"/>
      <c r="AS867" s="125"/>
      <c r="AT867" s="125"/>
      <c r="AU867" s="125"/>
      <c r="AV867" s="125"/>
      <c r="AW867" s="125"/>
      <c r="AX867" s="125"/>
      <c r="AY867" s="125"/>
      <c r="AZ867" s="125"/>
      <c r="BA867" s="125"/>
      <c r="BB867" s="125"/>
      <c r="BC867" s="125"/>
      <c r="BD867" s="125"/>
      <c r="BE867" s="125"/>
      <c r="BF867" s="125"/>
    </row>
    <row r="868" spans="1:58" ht="15.75" customHeight="1">
      <c r="A868" s="125"/>
      <c r="B868" s="125"/>
      <c r="C868" s="125"/>
      <c r="D868" s="125"/>
      <c r="E868" s="125"/>
      <c r="F868" s="125"/>
      <c r="G868" s="125"/>
      <c r="H868" s="125"/>
      <c r="I868" s="125"/>
      <c r="J868" s="125"/>
      <c r="K868" s="125"/>
      <c r="L868" s="125"/>
      <c r="M868" s="125"/>
      <c r="N868" s="125"/>
      <c r="O868" s="125"/>
      <c r="P868" s="125"/>
      <c r="Q868" s="125"/>
      <c r="R868" s="125"/>
      <c r="S868" s="125"/>
      <c r="T868" s="125"/>
      <c r="U868" s="125"/>
      <c r="V868" s="125"/>
      <c r="W868" s="125"/>
      <c r="X868" s="125"/>
      <c r="Y868" s="125"/>
      <c r="Z868" s="125"/>
      <c r="AA868" s="125"/>
      <c r="AB868" s="125"/>
      <c r="AC868" s="125"/>
      <c r="AD868" s="125"/>
      <c r="AE868" s="125"/>
      <c r="AF868" s="125"/>
      <c r="AG868" s="125"/>
      <c r="AH868" s="125"/>
      <c r="AI868" s="125"/>
      <c r="AJ868" s="125"/>
      <c r="AK868" s="125"/>
      <c r="AL868" s="125"/>
      <c r="AM868" s="125"/>
      <c r="AN868" s="125"/>
      <c r="AO868" s="125"/>
      <c r="AP868" s="125"/>
      <c r="AQ868" s="125"/>
      <c r="AR868" s="125"/>
      <c r="AS868" s="125"/>
      <c r="AT868" s="125"/>
      <c r="AU868" s="125"/>
      <c r="AV868" s="125"/>
      <c r="AW868" s="125"/>
      <c r="AX868" s="125"/>
      <c r="AY868" s="125"/>
      <c r="AZ868" s="125"/>
      <c r="BA868" s="125"/>
      <c r="BB868" s="125"/>
      <c r="BC868" s="125"/>
      <c r="BD868" s="125"/>
      <c r="BE868" s="125"/>
      <c r="BF868" s="125"/>
    </row>
    <row r="869" spans="1:58" ht="15.75" customHeight="1">
      <c r="A869" s="125"/>
      <c r="B869" s="125"/>
      <c r="C869" s="125"/>
      <c r="D869" s="125"/>
      <c r="E869" s="125"/>
      <c r="F869" s="125"/>
      <c r="G869" s="125"/>
      <c r="H869" s="125"/>
      <c r="I869" s="125"/>
      <c r="J869" s="125"/>
      <c r="K869" s="125"/>
      <c r="L869" s="125"/>
      <c r="M869" s="125"/>
      <c r="N869" s="125"/>
      <c r="O869" s="125"/>
      <c r="P869" s="125"/>
      <c r="Q869" s="125"/>
      <c r="R869" s="125"/>
      <c r="S869" s="125"/>
      <c r="T869" s="125"/>
      <c r="U869" s="125"/>
      <c r="V869" s="125"/>
      <c r="W869" s="125"/>
      <c r="X869" s="125"/>
      <c r="Y869" s="125"/>
      <c r="Z869" s="125"/>
      <c r="AA869" s="125"/>
      <c r="AB869" s="125"/>
      <c r="AC869" s="125"/>
      <c r="AD869" s="125"/>
      <c r="AE869" s="125"/>
      <c r="AF869" s="125"/>
      <c r="AG869" s="125"/>
      <c r="AH869" s="125"/>
      <c r="AI869" s="125"/>
      <c r="AJ869" s="125"/>
      <c r="AK869" s="125"/>
      <c r="AL869" s="125"/>
      <c r="AM869" s="125"/>
      <c r="AN869" s="125"/>
      <c r="AO869" s="125"/>
      <c r="AP869" s="125"/>
      <c r="AQ869" s="125"/>
      <c r="AR869" s="125"/>
      <c r="AS869" s="125"/>
      <c r="AT869" s="125"/>
      <c r="AU869" s="125"/>
      <c r="AV869" s="125"/>
      <c r="AW869" s="125"/>
      <c r="AX869" s="125"/>
      <c r="AY869" s="125"/>
      <c r="AZ869" s="125"/>
      <c r="BA869" s="125"/>
      <c r="BB869" s="125"/>
      <c r="BC869" s="125"/>
      <c r="BD869" s="125"/>
      <c r="BE869" s="125"/>
      <c r="BF869" s="125"/>
    </row>
    <row r="870" spans="1:58" ht="15.75" customHeight="1">
      <c r="A870" s="125"/>
      <c r="B870" s="125"/>
      <c r="C870" s="125"/>
      <c r="D870" s="125"/>
      <c r="E870" s="125"/>
      <c r="F870" s="125"/>
      <c r="G870" s="125"/>
      <c r="H870" s="125"/>
      <c r="I870" s="125"/>
      <c r="J870" s="125"/>
      <c r="K870" s="125"/>
      <c r="L870" s="125"/>
      <c r="M870" s="125"/>
      <c r="N870" s="125"/>
      <c r="O870" s="125"/>
      <c r="P870" s="125"/>
      <c r="Q870" s="125"/>
      <c r="R870" s="125"/>
      <c r="S870" s="125"/>
      <c r="T870" s="125"/>
      <c r="U870" s="125"/>
      <c r="V870" s="125"/>
      <c r="W870" s="125"/>
      <c r="X870" s="125"/>
      <c r="Y870" s="125"/>
      <c r="Z870" s="125"/>
      <c r="AA870" s="125"/>
      <c r="AB870" s="125"/>
      <c r="AC870" s="125"/>
      <c r="AD870" s="125"/>
      <c r="AE870" s="125"/>
      <c r="AF870" s="125"/>
      <c r="AG870" s="125"/>
      <c r="AH870" s="125"/>
      <c r="AI870" s="125"/>
      <c r="AJ870" s="125"/>
      <c r="AK870" s="125"/>
      <c r="AL870" s="125"/>
      <c r="AM870" s="125"/>
      <c r="AN870" s="125"/>
      <c r="AO870" s="125"/>
      <c r="AP870" s="125"/>
      <c r="AQ870" s="125"/>
      <c r="AR870" s="125"/>
      <c r="AS870" s="125"/>
      <c r="AT870" s="125"/>
      <c r="AU870" s="125"/>
      <c r="AV870" s="125"/>
      <c r="AW870" s="125"/>
      <c r="AX870" s="125"/>
      <c r="AY870" s="125"/>
      <c r="AZ870" s="125"/>
      <c r="BA870" s="125"/>
      <c r="BB870" s="125"/>
      <c r="BC870" s="125"/>
      <c r="BD870" s="125"/>
      <c r="BE870" s="125"/>
      <c r="BF870" s="125"/>
    </row>
    <row r="871" spans="1:58" ht="15.75" customHeight="1">
      <c r="A871" s="125"/>
      <c r="B871" s="125"/>
      <c r="C871" s="125"/>
      <c r="D871" s="125"/>
      <c r="E871" s="125"/>
      <c r="F871" s="125"/>
      <c r="G871" s="125"/>
      <c r="H871" s="125"/>
      <c r="I871" s="125"/>
      <c r="J871" s="125"/>
      <c r="K871" s="125"/>
      <c r="L871" s="125"/>
      <c r="M871" s="125"/>
      <c r="N871" s="125"/>
      <c r="O871" s="125"/>
      <c r="P871" s="125"/>
      <c r="Q871" s="125"/>
      <c r="R871" s="125"/>
      <c r="S871" s="125"/>
      <c r="T871" s="125"/>
      <c r="U871" s="125"/>
      <c r="V871" s="125"/>
      <c r="W871" s="125"/>
      <c r="X871" s="125"/>
      <c r="Y871" s="125"/>
      <c r="Z871" s="125"/>
      <c r="AA871" s="125"/>
      <c r="AB871" s="125"/>
      <c r="AC871" s="125"/>
      <c r="AD871" s="125"/>
      <c r="AE871" s="125"/>
      <c r="AF871" s="125"/>
      <c r="AG871" s="125"/>
      <c r="AH871" s="125"/>
      <c r="AI871" s="125"/>
      <c r="AJ871" s="125"/>
      <c r="AK871" s="125"/>
      <c r="AL871" s="125"/>
      <c r="AM871" s="125"/>
      <c r="AN871" s="125"/>
      <c r="AO871" s="125"/>
      <c r="AP871" s="125"/>
      <c r="AQ871" s="125"/>
      <c r="AR871" s="125"/>
      <c r="AS871" s="125"/>
      <c r="AT871" s="125"/>
      <c r="AU871" s="125"/>
      <c r="AV871" s="125"/>
      <c r="AW871" s="125"/>
      <c r="AX871" s="125"/>
      <c r="AY871" s="125"/>
      <c r="AZ871" s="125"/>
      <c r="BA871" s="125"/>
      <c r="BB871" s="125"/>
      <c r="BC871" s="125"/>
      <c r="BD871" s="125"/>
      <c r="BE871" s="125"/>
      <c r="BF871" s="125"/>
    </row>
    <row r="872" spans="1:58" ht="15.75" customHeight="1">
      <c r="A872" s="125"/>
      <c r="B872" s="125"/>
      <c r="C872" s="125"/>
      <c r="D872" s="125"/>
      <c r="E872" s="125"/>
      <c r="F872" s="125"/>
      <c r="G872" s="125"/>
      <c r="H872" s="125"/>
      <c r="I872" s="125"/>
      <c r="J872" s="125"/>
      <c r="K872" s="125"/>
      <c r="L872" s="125"/>
      <c r="M872" s="125"/>
      <c r="N872" s="125"/>
      <c r="O872" s="125"/>
      <c r="P872" s="125"/>
      <c r="Q872" s="125"/>
      <c r="R872" s="125"/>
      <c r="S872" s="125"/>
      <c r="T872" s="125"/>
      <c r="U872" s="125"/>
      <c r="V872" s="125"/>
      <c r="W872" s="125"/>
      <c r="X872" s="125"/>
      <c r="Y872" s="125"/>
      <c r="Z872" s="125"/>
      <c r="AA872" s="125"/>
      <c r="AB872" s="125"/>
      <c r="AC872" s="125"/>
      <c r="AD872" s="125"/>
      <c r="AE872" s="125"/>
      <c r="AF872" s="125"/>
      <c r="AG872" s="125"/>
      <c r="AH872" s="125"/>
      <c r="AI872" s="125"/>
      <c r="AJ872" s="125"/>
      <c r="AK872" s="125"/>
      <c r="AL872" s="125"/>
      <c r="AM872" s="125"/>
      <c r="AN872" s="125"/>
      <c r="AO872" s="125"/>
      <c r="AP872" s="125"/>
      <c r="AQ872" s="125"/>
      <c r="AR872" s="125"/>
      <c r="AS872" s="125"/>
      <c r="AT872" s="125"/>
      <c r="AU872" s="125"/>
      <c r="AV872" s="125"/>
      <c r="AW872" s="125"/>
      <c r="AX872" s="125"/>
      <c r="AY872" s="125"/>
      <c r="AZ872" s="125"/>
      <c r="BA872" s="125"/>
      <c r="BB872" s="125"/>
      <c r="BC872" s="125"/>
      <c r="BD872" s="125"/>
      <c r="BE872" s="125"/>
      <c r="BF872" s="125"/>
    </row>
    <row r="873" spans="1:58" ht="15.75" customHeight="1">
      <c r="A873" s="125"/>
      <c r="B873" s="125"/>
      <c r="C873" s="125"/>
      <c r="D873" s="125"/>
      <c r="E873" s="125"/>
      <c r="F873" s="125"/>
      <c r="G873" s="125"/>
      <c r="H873" s="125"/>
      <c r="I873" s="125"/>
      <c r="J873" s="125"/>
      <c r="K873" s="125"/>
      <c r="L873" s="125"/>
      <c r="M873" s="125"/>
      <c r="N873" s="125"/>
      <c r="O873" s="125"/>
      <c r="P873" s="125"/>
      <c r="Q873" s="125"/>
      <c r="R873" s="125"/>
      <c r="S873" s="125"/>
      <c r="T873" s="125"/>
      <c r="U873" s="125"/>
      <c r="V873" s="125"/>
      <c r="W873" s="125"/>
      <c r="X873" s="125"/>
      <c r="Y873" s="125"/>
      <c r="Z873" s="125"/>
      <c r="AA873" s="125"/>
      <c r="AB873" s="125"/>
      <c r="AC873" s="125"/>
      <c r="AD873" s="125"/>
      <c r="AE873" s="125"/>
      <c r="AF873" s="125"/>
      <c r="AG873" s="125"/>
      <c r="AH873" s="125"/>
      <c r="AI873" s="125"/>
      <c r="AJ873" s="125"/>
      <c r="AK873" s="125"/>
      <c r="AL873" s="125"/>
      <c r="AM873" s="125"/>
      <c r="AN873" s="125"/>
      <c r="AO873" s="125"/>
      <c r="AP873" s="125"/>
      <c r="AQ873" s="125"/>
      <c r="AR873" s="125"/>
      <c r="AS873" s="125"/>
      <c r="AT873" s="125"/>
      <c r="AU873" s="125"/>
      <c r="AV873" s="125"/>
      <c r="AW873" s="125"/>
      <c r="AX873" s="125"/>
      <c r="AY873" s="125"/>
      <c r="AZ873" s="125"/>
      <c r="BA873" s="125"/>
      <c r="BB873" s="125"/>
      <c r="BC873" s="125"/>
      <c r="BD873" s="125"/>
      <c r="BE873" s="125"/>
      <c r="BF873" s="125"/>
    </row>
    <row r="874" spans="1:58" ht="15.75" customHeight="1">
      <c r="A874" s="125"/>
      <c r="B874" s="125"/>
      <c r="C874" s="125"/>
      <c r="D874" s="125"/>
      <c r="E874" s="125"/>
      <c r="F874" s="125"/>
      <c r="G874" s="125"/>
      <c r="H874" s="125"/>
      <c r="I874" s="125"/>
      <c r="J874" s="125"/>
      <c r="K874" s="125"/>
      <c r="L874" s="125"/>
      <c r="M874" s="125"/>
      <c r="N874" s="125"/>
      <c r="O874" s="125"/>
      <c r="P874" s="125"/>
      <c r="Q874" s="125"/>
      <c r="R874" s="125"/>
      <c r="S874" s="125"/>
      <c r="T874" s="125"/>
      <c r="U874" s="125"/>
      <c r="V874" s="125"/>
      <c r="W874" s="125"/>
      <c r="X874" s="125"/>
      <c r="Y874" s="125"/>
      <c r="Z874" s="125"/>
      <c r="AA874" s="125"/>
      <c r="AB874" s="125"/>
      <c r="AC874" s="125"/>
      <c r="AD874" s="125"/>
      <c r="AE874" s="125"/>
      <c r="AF874" s="125"/>
      <c r="AG874" s="125"/>
      <c r="AH874" s="125"/>
      <c r="AI874" s="125"/>
      <c r="AJ874" s="125"/>
      <c r="AK874" s="125"/>
      <c r="AL874" s="125"/>
      <c r="AM874" s="125"/>
      <c r="AN874" s="125"/>
      <c r="AO874" s="125"/>
      <c r="AP874" s="125"/>
      <c r="AQ874" s="125"/>
      <c r="AR874" s="125"/>
      <c r="AS874" s="125"/>
      <c r="AT874" s="125"/>
      <c r="AU874" s="125"/>
      <c r="AV874" s="125"/>
      <c r="AW874" s="125"/>
      <c r="AX874" s="125"/>
      <c r="AY874" s="125"/>
      <c r="AZ874" s="125"/>
      <c r="BA874" s="125"/>
      <c r="BB874" s="125"/>
      <c r="BC874" s="125"/>
      <c r="BD874" s="125"/>
      <c r="BE874" s="125"/>
      <c r="BF874" s="125"/>
    </row>
    <row r="875" spans="1:58" ht="15.75" customHeight="1">
      <c r="A875" s="125"/>
      <c r="B875" s="125"/>
      <c r="C875" s="125"/>
      <c r="D875" s="125"/>
      <c r="E875" s="125"/>
      <c r="F875" s="125"/>
      <c r="G875" s="125"/>
      <c r="H875" s="125"/>
      <c r="I875" s="125"/>
      <c r="J875" s="125"/>
      <c r="K875" s="125"/>
      <c r="L875" s="125"/>
      <c r="M875" s="125"/>
      <c r="N875" s="125"/>
      <c r="O875" s="125"/>
      <c r="P875" s="125"/>
      <c r="Q875" s="125"/>
      <c r="R875" s="125"/>
      <c r="S875" s="125"/>
      <c r="T875" s="125"/>
      <c r="U875" s="125"/>
      <c r="V875" s="125"/>
      <c r="W875" s="125"/>
      <c r="X875" s="125"/>
      <c r="Y875" s="125"/>
      <c r="Z875" s="125"/>
      <c r="AA875" s="125"/>
      <c r="AB875" s="125"/>
      <c r="AC875" s="125"/>
      <c r="AD875" s="125"/>
      <c r="AE875" s="125"/>
      <c r="AF875" s="125"/>
      <c r="AG875" s="125"/>
      <c r="AH875" s="125"/>
      <c r="AI875" s="125"/>
      <c r="AJ875" s="125"/>
      <c r="AK875" s="125"/>
      <c r="AL875" s="125"/>
      <c r="AM875" s="125"/>
      <c r="AN875" s="125"/>
      <c r="AO875" s="125"/>
      <c r="AP875" s="125"/>
      <c r="AQ875" s="125"/>
      <c r="AR875" s="125"/>
      <c r="AS875" s="125"/>
      <c r="AT875" s="125"/>
      <c r="AU875" s="125"/>
      <c r="AV875" s="125"/>
      <c r="AW875" s="125"/>
      <c r="AX875" s="125"/>
      <c r="AY875" s="125"/>
      <c r="AZ875" s="125"/>
      <c r="BA875" s="125"/>
      <c r="BB875" s="125"/>
      <c r="BC875" s="125"/>
      <c r="BD875" s="125"/>
      <c r="BE875" s="125"/>
      <c r="BF875" s="125"/>
    </row>
    <row r="876" spans="1:58" ht="15.75" customHeight="1">
      <c r="A876" s="125"/>
      <c r="B876" s="125"/>
      <c r="C876" s="125"/>
      <c r="D876" s="125"/>
      <c r="E876" s="125"/>
      <c r="F876" s="125"/>
      <c r="G876" s="125"/>
      <c r="H876" s="125"/>
      <c r="I876" s="125"/>
      <c r="J876" s="125"/>
      <c r="K876" s="125"/>
      <c r="L876" s="125"/>
      <c r="M876" s="125"/>
      <c r="N876" s="125"/>
      <c r="O876" s="125"/>
      <c r="P876" s="125"/>
      <c r="Q876" s="125"/>
      <c r="R876" s="125"/>
      <c r="S876" s="125"/>
      <c r="T876" s="125"/>
      <c r="U876" s="125"/>
      <c r="V876" s="125"/>
      <c r="W876" s="125"/>
      <c r="X876" s="125"/>
      <c r="Y876" s="125"/>
      <c r="Z876" s="125"/>
      <c r="AA876" s="125"/>
      <c r="AB876" s="125"/>
      <c r="AC876" s="125"/>
      <c r="AD876" s="125"/>
      <c r="AE876" s="125"/>
      <c r="AF876" s="125"/>
      <c r="AG876" s="125"/>
      <c r="AH876" s="125"/>
      <c r="AI876" s="125"/>
      <c r="AJ876" s="125"/>
      <c r="AK876" s="125"/>
      <c r="AL876" s="125"/>
      <c r="AM876" s="125"/>
      <c r="AN876" s="125"/>
      <c r="AO876" s="125"/>
      <c r="AP876" s="125"/>
      <c r="AQ876" s="125"/>
      <c r="AR876" s="125"/>
      <c r="AS876" s="125"/>
      <c r="AT876" s="125"/>
      <c r="AU876" s="125"/>
      <c r="AV876" s="125"/>
      <c r="AW876" s="125"/>
      <c r="AX876" s="125"/>
      <c r="AY876" s="125"/>
      <c r="AZ876" s="125"/>
      <c r="BA876" s="125"/>
      <c r="BB876" s="125"/>
      <c r="BC876" s="125"/>
      <c r="BD876" s="125"/>
      <c r="BE876" s="125"/>
      <c r="BF876" s="125"/>
    </row>
    <row r="877" spans="1:58" ht="15.75" customHeight="1">
      <c r="A877" s="125"/>
      <c r="B877" s="125"/>
      <c r="C877" s="125"/>
      <c r="D877" s="125"/>
      <c r="E877" s="125"/>
      <c r="F877" s="125"/>
      <c r="G877" s="125"/>
      <c r="H877" s="125"/>
      <c r="I877" s="125"/>
      <c r="J877" s="125"/>
      <c r="K877" s="125"/>
      <c r="L877" s="125"/>
      <c r="M877" s="125"/>
      <c r="N877" s="125"/>
      <c r="O877" s="125"/>
      <c r="P877" s="125"/>
      <c r="Q877" s="125"/>
      <c r="R877" s="125"/>
      <c r="S877" s="125"/>
      <c r="T877" s="125"/>
      <c r="U877" s="125"/>
      <c r="V877" s="125"/>
      <c r="W877" s="125"/>
      <c r="X877" s="125"/>
      <c r="Y877" s="125"/>
      <c r="Z877" s="125"/>
      <c r="AA877" s="125"/>
      <c r="AB877" s="125"/>
      <c r="AC877" s="125"/>
      <c r="AD877" s="125"/>
      <c r="AE877" s="125"/>
      <c r="AF877" s="125"/>
      <c r="AG877" s="125"/>
      <c r="AH877" s="125"/>
      <c r="AI877" s="125"/>
      <c r="AJ877" s="125"/>
      <c r="AK877" s="125"/>
      <c r="AL877" s="125"/>
      <c r="AM877" s="125"/>
      <c r="AN877" s="125"/>
      <c r="AO877" s="125"/>
      <c r="AP877" s="125"/>
      <c r="AQ877" s="125"/>
      <c r="AR877" s="125"/>
      <c r="AS877" s="125"/>
      <c r="AT877" s="125"/>
      <c r="AU877" s="125"/>
      <c r="AV877" s="125"/>
      <c r="AW877" s="125"/>
      <c r="AX877" s="125"/>
      <c r="AY877" s="125"/>
      <c r="AZ877" s="125"/>
      <c r="BA877" s="125"/>
      <c r="BB877" s="125"/>
      <c r="BC877" s="125"/>
      <c r="BD877" s="125"/>
      <c r="BE877" s="125"/>
      <c r="BF877" s="125"/>
    </row>
    <row r="878" spans="1:58" ht="15.75" customHeight="1">
      <c r="A878" s="125"/>
      <c r="B878" s="125"/>
      <c r="C878" s="125"/>
      <c r="D878" s="125"/>
      <c r="E878" s="125"/>
      <c r="F878" s="125"/>
      <c r="G878" s="125"/>
      <c r="H878" s="125"/>
      <c r="I878" s="125"/>
      <c r="J878" s="125"/>
      <c r="K878" s="125"/>
      <c r="L878" s="125"/>
      <c r="M878" s="125"/>
      <c r="N878" s="125"/>
      <c r="O878" s="125"/>
      <c r="P878" s="125"/>
      <c r="Q878" s="125"/>
      <c r="R878" s="125"/>
      <c r="S878" s="125"/>
      <c r="T878" s="125"/>
      <c r="U878" s="125"/>
      <c r="V878" s="125"/>
      <c r="W878" s="125"/>
      <c r="X878" s="125"/>
      <c r="Y878" s="125"/>
      <c r="Z878" s="125"/>
      <c r="AA878" s="125"/>
      <c r="AB878" s="125"/>
      <c r="AC878" s="125"/>
      <c r="AD878" s="125"/>
      <c r="AE878" s="125"/>
      <c r="AF878" s="125"/>
      <c r="AG878" s="125"/>
      <c r="AH878" s="125"/>
      <c r="AI878" s="125"/>
      <c r="AJ878" s="125"/>
      <c r="AK878" s="125"/>
      <c r="AL878" s="125"/>
      <c r="AM878" s="125"/>
      <c r="AN878" s="125"/>
      <c r="AO878" s="125"/>
      <c r="AP878" s="125"/>
      <c r="AQ878" s="125"/>
      <c r="AR878" s="125"/>
      <c r="AS878" s="125"/>
      <c r="AT878" s="125"/>
      <c r="AU878" s="125"/>
      <c r="AV878" s="125"/>
      <c r="AW878" s="125"/>
      <c r="AX878" s="125"/>
      <c r="AY878" s="125"/>
      <c r="AZ878" s="125"/>
      <c r="BA878" s="125"/>
      <c r="BB878" s="125"/>
      <c r="BC878" s="125"/>
      <c r="BD878" s="125"/>
      <c r="BE878" s="125"/>
      <c r="BF878" s="125"/>
    </row>
    <row r="879" spans="1:58" ht="15.75" customHeight="1">
      <c r="A879" s="125"/>
      <c r="B879" s="125"/>
      <c r="C879" s="125"/>
      <c r="D879" s="125"/>
      <c r="E879" s="125"/>
      <c r="F879" s="125"/>
      <c r="G879" s="125"/>
      <c r="H879" s="125"/>
      <c r="I879" s="125"/>
      <c r="J879" s="125"/>
      <c r="K879" s="125"/>
      <c r="L879" s="125"/>
      <c r="M879" s="125"/>
      <c r="N879" s="125"/>
      <c r="O879" s="125"/>
      <c r="P879" s="125"/>
      <c r="Q879" s="125"/>
      <c r="R879" s="125"/>
      <c r="S879" s="125"/>
      <c r="T879" s="125"/>
      <c r="U879" s="125"/>
      <c r="V879" s="125"/>
      <c r="W879" s="125"/>
      <c r="X879" s="125"/>
      <c r="Y879" s="125"/>
      <c r="Z879" s="125"/>
      <c r="AA879" s="125"/>
      <c r="AB879" s="125"/>
      <c r="AC879" s="125"/>
      <c r="AD879" s="125"/>
      <c r="AE879" s="125"/>
      <c r="AF879" s="125"/>
      <c r="AG879" s="125"/>
      <c r="AH879" s="125"/>
      <c r="AI879" s="125"/>
      <c r="AJ879" s="125"/>
      <c r="AK879" s="125"/>
      <c r="AL879" s="125"/>
      <c r="AM879" s="125"/>
      <c r="AN879" s="125"/>
      <c r="AO879" s="125"/>
      <c r="AP879" s="125"/>
      <c r="AQ879" s="125"/>
      <c r="AR879" s="125"/>
      <c r="AS879" s="125"/>
      <c r="AT879" s="125"/>
      <c r="AU879" s="125"/>
      <c r="AV879" s="125"/>
      <c r="AW879" s="125"/>
      <c r="AX879" s="125"/>
      <c r="AY879" s="125"/>
      <c r="AZ879" s="125"/>
      <c r="BA879" s="125"/>
      <c r="BB879" s="125"/>
      <c r="BC879" s="125"/>
      <c r="BD879" s="125"/>
      <c r="BE879" s="125"/>
      <c r="BF879" s="125"/>
    </row>
    <row r="880" spans="1:58" ht="15.75" customHeight="1">
      <c r="A880" s="125"/>
      <c r="B880" s="125"/>
      <c r="C880" s="125"/>
      <c r="D880" s="125"/>
      <c r="E880" s="125"/>
      <c r="F880" s="125"/>
      <c r="G880" s="125"/>
      <c r="H880" s="125"/>
      <c r="I880" s="125"/>
      <c r="J880" s="125"/>
      <c r="K880" s="125"/>
      <c r="L880" s="125"/>
      <c r="M880" s="125"/>
      <c r="N880" s="125"/>
      <c r="O880" s="125"/>
      <c r="P880" s="125"/>
      <c r="Q880" s="125"/>
      <c r="R880" s="125"/>
      <c r="S880" s="125"/>
      <c r="T880" s="125"/>
      <c r="U880" s="125"/>
      <c r="V880" s="125"/>
      <c r="W880" s="125"/>
      <c r="X880" s="125"/>
      <c r="Y880" s="125"/>
      <c r="Z880" s="125"/>
      <c r="AA880" s="125"/>
      <c r="AB880" s="125"/>
      <c r="AC880" s="125"/>
      <c r="AD880" s="125"/>
      <c r="AE880" s="125"/>
      <c r="AF880" s="125"/>
      <c r="AG880" s="125"/>
      <c r="AH880" s="125"/>
      <c r="AI880" s="125"/>
      <c r="AJ880" s="125"/>
      <c r="AK880" s="125"/>
      <c r="AL880" s="125"/>
      <c r="AM880" s="125"/>
      <c r="AN880" s="125"/>
      <c r="AO880" s="125"/>
      <c r="AP880" s="125"/>
      <c r="AQ880" s="125"/>
      <c r="AR880" s="125"/>
      <c r="AS880" s="125"/>
      <c r="AT880" s="125"/>
      <c r="AU880" s="125"/>
      <c r="AV880" s="125"/>
      <c r="AW880" s="125"/>
      <c r="AX880" s="125"/>
      <c r="AY880" s="125"/>
      <c r="AZ880" s="125"/>
      <c r="BA880" s="125"/>
      <c r="BB880" s="125"/>
      <c r="BC880" s="125"/>
      <c r="BD880" s="125"/>
      <c r="BE880" s="125"/>
      <c r="BF880" s="125"/>
    </row>
    <row r="881" spans="1:58" ht="15.75" customHeight="1">
      <c r="A881" s="125"/>
      <c r="B881" s="125"/>
      <c r="C881" s="125"/>
      <c r="D881" s="125"/>
      <c r="E881" s="125"/>
      <c r="F881" s="125"/>
      <c r="G881" s="125"/>
      <c r="H881" s="125"/>
      <c r="I881" s="125"/>
      <c r="J881" s="125"/>
      <c r="K881" s="125"/>
      <c r="L881" s="125"/>
      <c r="M881" s="125"/>
      <c r="N881" s="125"/>
      <c r="O881" s="125"/>
      <c r="P881" s="125"/>
      <c r="Q881" s="125"/>
      <c r="R881" s="125"/>
      <c r="S881" s="125"/>
      <c r="T881" s="125"/>
      <c r="U881" s="125"/>
      <c r="V881" s="125"/>
      <c r="W881" s="125"/>
      <c r="X881" s="125"/>
      <c r="Y881" s="125"/>
      <c r="Z881" s="125"/>
      <c r="AA881" s="125"/>
      <c r="AB881" s="125"/>
      <c r="AC881" s="125"/>
      <c r="AD881" s="125"/>
      <c r="AE881" s="125"/>
      <c r="AF881" s="125"/>
      <c r="AG881" s="125"/>
      <c r="AH881" s="125"/>
      <c r="AI881" s="125"/>
      <c r="AJ881" s="125"/>
      <c r="AK881" s="125"/>
      <c r="AL881" s="125"/>
      <c r="AM881" s="125"/>
      <c r="AN881" s="125"/>
      <c r="AO881" s="125"/>
      <c r="AP881" s="125"/>
      <c r="AQ881" s="125"/>
      <c r="AR881" s="125"/>
      <c r="AS881" s="125"/>
      <c r="AT881" s="125"/>
      <c r="AU881" s="125"/>
      <c r="AV881" s="125"/>
      <c r="AW881" s="125"/>
      <c r="AX881" s="125"/>
      <c r="AY881" s="125"/>
      <c r="AZ881" s="125"/>
      <c r="BA881" s="125"/>
      <c r="BB881" s="125"/>
      <c r="BC881" s="125"/>
      <c r="BD881" s="125"/>
      <c r="BE881" s="125"/>
      <c r="BF881" s="125"/>
    </row>
    <row r="882" spans="1:58" ht="15.75" customHeight="1">
      <c r="A882" s="125"/>
      <c r="B882" s="125"/>
      <c r="C882" s="125"/>
      <c r="D882" s="125"/>
      <c r="E882" s="125"/>
      <c r="F882" s="125"/>
      <c r="G882" s="125"/>
      <c r="H882" s="125"/>
      <c r="I882" s="125"/>
      <c r="J882" s="125"/>
      <c r="K882" s="125"/>
      <c r="L882" s="125"/>
      <c r="M882" s="125"/>
      <c r="N882" s="125"/>
      <c r="O882" s="125"/>
      <c r="P882" s="125"/>
      <c r="Q882" s="125"/>
      <c r="R882" s="125"/>
      <c r="S882" s="125"/>
      <c r="T882" s="125"/>
      <c r="U882" s="125"/>
      <c r="V882" s="125"/>
      <c r="W882" s="125"/>
      <c r="X882" s="125"/>
      <c r="Y882" s="125"/>
      <c r="Z882" s="125"/>
      <c r="AA882" s="125"/>
      <c r="AB882" s="125"/>
      <c r="AC882" s="125"/>
      <c r="AD882" s="125"/>
      <c r="AE882" s="125"/>
      <c r="AF882" s="125"/>
      <c r="AG882" s="125"/>
      <c r="AH882" s="125"/>
      <c r="AI882" s="125"/>
      <c r="AJ882" s="125"/>
      <c r="AK882" s="125"/>
      <c r="AL882" s="125"/>
      <c r="AM882" s="125"/>
      <c r="AN882" s="125"/>
      <c r="AO882" s="125"/>
      <c r="AP882" s="125"/>
      <c r="AQ882" s="125"/>
      <c r="AR882" s="125"/>
      <c r="AS882" s="125"/>
      <c r="AT882" s="125"/>
      <c r="AU882" s="125"/>
      <c r="AV882" s="125"/>
      <c r="AW882" s="125"/>
      <c r="AX882" s="125"/>
      <c r="AY882" s="125"/>
      <c r="AZ882" s="125"/>
      <c r="BA882" s="125"/>
      <c r="BB882" s="125"/>
      <c r="BC882" s="125"/>
      <c r="BD882" s="125"/>
      <c r="BE882" s="125"/>
      <c r="BF882" s="125"/>
    </row>
    <row r="883" spans="1:58" ht="15.75" customHeight="1">
      <c r="A883" s="125"/>
      <c r="B883" s="125"/>
      <c r="C883" s="125"/>
      <c r="D883" s="125"/>
      <c r="E883" s="125"/>
      <c r="F883" s="125"/>
      <c r="G883" s="125"/>
      <c r="H883" s="125"/>
      <c r="I883" s="125"/>
      <c r="J883" s="125"/>
      <c r="K883" s="125"/>
      <c r="L883" s="125"/>
      <c r="M883" s="125"/>
      <c r="N883" s="125"/>
      <c r="O883" s="125"/>
      <c r="P883" s="125"/>
      <c r="Q883" s="125"/>
      <c r="R883" s="125"/>
      <c r="S883" s="125"/>
      <c r="T883" s="125"/>
      <c r="U883" s="125"/>
      <c r="V883" s="125"/>
      <c r="W883" s="125"/>
      <c r="X883" s="125"/>
      <c r="Y883" s="125"/>
      <c r="Z883" s="125"/>
      <c r="AA883" s="125"/>
      <c r="AB883" s="125"/>
      <c r="AC883" s="125"/>
      <c r="AD883" s="125"/>
      <c r="AE883" s="125"/>
      <c r="AF883" s="125"/>
      <c r="AG883" s="125"/>
      <c r="AH883" s="125"/>
      <c r="AI883" s="125"/>
      <c r="AJ883" s="125"/>
      <c r="AK883" s="125"/>
      <c r="AL883" s="125"/>
      <c r="AM883" s="125"/>
      <c r="AN883" s="125"/>
      <c r="AO883" s="125"/>
      <c r="AP883" s="125"/>
      <c r="AQ883" s="125"/>
      <c r="AR883" s="125"/>
      <c r="AS883" s="125"/>
      <c r="AT883" s="125"/>
      <c r="AU883" s="125"/>
      <c r="AV883" s="125"/>
      <c r="AW883" s="125"/>
      <c r="AX883" s="125"/>
      <c r="AY883" s="125"/>
      <c r="AZ883" s="125"/>
      <c r="BA883" s="125"/>
      <c r="BB883" s="125"/>
      <c r="BC883" s="125"/>
      <c r="BD883" s="125"/>
      <c r="BE883" s="125"/>
      <c r="BF883" s="125"/>
    </row>
    <row r="884" spans="1:58" ht="15.75" customHeight="1">
      <c r="A884" s="125"/>
      <c r="B884" s="125"/>
      <c r="C884" s="125"/>
      <c r="D884" s="125"/>
      <c r="E884" s="125"/>
      <c r="F884" s="125"/>
      <c r="G884" s="125"/>
      <c r="H884" s="125"/>
      <c r="I884" s="125"/>
      <c r="J884" s="125"/>
      <c r="K884" s="125"/>
      <c r="L884" s="125"/>
      <c r="M884" s="125"/>
      <c r="N884" s="125"/>
      <c r="O884" s="125"/>
      <c r="P884" s="125"/>
      <c r="Q884" s="125"/>
      <c r="R884" s="125"/>
      <c r="S884" s="125"/>
      <c r="T884" s="125"/>
      <c r="U884" s="125"/>
      <c r="V884" s="125"/>
      <c r="W884" s="125"/>
      <c r="X884" s="125"/>
      <c r="Y884" s="125"/>
      <c r="Z884" s="125"/>
      <c r="AA884" s="125"/>
      <c r="AB884" s="125"/>
      <c r="AC884" s="125"/>
      <c r="AD884" s="125"/>
      <c r="AE884" s="125"/>
      <c r="AF884" s="125"/>
      <c r="AG884" s="125"/>
      <c r="AH884" s="125"/>
      <c r="AI884" s="125"/>
      <c r="AJ884" s="125"/>
      <c r="AK884" s="125"/>
      <c r="AL884" s="125"/>
      <c r="AM884" s="125"/>
      <c r="AN884" s="125"/>
      <c r="AO884" s="125"/>
      <c r="AP884" s="125"/>
      <c r="AQ884" s="125"/>
      <c r="AR884" s="125"/>
      <c r="AS884" s="125"/>
      <c r="AT884" s="125"/>
      <c r="AU884" s="125"/>
      <c r="AV884" s="125"/>
      <c r="AW884" s="125"/>
      <c r="AX884" s="125"/>
      <c r="AY884" s="125"/>
      <c r="AZ884" s="125"/>
      <c r="BA884" s="125"/>
      <c r="BB884" s="125"/>
      <c r="BC884" s="125"/>
      <c r="BD884" s="125"/>
      <c r="BE884" s="125"/>
      <c r="BF884" s="125"/>
    </row>
    <row r="885" spans="1:58" ht="15.75" customHeight="1">
      <c r="A885" s="125"/>
      <c r="B885" s="125"/>
      <c r="C885" s="125"/>
      <c r="D885" s="125"/>
      <c r="E885" s="125"/>
      <c r="F885" s="125"/>
      <c r="G885" s="125"/>
      <c r="H885" s="125"/>
      <c r="I885" s="125"/>
      <c r="J885" s="125"/>
      <c r="K885" s="125"/>
      <c r="L885" s="125"/>
      <c r="M885" s="125"/>
      <c r="N885" s="125"/>
      <c r="O885" s="125"/>
      <c r="P885" s="125"/>
      <c r="Q885" s="125"/>
      <c r="R885" s="125"/>
      <c r="S885" s="125"/>
      <c r="T885" s="125"/>
      <c r="U885" s="125"/>
      <c r="V885" s="125"/>
      <c r="W885" s="125"/>
      <c r="X885" s="125"/>
      <c r="Y885" s="125"/>
      <c r="Z885" s="125"/>
      <c r="AA885" s="125"/>
      <c r="AB885" s="125"/>
      <c r="AC885" s="125"/>
      <c r="AD885" s="125"/>
      <c r="AE885" s="125"/>
      <c r="AF885" s="125"/>
      <c r="AG885" s="125"/>
      <c r="AH885" s="125"/>
      <c r="AI885" s="125"/>
      <c r="AJ885" s="125"/>
      <c r="AK885" s="125"/>
      <c r="AL885" s="125"/>
      <c r="AM885" s="125"/>
      <c r="AN885" s="125"/>
      <c r="AO885" s="125"/>
      <c r="AP885" s="125"/>
      <c r="AQ885" s="125"/>
      <c r="AR885" s="125"/>
      <c r="AS885" s="125"/>
      <c r="AT885" s="125"/>
      <c r="AU885" s="125"/>
      <c r="AV885" s="125"/>
      <c r="AW885" s="125"/>
      <c r="AX885" s="125"/>
      <c r="AY885" s="125"/>
      <c r="AZ885" s="125"/>
      <c r="BA885" s="125"/>
      <c r="BB885" s="125"/>
      <c r="BC885" s="125"/>
      <c r="BD885" s="125"/>
      <c r="BE885" s="125"/>
      <c r="BF885" s="125"/>
    </row>
    <row r="886" spans="1:58" ht="15.75" customHeight="1">
      <c r="A886" s="125"/>
      <c r="B886" s="125"/>
      <c r="C886" s="125"/>
      <c r="D886" s="125"/>
      <c r="E886" s="125"/>
      <c r="F886" s="125"/>
      <c r="G886" s="125"/>
      <c r="H886" s="125"/>
      <c r="I886" s="125"/>
      <c r="J886" s="125"/>
      <c r="K886" s="125"/>
      <c r="L886" s="125"/>
      <c r="M886" s="125"/>
      <c r="N886" s="125"/>
      <c r="O886" s="125"/>
      <c r="P886" s="125"/>
      <c r="Q886" s="125"/>
      <c r="R886" s="125"/>
      <c r="S886" s="125"/>
      <c r="T886" s="125"/>
      <c r="U886" s="125"/>
      <c r="V886" s="125"/>
      <c r="W886" s="125"/>
      <c r="X886" s="125"/>
      <c r="Y886" s="125"/>
      <c r="Z886" s="125"/>
      <c r="AA886" s="125"/>
      <c r="AB886" s="125"/>
      <c r="AC886" s="125"/>
      <c r="AD886" s="125"/>
      <c r="AE886" s="125"/>
      <c r="AF886" s="125"/>
      <c r="AG886" s="125"/>
      <c r="AH886" s="125"/>
      <c r="AI886" s="125"/>
      <c r="AJ886" s="125"/>
      <c r="AK886" s="125"/>
      <c r="AL886" s="125"/>
      <c r="AM886" s="125"/>
      <c r="AN886" s="125"/>
      <c r="AO886" s="125"/>
      <c r="AP886" s="125"/>
      <c r="AQ886" s="125"/>
      <c r="AR886" s="125"/>
      <c r="AS886" s="125"/>
      <c r="AT886" s="125"/>
      <c r="AU886" s="125"/>
      <c r="AV886" s="125"/>
      <c r="AW886" s="125"/>
      <c r="AX886" s="125"/>
      <c r="AY886" s="125"/>
      <c r="AZ886" s="125"/>
      <c r="BA886" s="125"/>
      <c r="BB886" s="125"/>
      <c r="BC886" s="125"/>
      <c r="BD886" s="125"/>
      <c r="BE886" s="125"/>
      <c r="BF886" s="125"/>
    </row>
    <row r="887" spans="1:58" ht="15.75" customHeight="1">
      <c r="A887" s="125"/>
      <c r="B887" s="125"/>
      <c r="C887" s="125"/>
      <c r="D887" s="125"/>
      <c r="E887" s="125"/>
      <c r="F887" s="125"/>
      <c r="G887" s="125"/>
      <c r="H887" s="125"/>
      <c r="I887" s="125"/>
      <c r="J887" s="125"/>
      <c r="K887" s="125"/>
      <c r="L887" s="125"/>
      <c r="M887" s="125"/>
      <c r="N887" s="125"/>
      <c r="O887" s="125"/>
      <c r="P887" s="125"/>
      <c r="Q887" s="125"/>
      <c r="R887" s="125"/>
      <c r="S887" s="125"/>
      <c r="T887" s="125"/>
      <c r="U887" s="125"/>
      <c r="V887" s="125"/>
      <c r="W887" s="125"/>
      <c r="X887" s="125"/>
      <c r="Y887" s="125"/>
      <c r="Z887" s="125"/>
      <c r="AA887" s="125"/>
      <c r="AB887" s="125"/>
      <c r="AC887" s="125"/>
      <c r="AD887" s="125"/>
      <c r="AE887" s="125"/>
      <c r="AF887" s="125"/>
      <c r="AG887" s="125"/>
      <c r="AH887" s="125"/>
      <c r="AI887" s="125"/>
      <c r="AJ887" s="125"/>
      <c r="AK887" s="125"/>
      <c r="AL887" s="125"/>
      <c r="AM887" s="125"/>
      <c r="AN887" s="125"/>
      <c r="AO887" s="125"/>
      <c r="AP887" s="125"/>
      <c r="AQ887" s="125"/>
      <c r="AR887" s="125"/>
      <c r="AS887" s="125"/>
      <c r="AT887" s="125"/>
      <c r="AU887" s="125"/>
      <c r="AV887" s="125"/>
      <c r="AW887" s="125"/>
      <c r="AX887" s="125"/>
      <c r="AY887" s="125"/>
      <c r="AZ887" s="125"/>
      <c r="BA887" s="125"/>
      <c r="BB887" s="125"/>
      <c r="BC887" s="125"/>
      <c r="BD887" s="125"/>
      <c r="BE887" s="125"/>
      <c r="BF887" s="125"/>
    </row>
    <row r="888" spans="1:58" ht="15.75" customHeight="1">
      <c r="A888" s="125"/>
      <c r="B888" s="125"/>
      <c r="C888" s="125"/>
      <c r="D888" s="125"/>
      <c r="E888" s="125"/>
      <c r="F888" s="125"/>
      <c r="G888" s="125"/>
      <c r="H888" s="125"/>
      <c r="I888" s="125"/>
      <c r="J888" s="125"/>
      <c r="K888" s="125"/>
      <c r="L888" s="125"/>
      <c r="M888" s="125"/>
      <c r="N888" s="125"/>
      <c r="O888" s="125"/>
      <c r="P888" s="125"/>
      <c r="Q888" s="125"/>
      <c r="R888" s="125"/>
      <c r="S888" s="125"/>
      <c r="T888" s="125"/>
      <c r="U888" s="125"/>
      <c r="V888" s="125"/>
      <c r="W888" s="125"/>
      <c r="X888" s="125"/>
      <c r="Y888" s="125"/>
      <c r="Z888" s="125"/>
      <c r="AA888" s="125"/>
      <c r="AB888" s="125"/>
      <c r="AC888" s="125"/>
      <c r="AD888" s="125"/>
      <c r="AE888" s="125"/>
      <c r="AF888" s="125"/>
      <c r="AG888" s="125"/>
      <c r="AH888" s="125"/>
      <c r="AI888" s="125"/>
      <c r="AJ888" s="125"/>
      <c r="AK888" s="125"/>
      <c r="AL888" s="125"/>
      <c r="AM888" s="125"/>
      <c r="AN888" s="125"/>
      <c r="AO888" s="125"/>
      <c r="AP888" s="125"/>
      <c r="AQ888" s="125"/>
      <c r="AR888" s="125"/>
      <c r="AS888" s="125"/>
      <c r="AT888" s="125"/>
      <c r="AU888" s="125"/>
      <c r="AV888" s="125"/>
      <c r="AW888" s="125"/>
      <c r="AX888" s="125"/>
      <c r="AY888" s="125"/>
      <c r="AZ888" s="125"/>
      <c r="BA888" s="125"/>
      <c r="BB888" s="125"/>
      <c r="BC888" s="125"/>
      <c r="BD888" s="125"/>
      <c r="BE888" s="125"/>
      <c r="BF888" s="125"/>
    </row>
    <row r="889" spans="1:58" ht="15.75" customHeight="1">
      <c r="A889" s="125"/>
      <c r="B889" s="125"/>
      <c r="C889" s="125"/>
      <c r="D889" s="125"/>
      <c r="E889" s="125"/>
      <c r="F889" s="125"/>
      <c r="G889" s="125"/>
      <c r="H889" s="125"/>
      <c r="I889" s="125"/>
      <c r="J889" s="125"/>
      <c r="K889" s="125"/>
      <c r="L889" s="125"/>
      <c r="M889" s="125"/>
      <c r="N889" s="125"/>
      <c r="O889" s="125"/>
      <c r="P889" s="125"/>
      <c r="Q889" s="125"/>
      <c r="R889" s="125"/>
      <c r="S889" s="125"/>
      <c r="T889" s="125"/>
      <c r="U889" s="125"/>
      <c r="V889" s="125"/>
      <c r="W889" s="125"/>
      <c r="X889" s="125"/>
      <c r="Y889" s="125"/>
      <c r="Z889" s="125"/>
      <c r="AA889" s="125"/>
      <c r="AB889" s="125"/>
      <c r="AC889" s="125"/>
      <c r="AD889" s="125"/>
      <c r="AE889" s="125"/>
      <c r="AF889" s="125"/>
      <c r="AG889" s="125"/>
      <c r="AH889" s="125"/>
      <c r="AI889" s="125"/>
      <c r="AJ889" s="125"/>
      <c r="AK889" s="125"/>
      <c r="AL889" s="125"/>
      <c r="AM889" s="125"/>
      <c r="AN889" s="125"/>
      <c r="AO889" s="125"/>
      <c r="AP889" s="125"/>
      <c r="AQ889" s="125"/>
      <c r="AR889" s="125"/>
      <c r="AS889" s="125"/>
      <c r="AT889" s="125"/>
      <c r="AU889" s="125"/>
      <c r="AV889" s="125"/>
      <c r="AW889" s="125"/>
      <c r="AX889" s="125"/>
      <c r="AY889" s="125"/>
      <c r="AZ889" s="125"/>
      <c r="BA889" s="125"/>
      <c r="BB889" s="125"/>
      <c r="BC889" s="125"/>
      <c r="BD889" s="125"/>
      <c r="BE889" s="125"/>
      <c r="BF889" s="125"/>
    </row>
    <row r="890" spans="1:58" ht="15.75" customHeight="1">
      <c r="A890" s="125"/>
      <c r="B890" s="125"/>
      <c r="C890" s="125"/>
      <c r="D890" s="125"/>
      <c r="E890" s="125"/>
      <c r="F890" s="125"/>
      <c r="G890" s="125"/>
      <c r="H890" s="125"/>
      <c r="I890" s="125"/>
      <c r="J890" s="125"/>
      <c r="K890" s="125"/>
      <c r="L890" s="125"/>
      <c r="M890" s="125"/>
      <c r="N890" s="125"/>
      <c r="O890" s="125"/>
      <c r="P890" s="125"/>
      <c r="Q890" s="125"/>
      <c r="R890" s="125"/>
      <c r="S890" s="125"/>
      <c r="T890" s="125"/>
      <c r="U890" s="125"/>
      <c r="V890" s="125"/>
      <c r="W890" s="125"/>
      <c r="X890" s="125"/>
      <c r="Y890" s="125"/>
      <c r="Z890" s="125"/>
      <c r="AA890" s="125"/>
      <c r="AB890" s="125"/>
      <c r="AC890" s="125"/>
      <c r="AD890" s="125"/>
      <c r="AE890" s="125"/>
      <c r="AF890" s="125"/>
      <c r="AG890" s="125"/>
      <c r="AH890" s="125"/>
      <c r="AI890" s="125"/>
      <c r="AJ890" s="125"/>
      <c r="AK890" s="125"/>
      <c r="AL890" s="125"/>
      <c r="AM890" s="125"/>
      <c r="AN890" s="125"/>
      <c r="AO890" s="125"/>
      <c r="AP890" s="125"/>
      <c r="AQ890" s="125"/>
      <c r="AR890" s="125"/>
      <c r="AS890" s="125"/>
      <c r="AT890" s="125"/>
      <c r="AU890" s="125"/>
      <c r="AV890" s="125"/>
      <c r="AW890" s="125"/>
      <c r="AX890" s="125"/>
      <c r="AY890" s="125"/>
      <c r="AZ890" s="125"/>
      <c r="BA890" s="125"/>
      <c r="BB890" s="125"/>
      <c r="BC890" s="125"/>
      <c r="BD890" s="125"/>
      <c r="BE890" s="125"/>
      <c r="BF890" s="125"/>
    </row>
    <row r="891" spans="1:58" ht="15.75" customHeight="1">
      <c r="A891" s="125"/>
      <c r="B891" s="125"/>
      <c r="C891" s="125"/>
      <c r="D891" s="125"/>
      <c r="E891" s="125"/>
      <c r="F891" s="125"/>
      <c r="G891" s="125"/>
      <c r="H891" s="125"/>
      <c r="I891" s="125"/>
      <c r="J891" s="125"/>
      <c r="K891" s="125"/>
      <c r="L891" s="125"/>
      <c r="M891" s="125"/>
      <c r="N891" s="125"/>
      <c r="O891" s="125"/>
      <c r="P891" s="125"/>
      <c r="Q891" s="125"/>
      <c r="R891" s="125"/>
      <c r="S891" s="125"/>
      <c r="T891" s="125"/>
      <c r="U891" s="125"/>
      <c r="V891" s="125"/>
      <c r="W891" s="125"/>
      <c r="X891" s="125"/>
      <c r="Y891" s="125"/>
      <c r="Z891" s="125"/>
      <c r="AA891" s="125"/>
      <c r="AB891" s="125"/>
      <c r="AC891" s="125"/>
      <c r="AD891" s="125"/>
      <c r="AE891" s="125"/>
      <c r="AF891" s="125"/>
      <c r="AG891" s="125"/>
      <c r="AH891" s="125"/>
      <c r="AI891" s="125"/>
      <c r="AJ891" s="125"/>
      <c r="AK891" s="125"/>
      <c r="AL891" s="125"/>
      <c r="AM891" s="125"/>
      <c r="AN891" s="125"/>
      <c r="AO891" s="125"/>
      <c r="AP891" s="125"/>
      <c r="AQ891" s="125"/>
      <c r="AR891" s="125"/>
      <c r="AS891" s="125"/>
      <c r="AT891" s="125"/>
      <c r="AU891" s="125"/>
      <c r="AV891" s="125"/>
      <c r="AW891" s="125"/>
      <c r="AX891" s="125"/>
      <c r="AY891" s="125"/>
      <c r="AZ891" s="125"/>
      <c r="BA891" s="125"/>
      <c r="BB891" s="125"/>
      <c r="BC891" s="125"/>
      <c r="BD891" s="125"/>
      <c r="BE891" s="125"/>
      <c r="BF891" s="125"/>
    </row>
    <row r="892" spans="1:58" ht="15.75" customHeight="1">
      <c r="A892" s="125"/>
      <c r="B892" s="125"/>
      <c r="C892" s="125"/>
      <c r="D892" s="125"/>
      <c r="E892" s="125"/>
      <c r="F892" s="125"/>
      <c r="G892" s="125"/>
      <c r="H892" s="125"/>
      <c r="I892" s="125"/>
      <c r="J892" s="125"/>
      <c r="K892" s="125"/>
      <c r="L892" s="125"/>
      <c r="M892" s="125"/>
      <c r="N892" s="125"/>
      <c r="O892" s="125"/>
      <c r="P892" s="125"/>
      <c r="Q892" s="125"/>
      <c r="R892" s="125"/>
      <c r="S892" s="125"/>
      <c r="T892" s="125"/>
      <c r="U892" s="125"/>
      <c r="V892" s="125"/>
      <c r="W892" s="125"/>
      <c r="X892" s="125"/>
      <c r="Y892" s="125"/>
      <c r="Z892" s="125"/>
      <c r="AA892" s="125"/>
      <c r="AB892" s="125"/>
      <c r="AC892" s="125"/>
      <c r="AD892" s="125"/>
      <c r="AE892" s="125"/>
      <c r="AF892" s="125"/>
      <c r="AG892" s="125"/>
      <c r="AH892" s="125"/>
      <c r="AI892" s="125"/>
      <c r="AJ892" s="125"/>
      <c r="AK892" s="125"/>
      <c r="AL892" s="125"/>
      <c r="AM892" s="125"/>
      <c r="AN892" s="125"/>
      <c r="AO892" s="125"/>
      <c r="AP892" s="125"/>
      <c r="AQ892" s="125"/>
      <c r="AR892" s="125"/>
      <c r="AS892" s="125"/>
      <c r="AT892" s="125"/>
      <c r="AU892" s="125"/>
      <c r="AV892" s="125"/>
      <c r="AW892" s="125"/>
      <c r="AX892" s="125"/>
      <c r="AY892" s="125"/>
      <c r="AZ892" s="125"/>
      <c r="BA892" s="125"/>
      <c r="BB892" s="125"/>
      <c r="BC892" s="125"/>
      <c r="BD892" s="125"/>
      <c r="BE892" s="125"/>
      <c r="BF892" s="125"/>
    </row>
    <row r="893" spans="1:58" ht="15.75" customHeight="1">
      <c r="A893" s="125"/>
      <c r="B893" s="125"/>
      <c r="C893" s="125"/>
      <c r="D893" s="125"/>
      <c r="E893" s="125"/>
      <c r="F893" s="125"/>
      <c r="G893" s="125"/>
      <c r="H893" s="125"/>
      <c r="I893" s="125"/>
      <c r="J893" s="125"/>
      <c r="K893" s="125"/>
      <c r="L893" s="125"/>
      <c r="M893" s="125"/>
      <c r="N893" s="125"/>
      <c r="O893" s="125"/>
      <c r="P893" s="125"/>
      <c r="Q893" s="125"/>
      <c r="R893" s="125"/>
      <c r="S893" s="125"/>
      <c r="T893" s="125"/>
      <c r="U893" s="125"/>
      <c r="V893" s="125"/>
      <c r="W893" s="125"/>
      <c r="X893" s="125"/>
      <c r="Y893" s="125"/>
      <c r="Z893" s="125"/>
      <c r="AA893" s="125"/>
      <c r="AB893" s="125"/>
      <c r="AC893" s="125"/>
      <c r="AD893" s="125"/>
      <c r="AE893" s="125"/>
      <c r="AF893" s="125"/>
      <c r="AG893" s="125"/>
      <c r="AH893" s="125"/>
      <c r="AI893" s="125"/>
      <c r="AJ893" s="125"/>
      <c r="AK893" s="125"/>
      <c r="AL893" s="125"/>
      <c r="AM893" s="125"/>
      <c r="AN893" s="125"/>
      <c r="AO893" s="125"/>
      <c r="AP893" s="125"/>
      <c r="AQ893" s="125"/>
      <c r="AR893" s="125"/>
      <c r="AS893" s="125"/>
      <c r="AT893" s="125"/>
      <c r="AU893" s="125"/>
      <c r="AV893" s="125"/>
      <c r="AW893" s="125"/>
      <c r="AX893" s="125"/>
      <c r="AY893" s="125"/>
      <c r="AZ893" s="125"/>
      <c r="BA893" s="125"/>
      <c r="BB893" s="125"/>
      <c r="BC893" s="125"/>
      <c r="BD893" s="125"/>
      <c r="BE893" s="125"/>
      <c r="BF893" s="125"/>
    </row>
    <row r="894" spans="1:58" ht="15.75" customHeight="1">
      <c r="A894" s="125"/>
      <c r="B894" s="125"/>
      <c r="C894" s="125"/>
      <c r="D894" s="125"/>
      <c r="E894" s="125"/>
      <c r="F894" s="125"/>
      <c r="G894" s="125"/>
      <c r="H894" s="125"/>
      <c r="I894" s="125"/>
      <c r="J894" s="125"/>
      <c r="K894" s="125"/>
      <c r="L894" s="125"/>
      <c r="M894" s="125"/>
      <c r="N894" s="125"/>
      <c r="O894" s="125"/>
      <c r="P894" s="125"/>
      <c r="Q894" s="125"/>
      <c r="R894" s="125"/>
      <c r="S894" s="125"/>
      <c r="T894" s="125"/>
      <c r="U894" s="125"/>
      <c r="V894" s="125"/>
      <c r="W894" s="125"/>
      <c r="X894" s="125"/>
      <c r="Y894" s="125"/>
      <c r="Z894" s="125"/>
      <c r="AA894" s="125"/>
      <c r="AB894" s="125"/>
      <c r="AC894" s="125"/>
      <c r="AD894" s="125"/>
      <c r="AE894" s="125"/>
      <c r="AF894" s="125"/>
      <c r="AG894" s="125"/>
      <c r="AH894" s="125"/>
      <c r="AI894" s="125"/>
      <c r="AJ894" s="125"/>
      <c r="AK894" s="125"/>
      <c r="AL894" s="125"/>
      <c r="AM894" s="125"/>
      <c r="AN894" s="125"/>
      <c r="AO894" s="125"/>
      <c r="AP894" s="125"/>
      <c r="AQ894" s="125"/>
      <c r="AR894" s="125"/>
      <c r="AS894" s="125"/>
      <c r="AT894" s="125"/>
      <c r="AU894" s="125"/>
      <c r="AV894" s="125"/>
      <c r="AW894" s="125"/>
      <c r="AX894" s="125"/>
      <c r="AY894" s="125"/>
      <c r="AZ894" s="125"/>
      <c r="BA894" s="125"/>
      <c r="BB894" s="125"/>
      <c r="BC894" s="125"/>
      <c r="BD894" s="125"/>
      <c r="BE894" s="125"/>
      <c r="BF894" s="125"/>
    </row>
    <row r="895" spans="1:58" ht="15.75" customHeight="1">
      <c r="A895" s="125"/>
      <c r="B895" s="125"/>
      <c r="C895" s="125"/>
      <c r="D895" s="125"/>
      <c r="E895" s="125"/>
      <c r="F895" s="125"/>
      <c r="G895" s="125"/>
      <c r="H895" s="125"/>
      <c r="I895" s="125"/>
      <c r="J895" s="125"/>
      <c r="K895" s="125"/>
      <c r="L895" s="125"/>
      <c r="M895" s="125"/>
      <c r="N895" s="125"/>
      <c r="O895" s="125"/>
      <c r="P895" s="125"/>
      <c r="Q895" s="125"/>
      <c r="R895" s="125"/>
      <c r="S895" s="125"/>
      <c r="T895" s="125"/>
      <c r="U895" s="125"/>
      <c r="V895" s="125"/>
      <c r="W895" s="125"/>
      <c r="X895" s="125"/>
      <c r="Y895" s="125"/>
      <c r="Z895" s="125"/>
      <c r="AA895" s="125"/>
      <c r="AB895" s="125"/>
      <c r="AC895" s="125"/>
      <c r="AD895" s="125"/>
      <c r="AE895" s="125"/>
      <c r="AF895" s="125"/>
      <c r="AG895" s="125"/>
      <c r="AH895" s="125"/>
      <c r="AI895" s="125"/>
      <c r="AJ895" s="125"/>
      <c r="AK895" s="125"/>
      <c r="AL895" s="125"/>
      <c r="AM895" s="125"/>
      <c r="AN895" s="125"/>
      <c r="AO895" s="125"/>
      <c r="AP895" s="125"/>
      <c r="AQ895" s="125"/>
      <c r="AR895" s="125"/>
      <c r="AS895" s="125"/>
      <c r="AT895" s="125"/>
      <c r="AU895" s="125"/>
      <c r="AV895" s="125"/>
      <c r="AW895" s="125"/>
      <c r="AX895" s="125"/>
      <c r="AY895" s="125"/>
      <c r="AZ895" s="125"/>
      <c r="BA895" s="125"/>
      <c r="BB895" s="125"/>
      <c r="BC895" s="125"/>
      <c r="BD895" s="125"/>
      <c r="BE895" s="125"/>
      <c r="BF895" s="125"/>
    </row>
    <row r="896" spans="1:58" ht="15.75" customHeight="1">
      <c r="A896" s="125"/>
      <c r="B896" s="125"/>
      <c r="C896" s="125"/>
      <c r="D896" s="125"/>
      <c r="E896" s="125"/>
      <c r="F896" s="125"/>
      <c r="G896" s="125"/>
      <c r="H896" s="125"/>
      <c r="I896" s="125"/>
      <c r="J896" s="125"/>
      <c r="K896" s="125"/>
      <c r="L896" s="125"/>
      <c r="M896" s="125"/>
      <c r="N896" s="125"/>
      <c r="O896" s="125"/>
      <c r="P896" s="125"/>
      <c r="Q896" s="125"/>
      <c r="R896" s="125"/>
      <c r="S896" s="125"/>
      <c r="T896" s="125"/>
      <c r="U896" s="125"/>
      <c r="V896" s="125"/>
      <c r="W896" s="125"/>
      <c r="X896" s="125"/>
      <c r="Y896" s="125"/>
      <c r="Z896" s="125"/>
      <c r="AA896" s="125"/>
      <c r="AB896" s="125"/>
      <c r="AC896" s="125"/>
      <c r="AD896" s="125"/>
      <c r="AE896" s="125"/>
      <c r="AF896" s="125"/>
      <c r="AG896" s="125"/>
      <c r="AH896" s="125"/>
      <c r="AI896" s="125"/>
      <c r="AJ896" s="125"/>
      <c r="AK896" s="125"/>
      <c r="AL896" s="125"/>
      <c r="AM896" s="125"/>
      <c r="AN896" s="125"/>
      <c r="AO896" s="125"/>
      <c r="AP896" s="125"/>
      <c r="AQ896" s="125"/>
      <c r="AR896" s="125"/>
      <c r="AS896" s="125"/>
      <c r="AT896" s="125"/>
      <c r="AU896" s="125"/>
      <c r="AV896" s="125"/>
      <c r="AW896" s="125"/>
      <c r="AX896" s="125"/>
      <c r="AY896" s="125"/>
      <c r="AZ896" s="125"/>
      <c r="BA896" s="125"/>
      <c r="BB896" s="125"/>
      <c r="BC896" s="125"/>
      <c r="BD896" s="125"/>
      <c r="BE896" s="125"/>
      <c r="BF896" s="125"/>
    </row>
    <row r="897" spans="1:58" ht="15.75" customHeight="1">
      <c r="A897" s="125"/>
      <c r="B897" s="125"/>
      <c r="C897" s="125"/>
      <c r="D897" s="125"/>
      <c r="E897" s="125"/>
      <c r="F897" s="125"/>
      <c r="G897" s="125"/>
      <c r="H897" s="125"/>
      <c r="I897" s="125"/>
      <c r="J897" s="125"/>
      <c r="K897" s="125"/>
      <c r="L897" s="125"/>
      <c r="M897" s="125"/>
      <c r="N897" s="125"/>
      <c r="O897" s="125"/>
      <c r="P897" s="125"/>
      <c r="Q897" s="125"/>
      <c r="R897" s="125"/>
      <c r="S897" s="125"/>
      <c r="T897" s="125"/>
      <c r="U897" s="125"/>
      <c r="V897" s="125"/>
      <c r="W897" s="125"/>
      <c r="X897" s="125"/>
      <c r="Y897" s="125"/>
      <c r="Z897" s="125"/>
      <c r="AA897" s="125"/>
      <c r="AB897" s="125"/>
      <c r="AC897" s="125"/>
      <c r="AD897" s="125"/>
      <c r="AE897" s="125"/>
      <c r="AF897" s="125"/>
      <c r="AG897" s="125"/>
      <c r="AH897" s="125"/>
      <c r="AI897" s="125"/>
      <c r="AJ897" s="125"/>
      <c r="AK897" s="125"/>
      <c r="AL897" s="125"/>
      <c r="AM897" s="125"/>
      <c r="AN897" s="125"/>
      <c r="AO897" s="125"/>
      <c r="AP897" s="125"/>
      <c r="AQ897" s="125"/>
      <c r="AR897" s="125"/>
      <c r="AS897" s="125"/>
      <c r="AT897" s="125"/>
      <c r="AU897" s="125"/>
      <c r="AV897" s="125"/>
      <c r="AW897" s="125"/>
      <c r="AX897" s="125"/>
      <c r="AY897" s="125"/>
      <c r="AZ897" s="125"/>
      <c r="BA897" s="125"/>
      <c r="BB897" s="125"/>
      <c r="BC897" s="125"/>
      <c r="BD897" s="125"/>
      <c r="BE897" s="125"/>
      <c r="BF897" s="125"/>
    </row>
    <row r="898" spans="1:58" ht="15.75" customHeight="1">
      <c r="A898" s="125"/>
      <c r="B898" s="125"/>
      <c r="C898" s="125"/>
      <c r="D898" s="125"/>
      <c r="E898" s="125"/>
      <c r="F898" s="125"/>
      <c r="G898" s="125"/>
      <c r="H898" s="125"/>
      <c r="I898" s="125"/>
      <c r="J898" s="125"/>
      <c r="K898" s="125"/>
      <c r="L898" s="125"/>
      <c r="M898" s="125"/>
      <c r="N898" s="125"/>
      <c r="O898" s="125"/>
      <c r="P898" s="125"/>
      <c r="Q898" s="125"/>
      <c r="R898" s="125"/>
      <c r="S898" s="125"/>
      <c r="T898" s="125"/>
      <c r="U898" s="125"/>
      <c r="V898" s="125"/>
      <c r="W898" s="125"/>
      <c r="X898" s="125"/>
      <c r="Y898" s="125"/>
      <c r="Z898" s="125"/>
      <c r="AA898" s="125"/>
      <c r="AB898" s="125"/>
      <c r="AC898" s="125"/>
      <c r="AD898" s="125"/>
      <c r="AE898" s="125"/>
      <c r="AF898" s="125"/>
      <c r="AG898" s="125"/>
      <c r="AH898" s="125"/>
      <c r="AI898" s="125"/>
      <c r="AJ898" s="125"/>
      <c r="AK898" s="125"/>
      <c r="AL898" s="125"/>
      <c r="AM898" s="125"/>
      <c r="AN898" s="125"/>
      <c r="AO898" s="125"/>
      <c r="AP898" s="125"/>
      <c r="AQ898" s="125"/>
      <c r="AR898" s="125"/>
      <c r="AS898" s="125"/>
      <c r="AT898" s="125"/>
      <c r="AU898" s="125"/>
      <c r="AV898" s="125"/>
      <c r="AW898" s="125"/>
      <c r="AX898" s="125"/>
      <c r="AY898" s="125"/>
      <c r="AZ898" s="125"/>
      <c r="BA898" s="125"/>
      <c r="BB898" s="125"/>
      <c r="BC898" s="125"/>
      <c r="BD898" s="125"/>
      <c r="BE898" s="125"/>
      <c r="BF898" s="125"/>
    </row>
    <row r="899" spans="1:58" ht="15.75" customHeight="1">
      <c r="A899" s="125"/>
      <c r="B899" s="125"/>
      <c r="C899" s="125"/>
      <c r="D899" s="125"/>
      <c r="E899" s="125"/>
      <c r="F899" s="125"/>
      <c r="G899" s="125"/>
      <c r="H899" s="125"/>
      <c r="I899" s="125"/>
      <c r="J899" s="125"/>
      <c r="K899" s="125"/>
      <c r="L899" s="125"/>
      <c r="M899" s="125"/>
      <c r="N899" s="125"/>
      <c r="O899" s="125"/>
      <c r="P899" s="125"/>
      <c r="Q899" s="125"/>
      <c r="R899" s="125"/>
      <c r="S899" s="125"/>
      <c r="T899" s="125"/>
      <c r="U899" s="125"/>
      <c r="V899" s="125"/>
      <c r="W899" s="125"/>
      <c r="X899" s="125"/>
      <c r="Y899" s="125"/>
      <c r="Z899" s="125"/>
      <c r="AA899" s="125"/>
      <c r="AB899" s="125"/>
      <c r="AC899" s="125"/>
      <c r="AD899" s="125"/>
      <c r="AE899" s="125"/>
      <c r="AF899" s="125"/>
      <c r="AG899" s="125"/>
      <c r="AH899" s="125"/>
      <c r="AI899" s="125"/>
      <c r="AJ899" s="125"/>
      <c r="AK899" s="125"/>
      <c r="AL899" s="125"/>
      <c r="AM899" s="125"/>
      <c r="AN899" s="125"/>
      <c r="AO899" s="125"/>
      <c r="AP899" s="125"/>
      <c r="AQ899" s="125"/>
      <c r="AR899" s="125"/>
      <c r="AS899" s="125"/>
      <c r="AT899" s="125"/>
      <c r="AU899" s="125"/>
      <c r="AV899" s="125"/>
      <c r="AW899" s="125"/>
      <c r="AX899" s="125"/>
      <c r="AY899" s="125"/>
      <c r="AZ899" s="125"/>
      <c r="BA899" s="125"/>
      <c r="BB899" s="125"/>
      <c r="BC899" s="125"/>
      <c r="BD899" s="125"/>
      <c r="BE899" s="125"/>
      <c r="BF899" s="125"/>
    </row>
    <row r="900" spans="1:58" ht="15.75" customHeight="1">
      <c r="A900" s="125"/>
      <c r="B900" s="125"/>
      <c r="C900" s="125"/>
      <c r="D900" s="125"/>
      <c r="E900" s="125"/>
      <c r="F900" s="125"/>
      <c r="G900" s="125"/>
      <c r="H900" s="125"/>
      <c r="I900" s="125"/>
      <c r="J900" s="125"/>
      <c r="K900" s="125"/>
      <c r="L900" s="125"/>
      <c r="M900" s="125"/>
      <c r="N900" s="125"/>
      <c r="O900" s="125"/>
      <c r="P900" s="125"/>
      <c r="Q900" s="125"/>
      <c r="R900" s="125"/>
      <c r="S900" s="125"/>
      <c r="T900" s="125"/>
      <c r="U900" s="125"/>
      <c r="V900" s="125"/>
      <c r="W900" s="125"/>
      <c r="X900" s="125"/>
      <c r="Y900" s="125"/>
      <c r="Z900" s="125"/>
      <c r="AA900" s="125"/>
      <c r="AB900" s="125"/>
      <c r="AC900" s="125"/>
      <c r="AD900" s="125"/>
      <c r="AE900" s="125"/>
      <c r="AF900" s="125"/>
      <c r="AG900" s="125"/>
      <c r="AH900" s="125"/>
      <c r="AI900" s="125"/>
      <c r="AJ900" s="125"/>
      <c r="AK900" s="125"/>
      <c r="AL900" s="125"/>
      <c r="AM900" s="125"/>
      <c r="AN900" s="125"/>
      <c r="AO900" s="125"/>
      <c r="AP900" s="125"/>
      <c r="AQ900" s="125"/>
      <c r="AR900" s="125"/>
      <c r="AS900" s="125"/>
      <c r="AT900" s="125"/>
      <c r="AU900" s="125"/>
      <c r="AV900" s="125"/>
      <c r="AW900" s="125"/>
      <c r="AX900" s="125"/>
      <c r="AY900" s="125"/>
      <c r="AZ900" s="125"/>
      <c r="BA900" s="125"/>
      <c r="BB900" s="125"/>
      <c r="BC900" s="125"/>
      <c r="BD900" s="125"/>
      <c r="BE900" s="125"/>
      <c r="BF900" s="125"/>
    </row>
    <row r="901" spans="1:58" ht="15.75" customHeight="1">
      <c r="A901" s="125"/>
      <c r="B901" s="125"/>
      <c r="C901" s="125"/>
      <c r="D901" s="125"/>
      <c r="E901" s="125"/>
      <c r="F901" s="125"/>
      <c r="G901" s="125"/>
      <c r="H901" s="125"/>
      <c r="I901" s="125"/>
      <c r="J901" s="125"/>
      <c r="K901" s="125"/>
      <c r="L901" s="125"/>
      <c r="M901" s="125"/>
      <c r="N901" s="125"/>
      <c r="O901" s="125"/>
      <c r="P901" s="125"/>
      <c r="Q901" s="125"/>
      <c r="R901" s="125"/>
      <c r="S901" s="125"/>
      <c r="T901" s="125"/>
      <c r="U901" s="125"/>
      <c r="V901" s="125"/>
      <c r="W901" s="125"/>
      <c r="X901" s="125"/>
      <c r="Y901" s="125"/>
      <c r="Z901" s="125"/>
      <c r="AA901" s="125"/>
      <c r="AB901" s="125"/>
      <c r="AC901" s="125"/>
      <c r="AD901" s="125"/>
      <c r="AE901" s="125"/>
      <c r="AF901" s="125"/>
      <c r="AG901" s="125"/>
      <c r="AH901" s="125"/>
      <c r="AI901" s="125"/>
      <c r="AJ901" s="125"/>
      <c r="AK901" s="125"/>
      <c r="AL901" s="125"/>
      <c r="AM901" s="125"/>
      <c r="AN901" s="125"/>
      <c r="AO901" s="125"/>
      <c r="AP901" s="125"/>
      <c r="AQ901" s="125"/>
      <c r="AR901" s="125"/>
      <c r="AS901" s="125"/>
      <c r="AT901" s="125"/>
      <c r="AU901" s="125"/>
      <c r="AV901" s="125"/>
      <c r="AW901" s="125"/>
      <c r="AX901" s="125"/>
      <c r="AY901" s="125"/>
      <c r="AZ901" s="125"/>
      <c r="BA901" s="125"/>
      <c r="BB901" s="125"/>
      <c r="BC901" s="125"/>
      <c r="BD901" s="125"/>
      <c r="BE901" s="125"/>
      <c r="BF901" s="125"/>
    </row>
    <row r="902" spans="1:58" ht="15.75" customHeight="1">
      <c r="A902" s="125"/>
      <c r="B902" s="125"/>
      <c r="C902" s="125"/>
      <c r="D902" s="125"/>
      <c r="E902" s="125"/>
      <c r="F902" s="125"/>
      <c r="G902" s="125"/>
      <c r="H902" s="125"/>
      <c r="I902" s="125"/>
      <c r="J902" s="125"/>
      <c r="K902" s="125"/>
      <c r="L902" s="125"/>
      <c r="M902" s="125"/>
      <c r="N902" s="125"/>
      <c r="O902" s="125"/>
      <c r="P902" s="125"/>
      <c r="Q902" s="125"/>
      <c r="R902" s="125"/>
      <c r="S902" s="125"/>
      <c r="T902" s="125"/>
      <c r="U902" s="125"/>
      <c r="V902" s="125"/>
      <c r="W902" s="125"/>
      <c r="X902" s="125"/>
      <c r="Y902" s="125"/>
      <c r="Z902" s="125"/>
      <c r="AA902" s="125"/>
      <c r="AB902" s="125"/>
      <c r="AC902" s="125"/>
      <c r="AD902" s="125"/>
      <c r="AE902" s="125"/>
      <c r="AF902" s="125"/>
      <c r="AG902" s="125"/>
      <c r="AH902" s="125"/>
      <c r="AI902" s="125"/>
      <c r="AJ902" s="125"/>
      <c r="AK902" s="125"/>
      <c r="AL902" s="125"/>
      <c r="AM902" s="125"/>
      <c r="AN902" s="125"/>
      <c r="AO902" s="125"/>
      <c r="AP902" s="125"/>
      <c r="AQ902" s="125"/>
      <c r="AR902" s="125"/>
      <c r="AS902" s="125"/>
      <c r="AT902" s="125"/>
      <c r="AU902" s="125"/>
      <c r="AV902" s="125"/>
      <c r="AW902" s="125"/>
      <c r="AX902" s="125"/>
      <c r="AY902" s="125"/>
      <c r="AZ902" s="125"/>
      <c r="BA902" s="125"/>
      <c r="BB902" s="125"/>
      <c r="BC902" s="125"/>
      <c r="BD902" s="125"/>
      <c r="BE902" s="125"/>
      <c r="BF902" s="125"/>
    </row>
    <row r="903" spans="1:58" ht="15.75" customHeight="1">
      <c r="A903" s="125"/>
      <c r="B903" s="125"/>
      <c r="C903" s="125"/>
      <c r="D903" s="125"/>
      <c r="E903" s="125"/>
      <c r="F903" s="125"/>
      <c r="G903" s="125"/>
      <c r="H903" s="125"/>
      <c r="I903" s="125"/>
      <c r="J903" s="125"/>
      <c r="K903" s="125"/>
      <c r="L903" s="125"/>
      <c r="M903" s="125"/>
      <c r="N903" s="125"/>
      <c r="O903" s="125"/>
      <c r="P903" s="125"/>
      <c r="Q903" s="125"/>
      <c r="R903" s="125"/>
      <c r="S903" s="125"/>
      <c r="T903" s="125"/>
      <c r="U903" s="125"/>
      <c r="V903" s="125"/>
      <c r="W903" s="125"/>
      <c r="X903" s="125"/>
      <c r="Y903" s="125"/>
      <c r="Z903" s="125"/>
      <c r="AA903" s="125"/>
      <c r="AB903" s="125"/>
      <c r="AC903" s="125"/>
      <c r="AD903" s="125"/>
      <c r="AE903" s="125"/>
      <c r="AF903" s="125"/>
      <c r="AG903" s="125"/>
      <c r="AH903" s="125"/>
      <c r="AI903" s="125"/>
      <c r="AJ903" s="125"/>
      <c r="AK903" s="125"/>
      <c r="AL903" s="125"/>
      <c r="AM903" s="125"/>
      <c r="AN903" s="125"/>
      <c r="AO903" s="125"/>
      <c r="AP903" s="125"/>
      <c r="AQ903" s="125"/>
      <c r="AR903" s="125"/>
      <c r="AS903" s="125"/>
      <c r="AT903" s="125"/>
      <c r="AU903" s="125"/>
      <c r="AV903" s="125"/>
      <c r="AW903" s="125"/>
      <c r="AX903" s="125"/>
      <c r="AY903" s="125"/>
      <c r="AZ903" s="125"/>
      <c r="BA903" s="125"/>
      <c r="BB903" s="125"/>
      <c r="BC903" s="125"/>
      <c r="BD903" s="125"/>
      <c r="BE903" s="125"/>
      <c r="BF903" s="125"/>
    </row>
    <row r="904" spans="1:58" ht="15.75" customHeight="1">
      <c r="A904" s="125"/>
      <c r="B904" s="125"/>
      <c r="C904" s="125"/>
      <c r="D904" s="125"/>
      <c r="E904" s="125"/>
      <c r="F904" s="125"/>
      <c r="G904" s="125"/>
      <c r="H904" s="125"/>
      <c r="I904" s="125"/>
      <c r="J904" s="125"/>
      <c r="K904" s="125"/>
      <c r="L904" s="125"/>
      <c r="M904" s="125"/>
      <c r="N904" s="125"/>
      <c r="O904" s="125"/>
      <c r="P904" s="125"/>
      <c r="Q904" s="125"/>
      <c r="R904" s="125"/>
      <c r="S904" s="125"/>
      <c r="T904" s="125"/>
      <c r="U904" s="125"/>
      <c r="V904" s="125"/>
      <c r="W904" s="125"/>
      <c r="X904" s="125"/>
      <c r="Y904" s="125"/>
      <c r="Z904" s="125"/>
      <c r="AA904" s="125"/>
      <c r="AB904" s="125"/>
      <c r="AC904" s="125"/>
      <c r="AD904" s="125"/>
      <c r="AE904" s="125"/>
      <c r="AF904" s="125"/>
      <c r="AG904" s="125"/>
      <c r="AH904" s="125"/>
      <c r="AI904" s="125"/>
      <c r="AJ904" s="125"/>
      <c r="AK904" s="125"/>
      <c r="AL904" s="125"/>
      <c r="AM904" s="125"/>
      <c r="AN904" s="125"/>
      <c r="AO904" s="125"/>
      <c r="AP904" s="125"/>
      <c r="AQ904" s="125"/>
      <c r="AR904" s="125"/>
      <c r="AS904" s="125"/>
      <c r="AT904" s="125"/>
      <c r="AU904" s="125"/>
      <c r="AV904" s="125"/>
      <c r="AW904" s="125"/>
      <c r="AX904" s="125"/>
      <c r="AY904" s="125"/>
      <c r="AZ904" s="125"/>
      <c r="BA904" s="125"/>
      <c r="BB904" s="125"/>
      <c r="BC904" s="125"/>
      <c r="BD904" s="125"/>
      <c r="BE904" s="125"/>
      <c r="BF904" s="125"/>
    </row>
    <row r="905" spans="1:58" ht="15.75" customHeight="1">
      <c r="A905" s="125"/>
      <c r="B905" s="125"/>
      <c r="C905" s="125"/>
      <c r="D905" s="125"/>
      <c r="E905" s="125"/>
      <c r="F905" s="125"/>
      <c r="G905" s="125"/>
      <c r="H905" s="125"/>
      <c r="I905" s="125"/>
      <c r="J905" s="125"/>
      <c r="K905" s="125"/>
      <c r="L905" s="125"/>
      <c r="M905" s="125"/>
      <c r="N905" s="125"/>
      <c r="O905" s="125"/>
      <c r="P905" s="125"/>
      <c r="Q905" s="125"/>
      <c r="R905" s="125"/>
      <c r="S905" s="125"/>
      <c r="T905" s="125"/>
      <c r="U905" s="125"/>
      <c r="V905" s="125"/>
      <c r="W905" s="125"/>
      <c r="X905" s="125"/>
      <c r="Y905" s="125"/>
      <c r="Z905" s="125"/>
      <c r="AA905" s="125"/>
      <c r="AB905" s="125"/>
      <c r="AC905" s="125"/>
      <c r="AD905" s="125"/>
      <c r="AE905" s="125"/>
      <c r="AF905" s="125"/>
      <c r="AG905" s="125"/>
      <c r="AH905" s="125"/>
      <c r="AI905" s="125"/>
      <c r="AJ905" s="125"/>
      <c r="AK905" s="125"/>
      <c r="AL905" s="125"/>
      <c r="AM905" s="125"/>
      <c r="AN905" s="125"/>
      <c r="AO905" s="125"/>
      <c r="AP905" s="125"/>
      <c r="AQ905" s="125"/>
      <c r="AR905" s="125"/>
      <c r="AS905" s="125"/>
      <c r="AT905" s="125"/>
      <c r="AU905" s="125"/>
      <c r="AV905" s="125"/>
      <c r="AW905" s="125"/>
      <c r="AX905" s="125"/>
      <c r="AY905" s="125"/>
      <c r="AZ905" s="125"/>
      <c r="BA905" s="125"/>
      <c r="BB905" s="125"/>
      <c r="BC905" s="125"/>
      <c r="BD905" s="125"/>
      <c r="BE905" s="125"/>
      <c r="BF905" s="125"/>
    </row>
    <row r="906" spans="1:58" ht="15.75" customHeight="1">
      <c r="A906" s="125"/>
      <c r="B906" s="125"/>
      <c r="C906" s="125"/>
      <c r="D906" s="125"/>
      <c r="E906" s="125"/>
      <c r="F906" s="125"/>
      <c r="G906" s="125"/>
      <c r="H906" s="125"/>
      <c r="I906" s="125"/>
      <c r="J906" s="125"/>
      <c r="K906" s="125"/>
      <c r="L906" s="125"/>
      <c r="M906" s="125"/>
      <c r="N906" s="125"/>
      <c r="O906" s="125"/>
      <c r="P906" s="125"/>
      <c r="Q906" s="125"/>
      <c r="R906" s="125"/>
      <c r="S906" s="125"/>
      <c r="T906" s="125"/>
      <c r="U906" s="125"/>
      <c r="V906" s="125"/>
      <c r="W906" s="125"/>
      <c r="X906" s="125"/>
      <c r="Y906" s="125"/>
      <c r="Z906" s="125"/>
      <c r="AA906" s="125"/>
      <c r="AB906" s="125"/>
      <c r="AC906" s="125"/>
      <c r="AD906" s="125"/>
      <c r="AE906" s="125"/>
      <c r="AF906" s="125"/>
      <c r="AG906" s="125"/>
      <c r="AH906" s="125"/>
      <c r="AI906" s="125"/>
      <c r="AJ906" s="125"/>
      <c r="AK906" s="125"/>
      <c r="AL906" s="125"/>
      <c r="AM906" s="125"/>
      <c r="AN906" s="125"/>
      <c r="AO906" s="125"/>
      <c r="AP906" s="125"/>
      <c r="AQ906" s="125"/>
      <c r="AR906" s="125"/>
      <c r="AS906" s="125"/>
      <c r="AT906" s="125"/>
      <c r="AU906" s="125"/>
      <c r="AV906" s="125"/>
      <c r="AW906" s="125"/>
      <c r="AX906" s="125"/>
      <c r="AY906" s="125"/>
      <c r="AZ906" s="125"/>
      <c r="BA906" s="125"/>
      <c r="BB906" s="125"/>
      <c r="BC906" s="125"/>
      <c r="BD906" s="125"/>
      <c r="BE906" s="125"/>
      <c r="BF906" s="125"/>
    </row>
    <row r="907" spans="1:58" ht="15.75" customHeight="1">
      <c r="A907" s="125"/>
      <c r="B907" s="125"/>
      <c r="C907" s="125"/>
      <c r="D907" s="125"/>
      <c r="E907" s="125"/>
      <c r="F907" s="125"/>
      <c r="G907" s="125"/>
      <c r="H907" s="125"/>
      <c r="I907" s="125"/>
      <c r="J907" s="125"/>
      <c r="K907" s="125"/>
      <c r="L907" s="125"/>
      <c r="M907" s="125"/>
      <c r="N907" s="125"/>
      <c r="O907" s="125"/>
      <c r="P907" s="125"/>
      <c r="Q907" s="125"/>
      <c r="R907" s="125"/>
      <c r="S907" s="125"/>
      <c r="T907" s="125"/>
      <c r="U907" s="125"/>
      <c r="V907" s="125"/>
      <c r="W907" s="125"/>
      <c r="X907" s="125"/>
      <c r="Y907" s="125"/>
      <c r="Z907" s="125"/>
      <c r="AA907" s="125"/>
      <c r="AB907" s="125"/>
      <c r="AC907" s="125"/>
      <c r="AD907" s="125"/>
      <c r="AE907" s="125"/>
      <c r="AF907" s="125"/>
      <c r="AG907" s="125"/>
      <c r="AH907" s="125"/>
      <c r="AI907" s="125"/>
      <c r="AJ907" s="125"/>
      <c r="AK907" s="125"/>
      <c r="AL907" s="125"/>
      <c r="AM907" s="125"/>
      <c r="AN907" s="125"/>
      <c r="AO907" s="125"/>
      <c r="AP907" s="125"/>
      <c r="AQ907" s="125"/>
      <c r="AR907" s="125"/>
      <c r="AS907" s="125"/>
      <c r="AT907" s="125"/>
      <c r="AU907" s="125"/>
      <c r="AV907" s="125"/>
      <c r="AW907" s="125"/>
      <c r="AX907" s="125"/>
      <c r="AY907" s="125"/>
      <c r="AZ907" s="125"/>
      <c r="BA907" s="125"/>
      <c r="BB907" s="125"/>
      <c r="BC907" s="125"/>
      <c r="BD907" s="125"/>
      <c r="BE907" s="125"/>
      <c r="BF907" s="125"/>
    </row>
    <row r="908" spans="1:58" ht="15.75" customHeight="1">
      <c r="A908" s="125"/>
      <c r="B908" s="125"/>
      <c r="C908" s="125"/>
      <c r="D908" s="125"/>
      <c r="E908" s="125"/>
      <c r="F908" s="125"/>
      <c r="G908" s="125"/>
      <c r="H908" s="125"/>
      <c r="I908" s="125"/>
      <c r="J908" s="125"/>
      <c r="K908" s="125"/>
      <c r="L908" s="125"/>
      <c r="M908" s="125"/>
      <c r="N908" s="125"/>
      <c r="O908" s="125"/>
      <c r="P908" s="125"/>
      <c r="Q908" s="125"/>
      <c r="R908" s="125"/>
      <c r="S908" s="125"/>
      <c r="T908" s="125"/>
      <c r="U908" s="125"/>
      <c r="V908" s="125"/>
      <c r="W908" s="125"/>
      <c r="X908" s="125"/>
      <c r="Y908" s="125"/>
      <c r="Z908" s="125"/>
      <c r="AA908" s="125"/>
      <c r="AB908" s="125"/>
      <c r="AC908" s="125"/>
      <c r="AD908" s="125"/>
      <c r="AE908" s="125"/>
      <c r="AF908" s="125"/>
      <c r="AG908" s="125"/>
      <c r="AH908" s="125"/>
      <c r="AI908" s="125"/>
      <c r="AJ908" s="125"/>
      <c r="AK908" s="125"/>
      <c r="AL908" s="125"/>
      <c r="AM908" s="125"/>
      <c r="AN908" s="125"/>
      <c r="AO908" s="125"/>
      <c r="AP908" s="125"/>
      <c r="AQ908" s="125"/>
      <c r="AR908" s="125"/>
      <c r="AS908" s="125"/>
      <c r="AT908" s="125"/>
      <c r="AU908" s="125"/>
      <c r="AV908" s="125"/>
      <c r="AW908" s="125"/>
      <c r="AX908" s="125"/>
      <c r="AY908" s="125"/>
      <c r="AZ908" s="125"/>
      <c r="BA908" s="125"/>
      <c r="BB908" s="125"/>
      <c r="BC908" s="125"/>
      <c r="BD908" s="125"/>
      <c r="BE908" s="125"/>
      <c r="BF908" s="125"/>
    </row>
    <row r="909" spans="1:58" ht="15.75" customHeight="1">
      <c r="A909" s="125"/>
      <c r="B909" s="125"/>
      <c r="C909" s="125"/>
      <c r="D909" s="125"/>
      <c r="E909" s="125"/>
      <c r="F909" s="125"/>
      <c r="G909" s="125"/>
      <c r="H909" s="125"/>
      <c r="I909" s="125"/>
      <c r="J909" s="125"/>
      <c r="K909" s="125"/>
      <c r="L909" s="125"/>
      <c r="M909" s="125"/>
      <c r="N909" s="125"/>
      <c r="O909" s="125"/>
      <c r="P909" s="125"/>
      <c r="Q909" s="125"/>
      <c r="R909" s="125"/>
      <c r="S909" s="125"/>
      <c r="T909" s="125"/>
      <c r="U909" s="125"/>
      <c r="V909" s="125"/>
      <c r="W909" s="125"/>
      <c r="X909" s="125"/>
      <c r="Y909" s="125"/>
      <c r="Z909" s="125"/>
      <c r="AA909" s="125"/>
      <c r="AB909" s="125"/>
      <c r="AC909" s="125"/>
      <c r="AD909" s="125"/>
      <c r="AE909" s="125"/>
      <c r="AF909" s="125"/>
      <c r="AG909" s="125"/>
      <c r="AH909" s="125"/>
      <c r="AI909" s="125"/>
      <c r="AJ909" s="125"/>
      <c r="AK909" s="125"/>
      <c r="AL909" s="125"/>
      <c r="AM909" s="125"/>
      <c r="AN909" s="125"/>
      <c r="AO909" s="125"/>
      <c r="AP909" s="125"/>
      <c r="AQ909" s="125"/>
      <c r="AR909" s="125"/>
      <c r="AS909" s="125"/>
      <c r="AT909" s="125"/>
      <c r="AU909" s="125"/>
      <c r="AV909" s="125"/>
      <c r="AW909" s="125"/>
      <c r="AX909" s="125"/>
      <c r="AY909" s="125"/>
      <c r="AZ909" s="125"/>
      <c r="BA909" s="125"/>
      <c r="BB909" s="125"/>
      <c r="BC909" s="125"/>
      <c r="BD909" s="125"/>
      <c r="BE909" s="125"/>
      <c r="BF909" s="125"/>
    </row>
    <row r="910" spans="1:58" ht="15.75" customHeight="1">
      <c r="A910" s="125"/>
      <c r="B910" s="125"/>
      <c r="C910" s="125"/>
      <c r="D910" s="125"/>
      <c r="E910" s="125"/>
      <c r="F910" s="125"/>
      <c r="G910" s="125"/>
      <c r="H910" s="125"/>
      <c r="I910" s="125"/>
      <c r="J910" s="125"/>
      <c r="K910" s="125"/>
      <c r="L910" s="125"/>
      <c r="M910" s="125"/>
      <c r="N910" s="125"/>
      <c r="O910" s="125"/>
      <c r="P910" s="125"/>
      <c r="Q910" s="125"/>
      <c r="R910" s="125"/>
      <c r="S910" s="125"/>
      <c r="T910" s="125"/>
      <c r="U910" s="125"/>
      <c r="V910" s="125"/>
      <c r="W910" s="125"/>
      <c r="X910" s="125"/>
      <c r="Y910" s="125"/>
      <c r="Z910" s="125"/>
      <c r="AA910" s="125"/>
      <c r="AB910" s="125"/>
      <c r="AC910" s="125"/>
      <c r="AD910" s="125"/>
      <c r="AE910" s="125"/>
      <c r="AF910" s="125"/>
      <c r="AG910" s="125"/>
      <c r="AH910" s="125"/>
      <c r="AI910" s="125"/>
      <c r="AJ910" s="125"/>
      <c r="AK910" s="125"/>
      <c r="AL910" s="125"/>
      <c r="AM910" s="125"/>
      <c r="AN910" s="125"/>
      <c r="AO910" s="125"/>
      <c r="AP910" s="125"/>
      <c r="AQ910" s="125"/>
      <c r="AR910" s="125"/>
      <c r="AS910" s="125"/>
      <c r="AT910" s="125"/>
      <c r="AU910" s="125"/>
      <c r="AV910" s="125"/>
      <c r="AW910" s="125"/>
      <c r="AX910" s="125"/>
      <c r="AY910" s="125"/>
      <c r="AZ910" s="125"/>
      <c r="BA910" s="125"/>
      <c r="BB910" s="125"/>
      <c r="BC910" s="125"/>
      <c r="BD910" s="125"/>
      <c r="BE910" s="125"/>
      <c r="BF910" s="125"/>
    </row>
    <row r="911" spans="1:58" ht="15.75" customHeight="1">
      <c r="A911" s="125"/>
      <c r="B911" s="125"/>
      <c r="C911" s="125"/>
      <c r="D911" s="125"/>
      <c r="E911" s="125"/>
      <c r="F911" s="125"/>
      <c r="G911" s="125"/>
      <c r="H911" s="125"/>
      <c r="I911" s="125"/>
      <c r="J911" s="125"/>
      <c r="K911" s="125"/>
      <c r="L911" s="125"/>
      <c r="M911" s="125"/>
      <c r="N911" s="125"/>
      <c r="O911" s="125"/>
      <c r="P911" s="125"/>
      <c r="Q911" s="125"/>
      <c r="R911" s="125"/>
      <c r="S911" s="125"/>
      <c r="T911" s="125"/>
      <c r="U911" s="125"/>
      <c r="V911" s="125"/>
      <c r="W911" s="125"/>
      <c r="X911" s="125"/>
      <c r="Y911" s="125"/>
      <c r="Z911" s="125"/>
      <c r="AA911" s="125"/>
      <c r="AB911" s="125"/>
      <c r="AC911" s="125"/>
      <c r="AD911" s="125"/>
      <c r="AE911" s="125"/>
      <c r="AF911" s="125"/>
      <c r="AG911" s="125"/>
      <c r="AH911" s="125"/>
      <c r="AI911" s="125"/>
      <c r="AJ911" s="125"/>
      <c r="AK911" s="125"/>
      <c r="AL911" s="125"/>
      <c r="AM911" s="125"/>
      <c r="AN911" s="125"/>
      <c r="AO911" s="125"/>
      <c r="AP911" s="125"/>
      <c r="AQ911" s="125"/>
      <c r="AR911" s="125"/>
      <c r="AS911" s="125"/>
      <c r="AT911" s="125"/>
      <c r="AU911" s="125"/>
      <c r="AV911" s="125"/>
      <c r="AW911" s="125"/>
      <c r="AX911" s="125"/>
      <c r="AY911" s="125"/>
      <c r="AZ911" s="125"/>
      <c r="BA911" s="125"/>
      <c r="BB911" s="125"/>
      <c r="BC911" s="125"/>
      <c r="BD911" s="125"/>
      <c r="BE911" s="125"/>
      <c r="BF911" s="125"/>
    </row>
    <row r="912" spans="1:58" ht="15.75" customHeight="1">
      <c r="A912" s="125"/>
      <c r="B912" s="125"/>
      <c r="C912" s="125"/>
      <c r="D912" s="125"/>
      <c r="E912" s="125"/>
      <c r="F912" s="125"/>
      <c r="G912" s="125"/>
      <c r="H912" s="125"/>
      <c r="I912" s="125"/>
      <c r="J912" s="125"/>
      <c r="K912" s="125"/>
      <c r="L912" s="125"/>
      <c r="M912" s="125"/>
      <c r="N912" s="125"/>
      <c r="O912" s="125"/>
      <c r="P912" s="125"/>
      <c r="Q912" s="125"/>
      <c r="R912" s="125"/>
      <c r="S912" s="125"/>
      <c r="T912" s="125"/>
      <c r="U912" s="125"/>
      <c r="V912" s="125"/>
      <c r="W912" s="125"/>
      <c r="X912" s="125"/>
      <c r="Y912" s="125"/>
      <c r="Z912" s="125"/>
      <c r="AA912" s="125"/>
      <c r="AB912" s="125"/>
      <c r="AC912" s="125"/>
      <c r="AD912" s="125"/>
      <c r="AE912" s="125"/>
      <c r="AF912" s="125"/>
      <c r="AG912" s="125"/>
      <c r="AH912" s="125"/>
      <c r="AI912" s="125"/>
      <c r="AJ912" s="125"/>
      <c r="AK912" s="125"/>
      <c r="AL912" s="125"/>
      <c r="AM912" s="125"/>
      <c r="AN912" s="125"/>
      <c r="AO912" s="125"/>
      <c r="AP912" s="125"/>
      <c r="AQ912" s="125"/>
      <c r="AR912" s="125"/>
      <c r="AS912" s="125"/>
      <c r="AT912" s="125"/>
      <c r="AU912" s="125"/>
      <c r="AV912" s="125"/>
      <c r="AW912" s="125"/>
      <c r="AX912" s="125"/>
      <c r="AY912" s="125"/>
      <c r="AZ912" s="125"/>
      <c r="BA912" s="125"/>
      <c r="BB912" s="125"/>
      <c r="BC912" s="125"/>
      <c r="BD912" s="125"/>
      <c r="BE912" s="125"/>
      <c r="BF912" s="125"/>
    </row>
    <row r="913" spans="1:58" ht="15.75" customHeight="1">
      <c r="A913" s="125"/>
      <c r="B913" s="125"/>
      <c r="C913" s="125"/>
      <c r="D913" s="125"/>
      <c r="E913" s="125"/>
      <c r="F913" s="125"/>
      <c r="G913" s="125"/>
      <c r="H913" s="125"/>
      <c r="I913" s="125"/>
      <c r="J913" s="125"/>
      <c r="K913" s="125"/>
      <c r="L913" s="125"/>
      <c r="M913" s="125"/>
      <c r="N913" s="125"/>
      <c r="O913" s="125"/>
      <c r="P913" s="125"/>
      <c r="Q913" s="125"/>
      <c r="R913" s="125"/>
      <c r="S913" s="125"/>
      <c r="T913" s="125"/>
      <c r="U913" s="125"/>
      <c r="V913" s="125"/>
      <c r="W913" s="125"/>
      <c r="X913" s="125"/>
      <c r="Y913" s="125"/>
      <c r="Z913" s="125"/>
      <c r="AA913" s="125"/>
      <c r="AB913" s="125"/>
      <c r="AC913" s="125"/>
      <c r="AD913" s="125"/>
      <c r="AE913" s="125"/>
      <c r="AF913" s="125"/>
      <c r="AG913" s="125"/>
      <c r="AH913" s="125"/>
      <c r="AI913" s="125"/>
      <c r="AJ913" s="125"/>
      <c r="AK913" s="125"/>
      <c r="AL913" s="125"/>
      <c r="AM913" s="125"/>
      <c r="AN913" s="125"/>
      <c r="AO913" s="125"/>
      <c r="AP913" s="125"/>
      <c r="AQ913" s="125"/>
      <c r="AR913" s="125"/>
      <c r="AS913" s="125"/>
      <c r="AT913" s="125"/>
      <c r="AU913" s="125"/>
      <c r="AV913" s="125"/>
      <c r="AW913" s="125"/>
      <c r="AX913" s="125"/>
      <c r="AY913" s="125"/>
      <c r="AZ913" s="125"/>
      <c r="BA913" s="125"/>
      <c r="BB913" s="125"/>
      <c r="BC913" s="125"/>
      <c r="BD913" s="125"/>
      <c r="BE913" s="125"/>
      <c r="BF913" s="125"/>
    </row>
    <row r="914" spans="1:58" ht="15.75" customHeight="1">
      <c r="A914" s="125"/>
      <c r="B914" s="125"/>
      <c r="C914" s="125"/>
      <c r="D914" s="125"/>
      <c r="E914" s="125"/>
      <c r="F914" s="125"/>
      <c r="G914" s="125"/>
      <c r="H914" s="125"/>
      <c r="I914" s="125"/>
      <c r="J914" s="125"/>
      <c r="K914" s="125"/>
      <c r="L914" s="125"/>
      <c r="M914" s="125"/>
      <c r="N914" s="125"/>
      <c r="O914" s="125"/>
      <c r="P914" s="125"/>
      <c r="Q914" s="125"/>
      <c r="R914" s="125"/>
      <c r="S914" s="125"/>
      <c r="T914" s="125"/>
      <c r="U914" s="125"/>
      <c r="V914" s="125"/>
      <c r="W914" s="125"/>
      <c r="X914" s="125"/>
      <c r="Y914" s="125"/>
      <c r="Z914" s="125"/>
      <c r="AA914" s="125"/>
      <c r="AB914" s="125"/>
      <c r="AC914" s="125"/>
      <c r="AD914" s="125"/>
      <c r="AE914" s="125"/>
      <c r="AF914" s="125"/>
      <c r="AG914" s="125"/>
      <c r="AH914" s="125"/>
      <c r="AI914" s="125"/>
      <c r="AJ914" s="125"/>
      <c r="AK914" s="125"/>
      <c r="AL914" s="125"/>
      <c r="AM914" s="125"/>
      <c r="AN914" s="125"/>
      <c r="AO914" s="125"/>
      <c r="AP914" s="125"/>
      <c r="AQ914" s="125"/>
      <c r="AR914" s="125"/>
      <c r="AS914" s="125"/>
      <c r="AT914" s="125"/>
      <c r="AU914" s="125"/>
      <c r="AV914" s="125"/>
      <c r="AW914" s="125"/>
      <c r="AX914" s="125"/>
      <c r="AY914" s="125"/>
      <c r="AZ914" s="125"/>
      <c r="BA914" s="125"/>
      <c r="BB914" s="125"/>
      <c r="BC914" s="125"/>
      <c r="BD914" s="125"/>
      <c r="BE914" s="125"/>
      <c r="BF914" s="125"/>
    </row>
    <row r="915" spans="1:58" ht="15.75" customHeight="1">
      <c r="A915" s="125"/>
      <c r="B915" s="125"/>
      <c r="C915" s="125"/>
      <c r="D915" s="125"/>
      <c r="E915" s="125"/>
      <c r="F915" s="125"/>
      <c r="G915" s="125"/>
      <c r="H915" s="125"/>
      <c r="I915" s="125"/>
      <c r="J915" s="125"/>
      <c r="K915" s="125"/>
      <c r="L915" s="125"/>
      <c r="M915" s="125"/>
      <c r="N915" s="125"/>
      <c r="O915" s="125"/>
      <c r="P915" s="125"/>
      <c r="Q915" s="125"/>
      <c r="R915" s="125"/>
      <c r="S915" s="125"/>
      <c r="T915" s="125"/>
      <c r="U915" s="125"/>
      <c r="V915" s="125"/>
      <c r="W915" s="125"/>
      <c r="X915" s="125"/>
      <c r="Y915" s="125"/>
      <c r="Z915" s="125"/>
      <c r="AA915" s="125"/>
      <c r="AB915" s="125"/>
      <c r="AC915" s="125"/>
      <c r="AD915" s="125"/>
      <c r="AE915" s="125"/>
      <c r="AF915" s="125"/>
      <c r="AG915" s="125"/>
      <c r="AH915" s="125"/>
      <c r="AI915" s="125"/>
      <c r="AJ915" s="125"/>
      <c r="AK915" s="125"/>
      <c r="AL915" s="125"/>
      <c r="AM915" s="125"/>
      <c r="AN915" s="125"/>
      <c r="AO915" s="125"/>
      <c r="AP915" s="125"/>
      <c r="AQ915" s="125"/>
      <c r="AR915" s="125"/>
      <c r="AS915" s="125"/>
      <c r="AT915" s="125"/>
      <c r="AU915" s="125"/>
      <c r="AV915" s="125"/>
      <c r="AW915" s="125"/>
      <c r="AX915" s="125"/>
      <c r="AY915" s="125"/>
      <c r="AZ915" s="125"/>
      <c r="BA915" s="125"/>
      <c r="BB915" s="125"/>
      <c r="BC915" s="125"/>
      <c r="BD915" s="125"/>
      <c r="BE915" s="125"/>
      <c r="BF915" s="125"/>
    </row>
    <row r="916" spans="1:58" ht="15.75" customHeight="1">
      <c r="A916" s="125"/>
      <c r="B916" s="125"/>
      <c r="C916" s="125"/>
      <c r="D916" s="125"/>
      <c r="E916" s="125"/>
      <c r="F916" s="125"/>
      <c r="G916" s="125"/>
      <c r="H916" s="125"/>
      <c r="I916" s="125"/>
      <c r="J916" s="125"/>
      <c r="K916" s="125"/>
      <c r="L916" s="125"/>
      <c r="M916" s="125"/>
      <c r="N916" s="125"/>
      <c r="O916" s="125"/>
      <c r="P916" s="125"/>
      <c r="Q916" s="125"/>
      <c r="R916" s="125"/>
      <c r="S916" s="125"/>
      <c r="T916" s="125"/>
      <c r="U916" s="125"/>
      <c r="V916" s="125"/>
      <c r="W916" s="125"/>
      <c r="X916" s="125"/>
      <c r="Y916" s="125"/>
      <c r="Z916" s="125"/>
      <c r="AA916" s="125"/>
      <c r="AB916" s="125"/>
      <c r="AC916" s="125"/>
      <c r="AD916" s="125"/>
      <c r="AE916" s="125"/>
      <c r="AF916" s="125"/>
      <c r="AG916" s="125"/>
      <c r="AH916" s="125"/>
      <c r="AI916" s="125"/>
      <c r="AJ916" s="125"/>
      <c r="AK916" s="125"/>
      <c r="AL916" s="125"/>
      <c r="AM916" s="125"/>
      <c r="AN916" s="125"/>
      <c r="AO916" s="125"/>
      <c r="AP916" s="125"/>
      <c r="AQ916" s="125"/>
      <c r="AR916" s="125"/>
      <c r="AS916" s="125"/>
      <c r="AT916" s="125"/>
      <c r="AU916" s="125"/>
      <c r="AV916" s="125"/>
      <c r="AW916" s="125"/>
      <c r="AX916" s="125"/>
      <c r="AY916" s="125"/>
      <c r="AZ916" s="125"/>
      <c r="BA916" s="125"/>
      <c r="BB916" s="125"/>
      <c r="BC916" s="125"/>
      <c r="BD916" s="125"/>
      <c r="BE916" s="125"/>
      <c r="BF916" s="125"/>
    </row>
    <row r="917" spans="1:58" ht="15.75" customHeight="1">
      <c r="A917" s="125"/>
      <c r="B917" s="125"/>
      <c r="C917" s="125"/>
      <c r="D917" s="125"/>
      <c r="E917" s="125"/>
      <c r="F917" s="125"/>
      <c r="G917" s="125"/>
      <c r="H917" s="125"/>
      <c r="I917" s="125"/>
      <c r="J917" s="125"/>
      <c r="K917" s="125"/>
      <c r="L917" s="125"/>
      <c r="M917" s="125"/>
      <c r="N917" s="125"/>
      <c r="O917" s="125"/>
      <c r="P917" s="125"/>
      <c r="Q917" s="125"/>
      <c r="R917" s="125"/>
      <c r="S917" s="125"/>
      <c r="T917" s="125"/>
      <c r="U917" s="125"/>
      <c r="V917" s="125"/>
      <c r="W917" s="125"/>
      <c r="X917" s="125"/>
      <c r="Y917" s="125"/>
      <c r="Z917" s="125"/>
      <c r="AA917" s="125"/>
      <c r="AB917" s="125"/>
      <c r="AC917" s="125"/>
      <c r="AD917" s="125"/>
      <c r="AE917" s="125"/>
      <c r="AF917" s="125"/>
      <c r="AG917" s="125"/>
      <c r="AH917" s="125"/>
      <c r="AI917" s="125"/>
      <c r="AJ917" s="125"/>
      <c r="AK917" s="125"/>
      <c r="AL917" s="125"/>
      <c r="AM917" s="125"/>
      <c r="AN917" s="125"/>
      <c r="AO917" s="125"/>
      <c r="AP917" s="125"/>
      <c r="AQ917" s="125"/>
      <c r="AR917" s="125"/>
      <c r="AS917" s="125"/>
      <c r="AT917" s="125"/>
      <c r="AU917" s="125"/>
      <c r="AV917" s="125"/>
      <c r="AW917" s="125"/>
      <c r="AX917" s="125"/>
      <c r="AY917" s="125"/>
      <c r="AZ917" s="125"/>
      <c r="BA917" s="125"/>
      <c r="BB917" s="125"/>
      <c r="BC917" s="125"/>
      <c r="BD917" s="125"/>
      <c r="BE917" s="125"/>
      <c r="BF917" s="125"/>
    </row>
    <row r="918" spans="1:58" ht="15.75" customHeight="1">
      <c r="A918" s="125"/>
      <c r="B918" s="125"/>
      <c r="C918" s="125"/>
      <c r="D918" s="125"/>
      <c r="E918" s="125"/>
      <c r="F918" s="125"/>
      <c r="G918" s="125"/>
      <c r="H918" s="125"/>
      <c r="I918" s="125"/>
      <c r="J918" s="125"/>
      <c r="K918" s="125"/>
      <c r="L918" s="125"/>
      <c r="M918" s="125"/>
      <c r="N918" s="125"/>
      <c r="O918" s="125"/>
      <c r="P918" s="125"/>
      <c r="Q918" s="125"/>
      <c r="R918" s="125"/>
      <c r="S918" s="125"/>
      <c r="T918" s="125"/>
      <c r="U918" s="125"/>
      <c r="V918" s="125"/>
      <c r="W918" s="125"/>
      <c r="X918" s="125"/>
      <c r="Y918" s="125"/>
      <c r="Z918" s="125"/>
      <c r="AA918" s="125"/>
      <c r="AB918" s="125"/>
      <c r="AC918" s="125"/>
      <c r="AD918" s="125"/>
      <c r="AE918" s="125"/>
      <c r="AF918" s="125"/>
      <c r="AG918" s="125"/>
      <c r="AH918" s="125"/>
      <c r="AI918" s="125"/>
      <c r="AJ918" s="125"/>
      <c r="AK918" s="125"/>
      <c r="AL918" s="125"/>
      <c r="AM918" s="125"/>
      <c r="AN918" s="125"/>
      <c r="AO918" s="125"/>
      <c r="AP918" s="125"/>
      <c r="AQ918" s="125"/>
      <c r="AR918" s="125"/>
      <c r="AS918" s="125"/>
      <c r="AT918" s="125"/>
      <c r="AU918" s="125"/>
      <c r="AV918" s="125"/>
      <c r="AW918" s="125"/>
      <c r="AX918" s="125"/>
      <c r="AY918" s="125"/>
      <c r="AZ918" s="125"/>
      <c r="BA918" s="125"/>
      <c r="BB918" s="125"/>
      <c r="BC918" s="125"/>
      <c r="BD918" s="125"/>
      <c r="BE918" s="125"/>
      <c r="BF918" s="125"/>
    </row>
    <row r="919" spans="1:58" ht="15.75" customHeight="1">
      <c r="A919" s="125"/>
      <c r="B919" s="125"/>
      <c r="C919" s="125"/>
      <c r="D919" s="125"/>
      <c r="E919" s="125"/>
      <c r="F919" s="125"/>
      <c r="G919" s="125"/>
      <c r="H919" s="125"/>
      <c r="I919" s="125"/>
      <c r="J919" s="125"/>
      <c r="K919" s="125"/>
      <c r="L919" s="125"/>
      <c r="M919" s="125"/>
      <c r="N919" s="125"/>
      <c r="O919" s="125"/>
      <c r="P919" s="125"/>
      <c r="Q919" s="125"/>
      <c r="R919" s="125"/>
      <c r="S919" s="125"/>
      <c r="T919" s="125"/>
      <c r="U919" s="125"/>
      <c r="V919" s="125"/>
      <c r="W919" s="125"/>
      <c r="X919" s="125"/>
      <c r="Y919" s="125"/>
      <c r="Z919" s="125"/>
      <c r="AA919" s="125"/>
      <c r="AB919" s="125"/>
      <c r="AC919" s="125"/>
      <c r="AD919" s="125"/>
      <c r="AE919" s="125"/>
      <c r="AF919" s="125"/>
      <c r="AG919" s="125"/>
      <c r="AH919" s="125"/>
      <c r="AI919" s="125"/>
      <c r="AJ919" s="125"/>
      <c r="AK919" s="125"/>
      <c r="AL919" s="125"/>
      <c r="AM919" s="125"/>
      <c r="AN919" s="125"/>
      <c r="AO919" s="125"/>
      <c r="AP919" s="125"/>
      <c r="AQ919" s="125"/>
      <c r="AR919" s="125"/>
      <c r="AS919" s="125"/>
      <c r="AT919" s="125"/>
      <c r="AU919" s="125"/>
      <c r="AV919" s="125"/>
      <c r="AW919" s="125"/>
      <c r="AX919" s="125"/>
      <c r="AY919" s="125"/>
      <c r="AZ919" s="125"/>
      <c r="BA919" s="125"/>
      <c r="BB919" s="125"/>
      <c r="BC919" s="125"/>
      <c r="BD919" s="125"/>
      <c r="BE919" s="125"/>
      <c r="BF919" s="125"/>
    </row>
    <row r="920" spans="1:58" ht="15.75" customHeight="1">
      <c r="A920" s="125"/>
      <c r="B920" s="125"/>
      <c r="C920" s="125"/>
      <c r="D920" s="125"/>
      <c r="E920" s="125"/>
      <c r="F920" s="125"/>
      <c r="G920" s="125"/>
      <c r="H920" s="125"/>
      <c r="I920" s="125"/>
      <c r="J920" s="125"/>
      <c r="K920" s="125"/>
      <c r="L920" s="125"/>
      <c r="M920" s="125"/>
      <c r="N920" s="125"/>
      <c r="O920" s="125"/>
      <c r="P920" s="125"/>
      <c r="Q920" s="125"/>
      <c r="R920" s="125"/>
      <c r="S920" s="125"/>
      <c r="T920" s="125"/>
      <c r="U920" s="125"/>
      <c r="V920" s="125"/>
      <c r="W920" s="125"/>
      <c r="X920" s="125"/>
      <c r="Y920" s="125"/>
      <c r="Z920" s="125"/>
      <c r="AA920" s="125"/>
      <c r="AB920" s="125"/>
      <c r="AC920" s="125"/>
      <c r="AD920" s="125"/>
      <c r="AE920" s="125"/>
      <c r="AF920" s="125"/>
      <c r="AG920" s="125"/>
      <c r="AH920" s="125"/>
      <c r="AI920" s="125"/>
      <c r="AJ920" s="125"/>
      <c r="AK920" s="125"/>
      <c r="AL920" s="125"/>
      <c r="AM920" s="125"/>
      <c r="AN920" s="125"/>
      <c r="AO920" s="125"/>
      <c r="AP920" s="125"/>
      <c r="AQ920" s="125"/>
      <c r="AR920" s="125"/>
      <c r="AS920" s="125"/>
      <c r="AT920" s="125"/>
      <c r="AU920" s="125"/>
      <c r="AV920" s="125"/>
      <c r="AW920" s="125"/>
      <c r="AX920" s="125"/>
      <c r="AY920" s="125"/>
      <c r="AZ920" s="125"/>
      <c r="BA920" s="125"/>
      <c r="BB920" s="125"/>
      <c r="BC920" s="125"/>
      <c r="BD920" s="125"/>
      <c r="BE920" s="125"/>
      <c r="BF920" s="125"/>
    </row>
    <row r="921" spans="1:58" ht="15.75" customHeight="1">
      <c r="A921" s="125"/>
      <c r="B921" s="125"/>
      <c r="C921" s="125"/>
      <c r="D921" s="125"/>
      <c r="E921" s="125"/>
      <c r="F921" s="125"/>
      <c r="G921" s="125"/>
      <c r="H921" s="125"/>
      <c r="I921" s="125"/>
      <c r="J921" s="125"/>
      <c r="K921" s="125"/>
      <c r="L921" s="125"/>
      <c r="M921" s="125"/>
      <c r="N921" s="125"/>
      <c r="O921" s="125"/>
      <c r="P921" s="125"/>
      <c r="Q921" s="125"/>
      <c r="R921" s="125"/>
      <c r="S921" s="125"/>
      <c r="T921" s="125"/>
      <c r="U921" s="125"/>
      <c r="V921" s="125"/>
      <c r="W921" s="125"/>
      <c r="X921" s="125"/>
      <c r="Y921" s="125"/>
      <c r="Z921" s="125"/>
      <c r="AA921" s="125"/>
      <c r="AB921" s="125"/>
      <c r="AC921" s="125"/>
      <c r="AD921" s="125"/>
      <c r="AE921" s="125"/>
      <c r="AF921" s="125"/>
      <c r="AG921" s="125"/>
      <c r="AH921" s="125"/>
      <c r="AI921" s="125"/>
      <c r="AJ921" s="125"/>
      <c r="AK921" s="125"/>
      <c r="AL921" s="125"/>
      <c r="AM921" s="125"/>
      <c r="AN921" s="125"/>
      <c r="AO921" s="125"/>
      <c r="AP921" s="125"/>
      <c r="AQ921" s="125"/>
      <c r="AR921" s="125"/>
      <c r="AS921" s="125"/>
      <c r="AT921" s="125"/>
      <c r="AU921" s="125"/>
      <c r="AV921" s="125"/>
      <c r="AW921" s="125"/>
      <c r="AX921" s="125"/>
      <c r="AY921" s="125"/>
      <c r="AZ921" s="125"/>
      <c r="BA921" s="125"/>
      <c r="BB921" s="125"/>
      <c r="BC921" s="125"/>
      <c r="BD921" s="125"/>
      <c r="BE921" s="125"/>
      <c r="BF921" s="125"/>
    </row>
    <row r="922" spans="1:58" ht="15.75" customHeight="1">
      <c r="A922" s="125"/>
      <c r="B922" s="125"/>
      <c r="C922" s="125"/>
      <c r="D922" s="125"/>
      <c r="E922" s="125"/>
      <c r="F922" s="125"/>
      <c r="G922" s="125"/>
      <c r="H922" s="125"/>
      <c r="I922" s="125"/>
      <c r="J922" s="125"/>
      <c r="K922" s="125"/>
      <c r="L922" s="125"/>
      <c r="M922" s="125"/>
      <c r="N922" s="125"/>
      <c r="O922" s="125"/>
      <c r="P922" s="125"/>
      <c r="Q922" s="125"/>
      <c r="R922" s="125"/>
      <c r="S922" s="125"/>
      <c r="T922" s="125"/>
      <c r="U922" s="125"/>
      <c r="V922" s="125"/>
      <c r="W922" s="125"/>
      <c r="X922" s="125"/>
      <c r="Y922" s="125"/>
      <c r="Z922" s="125"/>
      <c r="AA922" s="125"/>
      <c r="AB922" s="125"/>
      <c r="AC922" s="125"/>
      <c r="AD922" s="125"/>
      <c r="AE922" s="125"/>
      <c r="AF922" s="125"/>
      <c r="AG922" s="125"/>
      <c r="AH922" s="125"/>
      <c r="AI922" s="125"/>
      <c r="AJ922" s="125"/>
      <c r="AK922" s="125"/>
      <c r="AL922" s="125"/>
      <c r="AM922" s="125"/>
      <c r="AN922" s="125"/>
      <c r="AO922" s="125"/>
      <c r="AP922" s="125"/>
      <c r="AQ922" s="125"/>
      <c r="AR922" s="125"/>
      <c r="AS922" s="125"/>
      <c r="AT922" s="125"/>
      <c r="AU922" s="125"/>
      <c r="AV922" s="125"/>
      <c r="AW922" s="125"/>
      <c r="AX922" s="125"/>
      <c r="AY922" s="125"/>
      <c r="AZ922" s="125"/>
      <c r="BA922" s="125"/>
      <c r="BB922" s="125"/>
      <c r="BC922" s="125"/>
      <c r="BD922" s="125"/>
      <c r="BE922" s="125"/>
      <c r="BF922" s="125"/>
    </row>
    <row r="923" spans="1:58" ht="15.75" customHeight="1">
      <c r="A923" s="125"/>
      <c r="B923" s="125"/>
      <c r="C923" s="125"/>
      <c r="D923" s="125"/>
      <c r="E923" s="125"/>
      <c r="F923" s="125"/>
      <c r="G923" s="125"/>
      <c r="H923" s="125"/>
      <c r="I923" s="125"/>
      <c r="J923" s="125"/>
      <c r="K923" s="125"/>
      <c r="L923" s="125"/>
      <c r="M923" s="125"/>
      <c r="N923" s="125"/>
      <c r="O923" s="125"/>
      <c r="P923" s="125"/>
      <c r="Q923" s="125"/>
      <c r="R923" s="125"/>
      <c r="S923" s="125"/>
      <c r="T923" s="125"/>
      <c r="U923" s="125"/>
      <c r="V923" s="125"/>
      <c r="W923" s="125"/>
      <c r="X923" s="125"/>
      <c r="Y923" s="125"/>
      <c r="Z923" s="125"/>
      <c r="AA923" s="125"/>
      <c r="AB923" s="125"/>
      <c r="AC923" s="125"/>
      <c r="AD923" s="125"/>
      <c r="AE923" s="125"/>
      <c r="AF923" s="125"/>
      <c r="AG923" s="125"/>
      <c r="AH923" s="125"/>
      <c r="AI923" s="125"/>
      <c r="AJ923" s="125"/>
      <c r="AK923" s="125"/>
      <c r="AL923" s="125"/>
      <c r="AM923" s="125"/>
      <c r="AN923" s="125"/>
      <c r="AO923" s="125"/>
      <c r="AP923" s="125"/>
      <c r="AQ923" s="125"/>
      <c r="AR923" s="125"/>
      <c r="AS923" s="125"/>
      <c r="AT923" s="125"/>
      <c r="AU923" s="125"/>
      <c r="AV923" s="125"/>
      <c r="AW923" s="125"/>
      <c r="AX923" s="125"/>
      <c r="AY923" s="125"/>
      <c r="AZ923" s="125"/>
      <c r="BA923" s="125"/>
      <c r="BB923" s="125"/>
      <c r="BC923" s="125"/>
      <c r="BD923" s="125"/>
      <c r="BE923" s="125"/>
      <c r="BF923" s="125"/>
    </row>
    <row r="924" spans="1:58" ht="15.75" customHeight="1">
      <c r="A924" s="125"/>
      <c r="B924" s="125"/>
      <c r="C924" s="125"/>
      <c r="D924" s="125"/>
      <c r="E924" s="125"/>
      <c r="F924" s="125"/>
      <c r="G924" s="125"/>
      <c r="H924" s="125"/>
      <c r="I924" s="125"/>
      <c r="J924" s="125"/>
      <c r="K924" s="125"/>
      <c r="L924" s="125"/>
      <c r="M924" s="125"/>
      <c r="N924" s="125"/>
      <c r="O924" s="125"/>
      <c r="P924" s="125"/>
      <c r="Q924" s="125"/>
      <c r="R924" s="125"/>
      <c r="S924" s="125"/>
      <c r="T924" s="125"/>
      <c r="U924" s="125"/>
      <c r="V924" s="125"/>
      <c r="W924" s="125"/>
      <c r="X924" s="125"/>
      <c r="Y924" s="125"/>
      <c r="Z924" s="125"/>
      <c r="AA924" s="125"/>
      <c r="AB924" s="125"/>
      <c r="AC924" s="125"/>
      <c r="AD924" s="125"/>
      <c r="AE924" s="125"/>
      <c r="AF924" s="125"/>
      <c r="AG924" s="125"/>
      <c r="AH924" s="125"/>
      <c r="AI924" s="125"/>
      <c r="AJ924" s="125"/>
      <c r="AK924" s="125"/>
      <c r="AL924" s="125"/>
      <c r="AM924" s="125"/>
      <c r="AN924" s="125"/>
      <c r="AO924" s="125"/>
      <c r="AP924" s="125"/>
      <c r="AQ924" s="125"/>
      <c r="AR924" s="125"/>
      <c r="AS924" s="125"/>
      <c r="AT924" s="125"/>
      <c r="AU924" s="125"/>
      <c r="AV924" s="125"/>
      <c r="AW924" s="125"/>
      <c r="AX924" s="125"/>
      <c r="AY924" s="125"/>
      <c r="AZ924" s="125"/>
      <c r="BA924" s="125"/>
      <c r="BB924" s="125"/>
      <c r="BC924" s="125"/>
      <c r="BD924" s="125"/>
      <c r="BE924" s="125"/>
      <c r="BF924" s="125"/>
    </row>
    <row r="925" spans="1:58" ht="15.75" customHeight="1">
      <c r="A925" s="125"/>
      <c r="B925" s="125"/>
      <c r="C925" s="125"/>
      <c r="D925" s="125"/>
      <c r="E925" s="125"/>
      <c r="F925" s="125"/>
      <c r="G925" s="125"/>
      <c r="H925" s="125"/>
      <c r="I925" s="125"/>
      <c r="J925" s="125"/>
      <c r="K925" s="125"/>
      <c r="L925" s="125"/>
      <c r="M925" s="125"/>
      <c r="N925" s="125"/>
      <c r="O925" s="125"/>
      <c r="P925" s="125"/>
      <c r="Q925" s="125"/>
      <c r="R925" s="125"/>
      <c r="S925" s="125"/>
      <c r="T925" s="125"/>
      <c r="U925" s="125"/>
      <c r="V925" s="125"/>
      <c r="W925" s="125"/>
      <c r="X925" s="125"/>
      <c r="Y925" s="125"/>
      <c r="Z925" s="125"/>
      <c r="AA925" s="125"/>
      <c r="AB925" s="125"/>
      <c r="AC925" s="125"/>
      <c r="AD925" s="125"/>
      <c r="AE925" s="125"/>
      <c r="AF925" s="125"/>
      <c r="AG925" s="125"/>
      <c r="AH925" s="125"/>
      <c r="AI925" s="125"/>
      <c r="AJ925" s="125"/>
      <c r="AK925" s="125"/>
      <c r="AL925" s="125"/>
      <c r="AM925" s="125"/>
      <c r="AN925" s="125"/>
      <c r="AO925" s="125"/>
      <c r="AP925" s="125"/>
      <c r="AQ925" s="125"/>
      <c r="AR925" s="125"/>
      <c r="AS925" s="125"/>
      <c r="AT925" s="125"/>
      <c r="AU925" s="125"/>
      <c r="AV925" s="125"/>
      <c r="AW925" s="125"/>
      <c r="AX925" s="125"/>
      <c r="AY925" s="125"/>
      <c r="AZ925" s="125"/>
      <c r="BA925" s="125"/>
      <c r="BB925" s="125"/>
      <c r="BC925" s="125"/>
      <c r="BD925" s="125"/>
      <c r="BE925" s="125"/>
      <c r="BF925" s="125"/>
    </row>
    <row r="926" spans="1:58" ht="15.75" customHeight="1">
      <c r="A926" s="125"/>
      <c r="B926" s="125"/>
      <c r="C926" s="125"/>
      <c r="D926" s="125"/>
      <c r="E926" s="125"/>
      <c r="F926" s="125"/>
      <c r="G926" s="125"/>
      <c r="H926" s="125"/>
      <c r="I926" s="125"/>
      <c r="J926" s="125"/>
      <c r="K926" s="125"/>
      <c r="L926" s="125"/>
      <c r="M926" s="125"/>
      <c r="N926" s="125"/>
      <c r="O926" s="125"/>
      <c r="P926" s="125"/>
      <c r="Q926" s="125"/>
      <c r="R926" s="125"/>
      <c r="S926" s="125"/>
      <c r="T926" s="125"/>
      <c r="U926" s="125"/>
      <c r="V926" s="125"/>
      <c r="W926" s="125"/>
      <c r="X926" s="125"/>
      <c r="Y926" s="125"/>
      <c r="Z926" s="125"/>
      <c r="AA926" s="125"/>
      <c r="AB926" s="125"/>
      <c r="AC926" s="125"/>
      <c r="AD926" s="125"/>
      <c r="AE926" s="125"/>
      <c r="AF926" s="125"/>
      <c r="AG926" s="125"/>
      <c r="AH926" s="125"/>
      <c r="AI926" s="125"/>
      <c r="AJ926" s="125"/>
      <c r="AK926" s="125"/>
      <c r="AL926" s="125"/>
      <c r="AM926" s="125"/>
      <c r="AN926" s="125"/>
      <c r="AO926" s="125"/>
      <c r="AP926" s="125"/>
      <c r="AQ926" s="125"/>
      <c r="AR926" s="125"/>
      <c r="AS926" s="125"/>
      <c r="AT926" s="125"/>
      <c r="AU926" s="125"/>
      <c r="AV926" s="125"/>
      <c r="AW926" s="125"/>
      <c r="AX926" s="125"/>
      <c r="AY926" s="125"/>
      <c r="AZ926" s="125"/>
      <c r="BA926" s="125"/>
      <c r="BB926" s="125"/>
      <c r="BC926" s="125"/>
      <c r="BD926" s="125"/>
      <c r="BE926" s="125"/>
      <c r="BF926" s="125"/>
    </row>
    <row r="927" spans="1:58" ht="15.75" customHeight="1">
      <c r="A927" s="125"/>
      <c r="B927" s="125"/>
      <c r="C927" s="125"/>
      <c r="D927" s="125"/>
      <c r="E927" s="125"/>
      <c r="F927" s="125"/>
      <c r="G927" s="125"/>
      <c r="H927" s="125"/>
      <c r="I927" s="125"/>
      <c r="J927" s="125"/>
      <c r="K927" s="125"/>
      <c r="L927" s="125"/>
      <c r="M927" s="125"/>
      <c r="N927" s="125"/>
      <c r="O927" s="125"/>
      <c r="P927" s="125"/>
      <c r="Q927" s="125"/>
      <c r="R927" s="125"/>
      <c r="S927" s="125"/>
      <c r="T927" s="125"/>
      <c r="U927" s="125"/>
      <c r="V927" s="125"/>
      <c r="W927" s="125"/>
      <c r="X927" s="125"/>
      <c r="Y927" s="125"/>
      <c r="Z927" s="125"/>
      <c r="AA927" s="125"/>
      <c r="AB927" s="125"/>
      <c r="AC927" s="125"/>
      <c r="AD927" s="125"/>
      <c r="AE927" s="125"/>
      <c r="AF927" s="125"/>
      <c r="AG927" s="125"/>
      <c r="AH927" s="125"/>
      <c r="AI927" s="125"/>
      <c r="AJ927" s="125"/>
      <c r="AK927" s="125"/>
      <c r="AL927" s="125"/>
      <c r="AM927" s="125"/>
      <c r="AN927" s="125"/>
      <c r="AO927" s="125"/>
      <c r="AP927" s="125"/>
      <c r="AQ927" s="125"/>
      <c r="AR927" s="125"/>
      <c r="AS927" s="125"/>
      <c r="AT927" s="125"/>
      <c r="AU927" s="125"/>
      <c r="AV927" s="125"/>
      <c r="AW927" s="125"/>
      <c r="AX927" s="125"/>
      <c r="AY927" s="125"/>
      <c r="AZ927" s="125"/>
      <c r="BA927" s="125"/>
      <c r="BB927" s="125"/>
      <c r="BC927" s="125"/>
      <c r="BD927" s="125"/>
      <c r="BE927" s="125"/>
      <c r="BF927" s="125"/>
    </row>
    <row r="928" spans="1:58" ht="15.75" customHeight="1">
      <c r="A928" s="125"/>
      <c r="B928" s="125"/>
      <c r="C928" s="125"/>
      <c r="D928" s="125"/>
      <c r="E928" s="125"/>
      <c r="F928" s="125"/>
      <c r="G928" s="125"/>
      <c r="H928" s="125"/>
      <c r="I928" s="125"/>
      <c r="J928" s="125"/>
      <c r="K928" s="125"/>
      <c r="L928" s="125"/>
      <c r="M928" s="125"/>
      <c r="N928" s="125"/>
      <c r="O928" s="125"/>
      <c r="P928" s="125"/>
      <c r="Q928" s="125"/>
      <c r="R928" s="125"/>
      <c r="S928" s="125"/>
      <c r="T928" s="125"/>
      <c r="U928" s="125"/>
      <c r="V928" s="125"/>
      <c r="W928" s="125"/>
      <c r="X928" s="125"/>
      <c r="Y928" s="125"/>
      <c r="Z928" s="125"/>
      <c r="AA928" s="125"/>
      <c r="AB928" s="125"/>
      <c r="AC928" s="125"/>
      <c r="AD928" s="125"/>
      <c r="AE928" s="125"/>
      <c r="AF928" s="125"/>
      <c r="AG928" s="125"/>
      <c r="AH928" s="125"/>
      <c r="AI928" s="125"/>
      <c r="AJ928" s="125"/>
      <c r="AK928" s="125"/>
      <c r="AL928" s="125"/>
      <c r="AM928" s="125"/>
      <c r="AN928" s="125"/>
      <c r="AO928" s="125"/>
      <c r="AP928" s="125"/>
      <c r="AQ928" s="125"/>
      <c r="AR928" s="125"/>
      <c r="AS928" s="125"/>
      <c r="AT928" s="125"/>
      <c r="AU928" s="125"/>
      <c r="AV928" s="125"/>
      <c r="AW928" s="125"/>
      <c r="AX928" s="125"/>
      <c r="AY928" s="125"/>
      <c r="AZ928" s="125"/>
      <c r="BA928" s="125"/>
      <c r="BB928" s="125"/>
      <c r="BC928" s="125"/>
      <c r="BD928" s="125"/>
      <c r="BE928" s="125"/>
      <c r="BF928" s="125"/>
    </row>
    <row r="929" spans="1:58" ht="15.75" customHeight="1">
      <c r="A929" s="125"/>
      <c r="B929" s="125"/>
      <c r="C929" s="125"/>
      <c r="D929" s="125"/>
      <c r="E929" s="125"/>
      <c r="F929" s="125"/>
      <c r="G929" s="125"/>
      <c r="H929" s="125"/>
      <c r="I929" s="125"/>
      <c r="J929" s="125"/>
      <c r="K929" s="125"/>
      <c r="L929" s="125"/>
      <c r="M929" s="125"/>
      <c r="N929" s="125"/>
      <c r="O929" s="125"/>
      <c r="P929" s="125"/>
      <c r="Q929" s="125"/>
      <c r="R929" s="125"/>
      <c r="S929" s="125"/>
      <c r="T929" s="125"/>
      <c r="U929" s="125"/>
      <c r="V929" s="125"/>
      <c r="W929" s="125"/>
      <c r="X929" s="125"/>
      <c r="Y929" s="125"/>
      <c r="Z929" s="125"/>
      <c r="AA929" s="125"/>
      <c r="AB929" s="125"/>
      <c r="AC929" s="125"/>
      <c r="AD929" s="125"/>
      <c r="AE929" s="125"/>
      <c r="AF929" s="125"/>
      <c r="AG929" s="125"/>
      <c r="AH929" s="125"/>
      <c r="AI929" s="125"/>
      <c r="AJ929" s="125"/>
      <c r="AK929" s="125"/>
      <c r="AL929" s="125"/>
      <c r="AM929" s="125"/>
      <c r="AN929" s="125"/>
      <c r="AO929" s="125"/>
      <c r="AP929" s="125"/>
      <c r="AQ929" s="125"/>
      <c r="AR929" s="125"/>
      <c r="AS929" s="125"/>
      <c r="AT929" s="125"/>
      <c r="AU929" s="125"/>
      <c r="AV929" s="125"/>
      <c r="AW929" s="125"/>
      <c r="AX929" s="125"/>
      <c r="AY929" s="125"/>
      <c r="AZ929" s="125"/>
      <c r="BA929" s="125"/>
      <c r="BB929" s="125"/>
      <c r="BC929" s="125"/>
      <c r="BD929" s="125"/>
      <c r="BE929" s="125"/>
      <c r="BF929" s="125"/>
    </row>
    <row r="930" spans="1:58" ht="15.75" customHeight="1">
      <c r="A930" s="125"/>
      <c r="B930" s="125"/>
      <c r="C930" s="125"/>
      <c r="D930" s="125"/>
      <c r="E930" s="125"/>
      <c r="F930" s="125"/>
      <c r="G930" s="125"/>
      <c r="H930" s="125"/>
      <c r="I930" s="125"/>
      <c r="J930" s="125"/>
      <c r="K930" s="125"/>
      <c r="L930" s="125"/>
      <c r="M930" s="125"/>
      <c r="N930" s="125"/>
      <c r="O930" s="125"/>
      <c r="P930" s="125"/>
      <c r="Q930" s="125"/>
      <c r="R930" s="125"/>
      <c r="S930" s="125"/>
      <c r="T930" s="125"/>
      <c r="U930" s="125"/>
      <c r="V930" s="125"/>
      <c r="W930" s="125"/>
      <c r="X930" s="125"/>
      <c r="Y930" s="125"/>
      <c r="Z930" s="125"/>
      <c r="AA930" s="125"/>
      <c r="AB930" s="125"/>
      <c r="AC930" s="125"/>
      <c r="AD930" s="125"/>
      <c r="AE930" s="125"/>
      <c r="AF930" s="125"/>
      <c r="AG930" s="125"/>
      <c r="AH930" s="125"/>
      <c r="AI930" s="125"/>
      <c r="AJ930" s="125"/>
      <c r="AK930" s="125"/>
      <c r="AL930" s="125"/>
      <c r="AM930" s="125"/>
      <c r="AN930" s="125"/>
      <c r="AO930" s="125"/>
      <c r="AP930" s="125"/>
      <c r="AQ930" s="125"/>
      <c r="AR930" s="125"/>
      <c r="AS930" s="125"/>
      <c r="AT930" s="125"/>
      <c r="AU930" s="125"/>
      <c r="AV930" s="125"/>
      <c r="AW930" s="125"/>
      <c r="AX930" s="125"/>
      <c r="AY930" s="125"/>
      <c r="AZ930" s="125"/>
      <c r="BA930" s="125"/>
      <c r="BB930" s="125"/>
      <c r="BC930" s="125"/>
      <c r="BD930" s="125"/>
      <c r="BE930" s="125"/>
      <c r="BF930" s="125"/>
    </row>
    <row r="931" spans="1:58" ht="15.75" customHeight="1">
      <c r="A931" s="125"/>
      <c r="B931" s="125"/>
      <c r="C931" s="125"/>
      <c r="D931" s="125"/>
      <c r="E931" s="125"/>
      <c r="F931" s="125"/>
      <c r="G931" s="125"/>
      <c r="H931" s="125"/>
      <c r="I931" s="125"/>
      <c r="J931" s="125"/>
      <c r="K931" s="125"/>
      <c r="L931" s="125"/>
      <c r="M931" s="125"/>
      <c r="N931" s="125"/>
      <c r="O931" s="125"/>
      <c r="P931" s="125"/>
      <c r="Q931" s="125"/>
      <c r="R931" s="125"/>
      <c r="S931" s="125"/>
      <c r="T931" s="125"/>
      <c r="U931" s="125"/>
      <c r="V931" s="125"/>
      <c r="W931" s="125"/>
      <c r="X931" s="125"/>
      <c r="Y931" s="125"/>
      <c r="Z931" s="125"/>
      <c r="AA931" s="125"/>
      <c r="AB931" s="125"/>
      <c r="AC931" s="125"/>
      <c r="AD931" s="125"/>
      <c r="AE931" s="125"/>
      <c r="AF931" s="125"/>
      <c r="AG931" s="125"/>
      <c r="AH931" s="125"/>
      <c r="AI931" s="125"/>
      <c r="AJ931" s="125"/>
      <c r="AK931" s="125"/>
      <c r="AL931" s="125"/>
      <c r="AM931" s="125"/>
      <c r="AN931" s="125"/>
      <c r="AO931" s="125"/>
      <c r="AP931" s="125"/>
      <c r="AQ931" s="125"/>
      <c r="AR931" s="125"/>
      <c r="AS931" s="125"/>
      <c r="AT931" s="125"/>
      <c r="AU931" s="125"/>
      <c r="AV931" s="125"/>
      <c r="AW931" s="125"/>
      <c r="AX931" s="125"/>
      <c r="AY931" s="125"/>
      <c r="AZ931" s="125"/>
      <c r="BA931" s="125"/>
      <c r="BB931" s="125"/>
      <c r="BC931" s="125"/>
      <c r="BD931" s="125"/>
      <c r="BE931" s="125"/>
      <c r="BF931" s="125"/>
    </row>
    <row r="932" spans="1:58" ht="15.75" customHeight="1">
      <c r="A932" s="125"/>
      <c r="B932" s="125"/>
      <c r="C932" s="125"/>
      <c r="D932" s="125"/>
      <c r="E932" s="125"/>
      <c r="F932" s="125"/>
      <c r="G932" s="125"/>
      <c r="H932" s="125"/>
      <c r="I932" s="125"/>
      <c r="J932" s="125"/>
      <c r="K932" s="125"/>
      <c r="L932" s="125"/>
      <c r="M932" s="125"/>
      <c r="N932" s="125"/>
      <c r="O932" s="125"/>
      <c r="P932" s="125"/>
      <c r="Q932" s="125"/>
      <c r="R932" s="125"/>
      <c r="S932" s="125"/>
      <c r="T932" s="125"/>
      <c r="U932" s="125"/>
      <c r="V932" s="125"/>
      <c r="W932" s="125"/>
      <c r="X932" s="125"/>
      <c r="Y932" s="125"/>
      <c r="Z932" s="125"/>
      <c r="AA932" s="125"/>
      <c r="AB932" s="125"/>
      <c r="AC932" s="125"/>
      <c r="AD932" s="125"/>
      <c r="AE932" s="125"/>
      <c r="AF932" s="125"/>
      <c r="AG932" s="125"/>
      <c r="AH932" s="125"/>
      <c r="AI932" s="125"/>
      <c r="AJ932" s="125"/>
      <c r="AK932" s="125"/>
      <c r="AL932" s="125"/>
      <c r="AM932" s="125"/>
      <c r="AN932" s="125"/>
      <c r="AO932" s="125"/>
      <c r="AP932" s="125"/>
      <c r="AQ932" s="125"/>
      <c r="AR932" s="125"/>
      <c r="AS932" s="125"/>
      <c r="AT932" s="125"/>
      <c r="AU932" s="125"/>
      <c r="AV932" s="125"/>
      <c r="AW932" s="125"/>
      <c r="AX932" s="125"/>
      <c r="AY932" s="125"/>
      <c r="AZ932" s="125"/>
      <c r="BA932" s="125"/>
      <c r="BB932" s="125"/>
      <c r="BC932" s="125"/>
      <c r="BD932" s="125"/>
      <c r="BE932" s="125"/>
      <c r="BF932" s="125"/>
    </row>
    <row r="933" spans="1:58" ht="15.75" customHeight="1">
      <c r="A933" s="125"/>
      <c r="B933" s="125"/>
      <c r="C933" s="125"/>
      <c r="D933" s="125"/>
      <c r="E933" s="125"/>
      <c r="F933" s="125"/>
      <c r="G933" s="125"/>
      <c r="H933" s="125"/>
      <c r="I933" s="125"/>
      <c r="J933" s="125"/>
      <c r="K933" s="125"/>
      <c r="L933" s="125"/>
      <c r="M933" s="125"/>
      <c r="N933" s="125"/>
      <c r="O933" s="125"/>
      <c r="P933" s="125"/>
      <c r="Q933" s="125"/>
      <c r="R933" s="125"/>
      <c r="S933" s="125"/>
      <c r="T933" s="125"/>
      <c r="U933" s="125"/>
      <c r="V933" s="125"/>
      <c r="W933" s="125"/>
      <c r="X933" s="125"/>
      <c r="Y933" s="125"/>
      <c r="Z933" s="125"/>
      <c r="AA933" s="125"/>
      <c r="AB933" s="125"/>
      <c r="AC933" s="125"/>
      <c r="AD933" s="125"/>
      <c r="AE933" s="125"/>
      <c r="AF933" s="125"/>
      <c r="AG933" s="125"/>
      <c r="AH933" s="125"/>
      <c r="AI933" s="125"/>
      <c r="AJ933" s="125"/>
      <c r="AK933" s="125"/>
      <c r="AL933" s="125"/>
      <c r="AM933" s="125"/>
      <c r="AN933" s="125"/>
      <c r="AO933" s="125"/>
      <c r="AP933" s="125"/>
      <c r="AQ933" s="125"/>
      <c r="AR933" s="125"/>
      <c r="AS933" s="125"/>
      <c r="AT933" s="125"/>
      <c r="AU933" s="125"/>
      <c r="AV933" s="125"/>
      <c r="AW933" s="125"/>
      <c r="AX933" s="125"/>
      <c r="AY933" s="125"/>
      <c r="AZ933" s="125"/>
      <c r="BA933" s="125"/>
      <c r="BB933" s="125"/>
      <c r="BC933" s="125"/>
      <c r="BD933" s="125"/>
      <c r="BE933" s="125"/>
      <c r="BF933" s="125"/>
    </row>
    <row r="934" spans="1:58" ht="15.75" customHeight="1">
      <c r="A934" s="125"/>
      <c r="B934" s="125"/>
      <c r="C934" s="125"/>
      <c r="D934" s="125"/>
      <c r="E934" s="125"/>
      <c r="F934" s="125"/>
      <c r="G934" s="125"/>
      <c r="H934" s="125"/>
      <c r="I934" s="125"/>
      <c r="J934" s="125"/>
      <c r="K934" s="125"/>
      <c r="L934" s="125"/>
      <c r="M934" s="125"/>
      <c r="N934" s="125"/>
      <c r="O934" s="125"/>
      <c r="P934" s="125"/>
      <c r="Q934" s="125"/>
      <c r="R934" s="125"/>
      <c r="S934" s="125"/>
      <c r="T934" s="125"/>
      <c r="U934" s="125"/>
      <c r="V934" s="125"/>
      <c r="W934" s="125"/>
      <c r="X934" s="125"/>
      <c r="Y934" s="125"/>
      <c r="Z934" s="125"/>
      <c r="AA934" s="125"/>
      <c r="AB934" s="125"/>
      <c r="AC934" s="125"/>
      <c r="AD934" s="125"/>
      <c r="AE934" s="125"/>
      <c r="AF934" s="125"/>
      <c r="AG934" s="125"/>
      <c r="AH934" s="125"/>
      <c r="AI934" s="125"/>
      <c r="AJ934" s="125"/>
      <c r="AK934" s="125"/>
      <c r="AL934" s="125"/>
      <c r="AM934" s="125"/>
      <c r="AN934" s="125"/>
      <c r="AO934" s="125"/>
      <c r="AP934" s="125"/>
      <c r="AQ934" s="125"/>
      <c r="AR934" s="125"/>
      <c r="AS934" s="125"/>
      <c r="AT934" s="125"/>
      <c r="AU934" s="125"/>
      <c r="AV934" s="125"/>
      <c r="AW934" s="125"/>
      <c r="AX934" s="125"/>
      <c r="AY934" s="125"/>
      <c r="AZ934" s="125"/>
      <c r="BA934" s="125"/>
      <c r="BB934" s="125"/>
      <c r="BC934" s="125"/>
      <c r="BD934" s="125"/>
      <c r="BE934" s="125"/>
      <c r="BF934" s="125"/>
    </row>
    <row r="935" spans="1:58" ht="15.75" customHeight="1">
      <c r="A935" s="125"/>
      <c r="B935" s="125"/>
      <c r="C935" s="125"/>
      <c r="D935" s="125"/>
      <c r="E935" s="125"/>
      <c r="F935" s="125"/>
      <c r="G935" s="125"/>
      <c r="H935" s="125"/>
      <c r="I935" s="125"/>
      <c r="J935" s="125"/>
      <c r="K935" s="125"/>
      <c r="L935" s="125"/>
      <c r="M935" s="125"/>
      <c r="N935" s="125"/>
      <c r="O935" s="125"/>
      <c r="P935" s="125"/>
      <c r="Q935" s="125"/>
      <c r="R935" s="125"/>
      <c r="S935" s="125"/>
      <c r="T935" s="125"/>
      <c r="U935" s="125"/>
      <c r="V935" s="125"/>
      <c r="W935" s="125"/>
      <c r="X935" s="125"/>
      <c r="Y935" s="125"/>
      <c r="Z935" s="125"/>
      <c r="AA935" s="125"/>
      <c r="AB935" s="125"/>
      <c r="AC935" s="125"/>
      <c r="AD935" s="125"/>
      <c r="AE935" s="125"/>
      <c r="AF935" s="125"/>
      <c r="AG935" s="125"/>
      <c r="AH935" s="125"/>
      <c r="AI935" s="125"/>
      <c r="AJ935" s="125"/>
      <c r="AK935" s="125"/>
      <c r="AL935" s="125"/>
      <c r="AM935" s="125"/>
      <c r="AN935" s="125"/>
      <c r="AO935" s="125"/>
      <c r="AP935" s="125"/>
      <c r="AQ935" s="125"/>
      <c r="AR935" s="125"/>
      <c r="AS935" s="125"/>
      <c r="AT935" s="125"/>
      <c r="AU935" s="125"/>
      <c r="AV935" s="125"/>
      <c r="AW935" s="125"/>
      <c r="AX935" s="125"/>
      <c r="AY935" s="125"/>
      <c r="AZ935" s="125"/>
      <c r="BA935" s="125"/>
      <c r="BB935" s="125"/>
      <c r="BC935" s="125"/>
      <c r="BD935" s="125"/>
      <c r="BE935" s="125"/>
      <c r="BF935" s="125"/>
    </row>
    <row r="936" spans="1:58" ht="15.75" customHeight="1">
      <c r="A936" s="125"/>
      <c r="B936" s="125"/>
      <c r="C936" s="125"/>
      <c r="D936" s="125"/>
      <c r="E936" s="125"/>
      <c r="F936" s="125"/>
      <c r="G936" s="125"/>
      <c r="H936" s="125"/>
      <c r="I936" s="125"/>
      <c r="J936" s="125"/>
      <c r="K936" s="125"/>
      <c r="L936" s="125"/>
      <c r="M936" s="125"/>
      <c r="N936" s="125"/>
      <c r="O936" s="125"/>
      <c r="P936" s="125"/>
      <c r="Q936" s="125"/>
      <c r="R936" s="125"/>
      <c r="S936" s="125"/>
      <c r="T936" s="125"/>
      <c r="U936" s="125"/>
      <c r="V936" s="125"/>
      <c r="W936" s="125"/>
      <c r="X936" s="125"/>
      <c r="Y936" s="125"/>
      <c r="Z936" s="125"/>
      <c r="AA936" s="125"/>
      <c r="AB936" s="125"/>
      <c r="AC936" s="125"/>
      <c r="AD936" s="125"/>
      <c r="AE936" s="125"/>
      <c r="AF936" s="125"/>
      <c r="AG936" s="125"/>
      <c r="AH936" s="125"/>
      <c r="AI936" s="125"/>
      <c r="AJ936" s="125"/>
      <c r="AK936" s="125"/>
      <c r="AL936" s="125"/>
      <c r="AM936" s="125"/>
      <c r="AN936" s="125"/>
      <c r="AO936" s="125"/>
      <c r="AP936" s="125"/>
      <c r="AQ936" s="125"/>
      <c r="AR936" s="125"/>
      <c r="AS936" s="125"/>
      <c r="AT936" s="125"/>
      <c r="AU936" s="125"/>
      <c r="AV936" s="125"/>
      <c r="AW936" s="125"/>
      <c r="AX936" s="125"/>
      <c r="AY936" s="125"/>
      <c r="AZ936" s="125"/>
      <c r="BA936" s="125"/>
      <c r="BB936" s="125"/>
      <c r="BC936" s="125"/>
      <c r="BD936" s="125"/>
      <c r="BE936" s="125"/>
      <c r="BF936" s="125"/>
    </row>
    <row r="937" spans="1:58" ht="15.75" customHeight="1">
      <c r="A937" s="125"/>
      <c r="B937" s="125"/>
      <c r="C937" s="125"/>
      <c r="D937" s="125"/>
      <c r="E937" s="125"/>
      <c r="F937" s="125"/>
      <c r="G937" s="125"/>
      <c r="H937" s="125"/>
      <c r="I937" s="125"/>
      <c r="J937" s="125"/>
      <c r="K937" s="125"/>
      <c r="L937" s="125"/>
      <c r="M937" s="125"/>
      <c r="N937" s="125"/>
      <c r="O937" s="125"/>
      <c r="P937" s="125"/>
      <c r="Q937" s="125"/>
      <c r="R937" s="125"/>
      <c r="S937" s="125"/>
      <c r="T937" s="125"/>
      <c r="U937" s="125"/>
      <c r="V937" s="125"/>
      <c r="W937" s="125"/>
      <c r="X937" s="125"/>
      <c r="Y937" s="125"/>
      <c r="Z937" s="125"/>
      <c r="AA937" s="125"/>
      <c r="AB937" s="125"/>
      <c r="AC937" s="125"/>
      <c r="AD937" s="125"/>
      <c r="AE937" s="125"/>
      <c r="AF937" s="125"/>
      <c r="AG937" s="125"/>
      <c r="AH937" s="125"/>
      <c r="AI937" s="125"/>
      <c r="AJ937" s="125"/>
      <c r="AK937" s="125"/>
      <c r="AL937" s="125"/>
      <c r="AM937" s="125"/>
      <c r="AN937" s="125"/>
      <c r="AO937" s="125"/>
      <c r="AP937" s="125"/>
      <c r="AQ937" s="125"/>
      <c r="AR937" s="125"/>
      <c r="AS937" s="125"/>
      <c r="AT937" s="125"/>
      <c r="AU937" s="125"/>
      <c r="AV937" s="125"/>
      <c r="AW937" s="125"/>
      <c r="AX937" s="125"/>
      <c r="AY937" s="125"/>
      <c r="AZ937" s="125"/>
      <c r="BA937" s="125"/>
      <c r="BB937" s="125"/>
      <c r="BC937" s="125"/>
      <c r="BD937" s="125"/>
      <c r="BE937" s="125"/>
      <c r="BF937" s="125"/>
    </row>
    <row r="938" spans="1:58" ht="15.75" customHeight="1">
      <c r="A938" s="125"/>
      <c r="B938" s="125"/>
      <c r="C938" s="125"/>
      <c r="D938" s="125"/>
      <c r="E938" s="125"/>
      <c r="F938" s="125"/>
      <c r="G938" s="125"/>
      <c r="H938" s="125"/>
      <c r="I938" s="125"/>
      <c r="J938" s="125"/>
      <c r="K938" s="125"/>
      <c r="L938" s="125"/>
      <c r="M938" s="125"/>
      <c r="N938" s="125"/>
      <c r="O938" s="125"/>
      <c r="P938" s="125"/>
      <c r="Q938" s="125"/>
      <c r="R938" s="125"/>
      <c r="S938" s="125"/>
      <c r="T938" s="125"/>
      <c r="U938" s="125"/>
      <c r="V938" s="125"/>
      <c r="W938" s="125"/>
      <c r="X938" s="125"/>
      <c r="Y938" s="125"/>
      <c r="Z938" s="125"/>
      <c r="AA938" s="125"/>
      <c r="AB938" s="125"/>
      <c r="AC938" s="125"/>
      <c r="AD938" s="125"/>
      <c r="AE938" s="125"/>
      <c r="AF938" s="125"/>
      <c r="AG938" s="125"/>
      <c r="AH938" s="125"/>
      <c r="AI938" s="125"/>
      <c r="AJ938" s="125"/>
      <c r="AK938" s="125"/>
      <c r="AL938" s="125"/>
      <c r="AM938" s="125"/>
      <c r="AN938" s="125"/>
      <c r="AO938" s="125"/>
      <c r="AP938" s="125"/>
      <c r="AQ938" s="125"/>
      <c r="AR938" s="125"/>
      <c r="AS938" s="125"/>
      <c r="AT938" s="125"/>
      <c r="AU938" s="125"/>
      <c r="AV938" s="125"/>
      <c r="AW938" s="125"/>
      <c r="AX938" s="125"/>
      <c r="AY938" s="125"/>
      <c r="AZ938" s="125"/>
      <c r="BA938" s="125"/>
      <c r="BB938" s="125"/>
      <c r="BC938" s="125"/>
      <c r="BD938" s="125"/>
      <c r="BE938" s="125"/>
      <c r="BF938" s="125"/>
    </row>
    <row r="939" spans="1:58" ht="15.75" customHeight="1">
      <c r="A939" s="125"/>
      <c r="B939" s="125"/>
      <c r="C939" s="125"/>
      <c r="D939" s="125"/>
      <c r="E939" s="125"/>
      <c r="F939" s="125"/>
      <c r="G939" s="125"/>
      <c r="H939" s="125"/>
      <c r="I939" s="125"/>
      <c r="J939" s="125"/>
      <c r="K939" s="125"/>
      <c r="L939" s="125"/>
      <c r="M939" s="125"/>
      <c r="N939" s="125"/>
      <c r="O939" s="125"/>
      <c r="P939" s="125"/>
      <c r="Q939" s="125"/>
      <c r="R939" s="125"/>
      <c r="S939" s="125"/>
      <c r="T939" s="125"/>
      <c r="U939" s="125"/>
      <c r="V939" s="125"/>
      <c r="W939" s="125"/>
      <c r="X939" s="125"/>
      <c r="Y939" s="125"/>
      <c r="Z939" s="125"/>
      <c r="AA939" s="125"/>
      <c r="AB939" s="125"/>
      <c r="AC939" s="125"/>
      <c r="AD939" s="125"/>
      <c r="AE939" s="125"/>
      <c r="AF939" s="125"/>
      <c r="AG939" s="125"/>
      <c r="AH939" s="125"/>
      <c r="AI939" s="125"/>
      <c r="AJ939" s="125"/>
      <c r="AK939" s="125"/>
      <c r="AL939" s="125"/>
      <c r="AM939" s="125"/>
      <c r="AN939" s="125"/>
      <c r="AO939" s="125"/>
      <c r="AP939" s="125"/>
      <c r="AQ939" s="125"/>
      <c r="AR939" s="125"/>
      <c r="AS939" s="125"/>
      <c r="AT939" s="125"/>
      <c r="AU939" s="125"/>
      <c r="AV939" s="125"/>
      <c r="AW939" s="125"/>
      <c r="AX939" s="125"/>
      <c r="AY939" s="125"/>
      <c r="AZ939" s="125"/>
      <c r="BA939" s="125"/>
      <c r="BB939" s="125"/>
      <c r="BC939" s="125"/>
      <c r="BD939" s="125"/>
      <c r="BE939" s="125"/>
      <c r="BF939" s="125"/>
    </row>
    <row r="940" spans="1:58" ht="15.75" customHeight="1">
      <c r="A940" s="125"/>
      <c r="B940" s="125"/>
      <c r="C940" s="125"/>
      <c r="D940" s="125"/>
      <c r="E940" s="125"/>
      <c r="F940" s="125"/>
      <c r="G940" s="125"/>
      <c r="H940" s="125"/>
      <c r="I940" s="125"/>
      <c r="J940" s="125"/>
      <c r="K940" s="125"/>
      <c r="L940" s="125"/>
      <c r="M940" s="125"/>
      <c r="N940" s="125"/>
      <c r="O940" s="125"/>
      <c r="P940" s="125"/>
      <c r="Q940" s="125"/>
      <c r="R940" s="125"/>
      <c r="S940" s="125"/>
      <c r="T940" s="125"/>
      <c r="U940" s="125"/>
      <c r="V940" s="125"/>
      <c r="W940" s="125"/>
      <c r="X940" s="125"/>
      <c r="Y940" s="125"/>
      <c r="Z940" s="125"/>
      <c r="AA940" s="125"/>
      <c r="AB940" s="125"/>
      <c r="AC940" s="125"/>
      <c r="AD940" s="125"/>
      <c r="AE940" s="125"/>
      <c r="AF940" s="125"/>
      <c r="AG940" s="125"/>
      <c r="AH940" s="125"/>
      <c r="AI940" s="125"/>
      <c r="AJ940" s="125"/>
      <c r="AK940" s="125"/>
      <c r="AL940" s="125"/>
      <c r="AM940" s="125"/>
      <c r="AN940" s="125"/>
      <c r="AO940" s="125"/>
      <c r="AP940" s="125"/>
      <c r="AQ940" s="125"/>
      <c r="AR940" s="125"/>
      <c r="AS940" s="125"/>
      <c r="AT940" s="125"/>
      <c r="AU940" s="125"/>
      <c r="AV940" s="125"/>
      <c r="AW940" s="125"/>
      <c r="AX940" s="125"/>
      <c r="AY940" s="125"/>
      <c r="AZ940" s="125"/>
      <c r="BA940" s="125"/>
      <c r="BB940" s="125"/>
      <c r="BC940" s="125"/>
      <c r="BD940" s="125"/>
      <c r="BE940" s="125"/>
      <c r="BF940" s="125"/>
    </row>
    <row r="941" spans="1:58" ht="15.75" customHeight="1">
      <c r="A941" s="125"/>
      <c r="B941" s="125"/>
      <c r="C941" s="125"/>
      <c r="D941" s="125"/>
      <c r="E941" s="125"/>
      <c r="F941" s="125"/>
      <c r="G941" s="125"/>
      <c r="H941" s="125"/>
      <c r="I941" s="125"/>
      <c r="J941" s="125"/>
      <c r="K941" s="125"/>
      <c r="L941" s="125"/>
      <c r="M941" s="125"/>
      <c r="N941" s="125"/>
      <c r="O941" s="125"/>
      <c r="P941" s="125"/>
      <c r="Q941" s="125"/>
      <c r="R941" s="125"/>
      <c r="S941" s="125"/>
      <c r="T941" s="125"/>
      <c r="U941" s="125"/>
      <c r="V941" s="125"/>
      <c r="W941" s="125"/>
      <c r="X941" s="125"/>
      <c r="Y941" s="125"/>
      <c r="Z941" s="125"/>
      <c r="AA941" s="125"/>
      <c r="AB941" s="125"/>
      <c r="AC941" s="125"/>
      <c r="AD941" s="125"/>
      <c r="AE941" s="125"/>
      <c r="AF941" s="125"/>
      <c r="AG941" s="125"/>
      <c r="AH941" s="125"/>
      <c r="AI941" s="125"/>
      <c r="AJ941" s="125"/>
      <c r="AK941" s="125"/>
      <c r="AL941" s="125"/>
      <c r="AM941" s="125"/>
      <c r="AN941" s="125"/>
      <c r="AO941" s="125"/>
      <c r="AP941" s="125"/>
      <c r="AQ941" s="125"/>
      <c r="AR941" s="125"/>
      <c r="AS941" s="125"/>
      <c r="AT941" s="125"/>
      <c r="AU941" s="125"/>
      <c r="AV941" s="125"/>
      <c r="AW941" s="125"/>
      <c r="AX941" s="125"/>
      <c r="AY941" s="125"/>
      <c r="AZ941" s="125"/>
      <c r="BA941" s="125"/>
      <c r="BB941" s="125"/>
      <c r="BC941" s="125"/>
      <c r="BD941" s="125"/>
      <c r="BE941" s="125"/>
      <c r="BF941" s="125"/>
    </row>
    <row r="942" spans="1:58" ht="15.75" customHeight="1">
      <c r="A942" s="125"/>
      <c r="B942" s="125"/>
      <c r="C942" s="125"/>
      <c r="D942" s="125"/>
      <c r="E942" s="125"/>
      <c r="F942" s="125"/>
      <c r="G942" s="125"/>
      <c r="H942" s="125"/>
      <c r="I942" s="125"/>
      <c r="J942" s="125"/>
      <c r="K942" s="125"/>
      <c r="L942" s="125"/>
      <c r="M942" s="125"/>
      <c r="N942" s="125"/>
      <c r="O942" s="125"/>
      <c r="P942" s="125"/>
      <c r="Q942" s="125"/>
      <c r="R942" s="125"/>
      <c r="S942" s="125"/>
      <c r="T942" s="125"/>
      <c r="U942" s="125"/>
      <c r="V942" s="125"/>
      <c r="W942" s="125"/>
      <c r="X942" s="125"/>
      <c r="Y942" s="125"/>
      <c r="Z942" s="125"/>
      <c r="AA942" s="125"/>
      <c r="AB942" s="125"/>
      <c r="AC942" s="125"/>
      <c r="AD942" s="125"/>
      <c r="AE942" s="125"/>
      <c r="AF942" s="125"/>
      <c r="AG942" s="125"/>
      <c r="AH942" s="125"/>
      <c r="AI942" s="125"/>
      <c r="AJ942" s="125"/>
      <c r="AK942" s="125"/>
      <c r="AL942" s="125"/>
      <c r="AM942" s="125"/>
      <c r="AN942" s="125"/>
      <c r="AO942" s="125"/>
      <c r="AP942" s="125"/>
      <c r="AQ942" s="125"/>
      <c r="AR942" s="125"/>
      <c r="AS942" s="125"/>
      <c r="AT942" s="125"/>
      <c r="AU942" s="125"/>
      <c r="AV942" s="125"/>
      <c r="AW942" s="125"/>
      <c r="AX942" s="125"/>
      <c r="AY942" s="125"/>
      <c r="AZ942" s="125"/>
      <c r="BA942" s="125"/>
      <c r="BB942" s="125"/>
      <c r="BC942" s="125"/>
      <c r="BD942" s="125"/>
      <c r="BE942" s="125"/>
      <c r="BF942" s="125"/>
    </row>
    <row r="943" spans="1:58" ht="15.75" customHeight="1">
      <c r="A943" s="125"/>
      <c r="B943" s="125"/>
      <c r="C943" s="125"/>
      <c r="D943" s="125"/>
      <c r="E943" s="125"/>
      <c r="F943" s="125"/>
      <c r="G943" s="125"/>
      <c r="H943" s="125"/>
      <c r="I943" s="125"/>
      <c r="J943" s="125"/>
      <c r="K943" s="125"/>
      <c r="L943" s="125"/>
      <c r="M943" s="125"/>
      <c r="N943" s="125"/>
      <c r="O943" s="125"/>
      <c r="P943" s="125"/>
      <c r="Q943" s="125"/>
      <c r="R943" s="125"/>
      <c r="S943" s="125"/>
      <c r="T943" s="125"/>
      <c r="U943" s="125"/>
      <c r="V943" s="125"/>
      <c r="W943" s="125"/>
      <c r="X943" s="125"/>
      <c r="Y943" s="125"/>
      <c r="Z943" s="125"/>
      <c r="AA943" s="125"/>
      <c r="AB943" s="125"/>
      <c r="AC943" s="125"/>
      <c r="AD943" s="125"/>
      <c r="AE943" s="125"/>
      <c r="AF943" s="125"/>
      <c r="AG943" s="125"/>
      <c r="AH943" s="125"/>
      <c r="AI943" s="125"/>
      <c r="AJ943" s="125"/>
      <c r="AK943" s="125"/>
      <c r="AL943" s="125"/>
      <c r="AM943" s="125"/>
      <c r="AN943" s="125"/>
      <c r="AO943" s="125"/>
      <c r="AP943" s="125"/>
      <c r="AQ943" s="125"/>
      <c r="AR943" s="125"/>
      <c r="AS943" s="125"/>
      <c r="AT943" s="125"/>
      <c r="AU943" s="125"/>
      <c r="AV943" s="125"/>
      <c r="AW943" s="125"/>
      <c r="AX943" s="125"/>
      <c r="AY943" s="125"/>
      <c r="AZ943" s="125"/>
      <c r="BA943" s="125"/>
      <c r="BB943" s="125"/>
      <c r="BC943" s="125"/>
      <c r="BD943" s="125"/>
      <c r="BE943" s="125"/>
      <c r="BF943" s="125"/>
    </row>
    <row r="944" spans="1:58" ht="15.75" customHeight="1">
      <c r="A944" s="125"/>
      <c r="B944" s="125"/>
      <c r="C944" s="125"/>
      <c r="D944" s="125"/>
      <c r="E944" s="125"/>
      <c r="F944" s="125"/>
      <c r="G944" s="125"/>
      <c r="H944" s="125"/>
      <c r="I944" s="125"/>
      <c r="J944" s="125"/>
      <c r="K944" s="125"/>
      <c r="L944" s="125"/>
      <c r="M944" s="125"/>
      <c r="N944" s="125"/>
      <c r="O944" s="125"/>
      <c r="P944" s="125"/>
      <c r="Q944" s="125"/>
      <c r="R944" s="125"/>
      <c r="S944" s="125"/>
      <c r="T944" s="125"/>
      <c r="U944" s="125"/>
      <c r="V944" s="125"/>
      <c r="W944" s="125"/>
      <c r="X944" s="125"/>
      <c r="Y944" s="125"/>
      <c r="Z944" s="125"/>
      <c r="AA944" s="125"/>
      <c r="AB944" s="125"/>
      <c r="AC944" s="125"/>
      <c r="AD944" s="125"/>
      <c r="AE944" s="125"/>
      <c r="AF944" s="125"/>
      <c r="AG944" s="125"/>
      <c r="AH944" s="125"/>
      <c r="AI944" s="125"/>
      <c r="AJ944" s="125"/>
      <c r="AK944" s="125"/>
      <c r="AL944" s="125"/>
      <c r="AM944" s="125"/>
      <c r="AN944" s="125"/>
      <c r="AO944" s="125"/>
      <c r="AP944" s="125"/>
      <c r="AQ944" s="125"/>
      <c r="AR944" s="125"/>
      <c r="AS944" s="125"/>
      <c r="AT944" s="125"/>
      <c r="AU944" s="125"/>
      <c r="AV944" s="125"/>
      <c r="AW944" s="125"/>
      <c r="AX944" s="125"/>
      <c r="AY944" s="125"/>
      <c r="AZ944" s="125"/>
      <c r="BA944" s="125"/>
      <c r="BB944" s="125"/>
      <c r="BC944" s="125"/>
      <c r="BD944" s="125"/>
      <c r="BE944" s="125"/>
      <c r="BF944" s="125"/>
    </row>
    <row r="945" spans="1:58" ht="15.75" customHeight="1">
      <c r="A945" s="125"/>
      <c r="B945" s="125"/>
      <c r="C945" s="125"/>
      <c r="D945" s="125"/>
      <c r="E945" s="125"/>
      <c r="F945" s="125"/>
      <c r="G945" s="125"/>
      <c r="H945" s="125"/>
      <c r="I945" s="125"/>
      <c r="J945" s="125"/>
      <c r="K945" s="125"/>
      <c r="L945" s="125"/>
      <c r="M945" s="125"/>
      <c r="N945" s="125"/>
      <c r="O945" s="125"/>
      <c r="P945" s="125"/>
      <c r="Q945" s="125"/>
      <c r="R945" s="125"/>
      <c r="S945" s="125"/>
      <c r="T945" s="125"/>
      <c r="U945" s="125"/>
      <c r="V945" s="125"/>
      <c r="W945" s="125"/>
      <c r="X945" s="125"/>
      <c r="Y945" s="125"/>
      <c r="Z945" s="125"/>
      <c r="AA945" s="125"/>
      <c r="AB945" s="125"/>
      <c r="AC945" s="125"/>
      <c r="AD945" s="125"/>
      <c r="AE945" s="125"/>
      <c r="AF945" s="125"/>
      <c r="AG945" s="125"/>
      <c r="AH945" s="125"/>
      <c r="AI945" s="125"/>
      <c r="AJ945" s="125"/>
      <c r="AK945" s="125"/>
      <c r="AL945" s="125"/>
      <c r="AM945" s="125"/>
      <c r="AN945" s="125"/>
      <c r="AO945" s="125"/>
      <c r="AP945" s="125"/>
      <c r="AQ945" s="125"/>
      <c r="AR945" s="125"/>
      <c r="AS945" s="125"/>
      <c r="AT945" s="125"/>
      <c r="AU945" s="125"/>
      <c r="AV945" s="125"/>
      <c r="AW945" s="125"/>
      <c r="AX945" s="125"/>
      <c r="AY945" s="125"/>
      <c r="AZ945" s="125"/>
      <c r="BA945" s="125"/>
      <c r="BB945" s="125"/>
      <c r="BC945" s="125"/>
      <c r="BD945" s="125"/>
      <c r="BE945" s="125"/>
      <c r="BF945" s="125"/>
    </row>
    <row r="946" spans="1:58" ht="15.75" customHeight="1">
      <c r="A946" s="125"/>
      <c r="B946" s="125"/>
      <c r="C946" s="125"/>
      <c r="D946" s="125"/>
      <c r="E946" s="125"/>
      <c r="F946" s="125"/>
      <c r="G946" s="125"/>
      <c r="H946" s="125"/>
      <c r="I946" s="125"/>
      <c r="J946" s="125"/>
      <c r="K946" s="125"/>
      <c r="L946" s="125"/>
      <c r="M946" s="125"/>
      <c r="N946" s="125"/>
      <c r="O946" s="125"/>
      <c r="P946" s="125"/>
      <c r="Q946" s="125"/>
      <c r="R946" s="125"/>
      <c r="S946" s="125"/>
      <c r="T946" s="125"/>
      <c r="U946" s="125"/>
      <c r="V946" s="125"/>
      <c r="W946" s="125"/>
      <c r="X946" s="125"/>
      <c r="Y946" s="125"/>
      <c r="Z946" s="125"/>
      <c r="AA946" s="125"/>
      <c r="AB946" s="125"/>
      <c r="AC946" s="125"/>
      <c r="AD946" s="125"/>
      <c r="AE946" s="125"/>
      <c r="AF946" s="125"/>
      <c r="AG946" s="125"/>
      <c r="AH946" s="125"/>
      <c r="AI946" s="125"/>
      <c r="AJ946" s="125"/>
      <c r="AK946" s="125"/>
      <c r="AL946" s="125"/>
      <c r="AM946" s="125"/>
      <c r="AN946" s="125"/>
      <c r="AO946" s="125"/>
      <c r="AP946" s="125"/>
      <c r="AQ946" s="125"/>
      <c r="AR946" s="125"/>
      <c r="AS946" s="125"/>
      <c r="AT946" s="125"/>
      <c r="AU946" s="125"/>
      <c r="AV946" s="125"/>
      <c r="AW946" s="125"/>
      <c r="AX946" s="125"/>
      <c r="AY946" s="125"/>
      <c r="AZ946" s="125"/>
      <c r="BA946" s="125"/>
      <c r="BB946" s="125"/>
      <c r="BC946" s="125"/>
      <c r="BD946" s="125"/>
      <c r="BE946" s="125"/>
      <c r="BF946" s="125"/>
    </row>
    <row r="947" spans="1:58" ht="15.75" customHeight="1">
      <c r="A947" s="125"/>
      <c r="B947" s="125"/>
      <c r="C947" s="125"/>
      <c r="D947" s="125"/>
      <c r="E947" s="125"/>
      <c r="F947" s="125"/>
      <c r="G947" s="125"/>
      <c r="H947" s="125"/>
      <c r="I947" s="125"/>
      <c r="J947" s="125"/>
      <c r="K947" s="125"/>
      <c r="L947" s="125"/>
      <c r="M947" s="125"/>
      <c r="N947" s="125"/>
      <c r="O947" s="125"/>
      <c r="P947" s="125"/>
      <c r="Q947" s="125"/>
      <c r="R947" s="125"/>
      <c r="S947" s="125"/>
      <c r="T947" s="125"/>
      <c r="U947" s="125"/>
      <c r="V947" s="125"/>
      <c r="W947" s="125"/>
      <c r="X947" s="125"/>
      <c r="Y947" s="125"/>
      <c r="Z947" s="125"/>
      <c r="AA947" s="125"/>
      <c r="AB947" s="125"/>
      <c r="AC947" s="125"/>
      <c r="AD947" s="125"/>
      <c r="AE947" s="125"/>
      <c r="AF947" s="125"/>
      <c r="AG947" s="125"/>
      <c r="AH947" s="125"/>
      <c r="AI947" s="125"/>
      <c r="AJ947" s="125"/>
      <c r="AK947" s="125"/>
      <c r="AL947" s="125"/>
      <c r="AM947" s="125"/>
      <c r="AN947" s="125"/>
      <c r="AO947" s="125"/>
      <c r="AP947" s="125"/>
      <c r="AQ947" s="125"/>
      <c r="AR947" s="125"/>
      <c r="AS947" s="125"/>
      <c r="AT947" s="125"/>
      <c r="AU947" s="125"/>
      <c r="AV947" s="125"/>
      <c r="AW947" s="125"/>
      <c r="AX947" s="125"/>
      <c r="AY947" s="125"/>
      <c r="AZ947" s="125"/>
      <c r="BA947" s="125"/>
      <c r="BB947" s="125"/>
      <c r="BC947" s="125"/>
      <c r="BD947" s="125"/>
      <c r="BE947" s="125"/>
      <c r="BF947" s="125"/>
    </row>
    <row r="948" spans="1:58" ht="15.75" customHeight="1">
      <c r="A948" s="125"/>
      <c r="B948" s="125"/>
      <c r="C948" s="125"/>
      <c r="D948" s="125"/>
      <c r="E948" s="125"/>
      <c r="F948" s="125"/>
      <c r="G948" s="125"/>
      <c r="H948" s="125"/>
      <c r="I948" s="125"/>
      <c r="J948" s="125"/>
      <c r="K948" s="125"/>
      <c r="L948" s="125"/>
      <c r="M948" s="125"/>
      <c r="N948" s="125"/>
      <c r="O948" s="125"/>
      <c r="P948" s="125"/>
      <c r="Q948" s="125"/>
      <c r="R948" s="125"/>
      <c r="S948" s="125"/>
      <c r="T948" s="125"/>
      <c r="U948" s="125"/>
      <c r="V948" s="125"/>
      <c r="W948" s="125"/>
      <c r="X948" s="125"/>
      <c r="Y948" s="125"/>
      <c r="Z948" s="125"/>
      <c r="AA948" s="125"/>
      <c r="AB948" s="125"/>
      <c r="AC948" s="125"/>
      <c r="AD948" s="125"/>
      <c r="AE948" s="125"/>
      <c r="AF948" s="125"/>
      <c r="AG948" s="125"/>
      <c r="AH948" s="125"/>
      <c r="AI948" s="125"/>
      <c r="AJ948" s="125"/>
      <c r="AK948" s="125"/>
      <c r="AL948" s="125"/>
      <c r="AM948" s="125"/>
      <c r="AN948" s="125"/>
      <c r="AO948" s="125"/>
      <c r="AP948" s="125"/>
      <c r="AQ948" s="125"/>
      <c r="AR948" s="125"/>
      <c r="AS948" s="125"/>
      <c r="AT948" s="125"/>
      <c r="AU948" s="125"/>
      <c r="AV948" s="125"/>
      <c r="AW948" s="125"/>
      <c r="AX948" s="125"/>
      <c r="AY948" s="125"/>
      <c r="AZ948" s="125"/>
      <c r="BA948" s="125"/>
      <c r="BB948" s="125"/>
      <c r="BC948" s="125"/>
      <c r="BD948" s="125"/>
      <c r="BE948" s="125"/>
      <c r="BF948" s="125"/>
    </row>
    <row r="949" spans="1:58" ht="15.75" customHeight="1">
      <c r="A949" s="125"/>
      <c r="B949" s="125"/>
      <c r="C949" s="125"/>
      <c r="D949" s="125"/>
      <c r="E949" s="125"/>
      <c r="F949" s="125"/>
      <c r="G949" s="125"/>
      <c r="H949" s="125"/>
      <c r="I949" s="125"/>
      <c r="J949" s="125"/>
      <c r="K949" s="125"/>
      <c r="L949" s="125"/>
      <c r="M949" s="125"/>
      <c r="N949" s="125"/>
      <c r="O949" s="125"/>
      <c r="P949" s="125"/>
      <c r="Q949" s="125"/>
      <c r="R949" s="125"/>
      <c r="S949" s="125"/>
      <c r="T949" s="125"/>
      <c r="U949" s="125"/>
      <c r="V949" s="125"/>
      <c r="W949" s="125"/>
      <c r="X949" s="125"/>
      <c r="Y949" s="125"/>
      <c r="Z949" s="125"/>
      <c r="AA949" s="125"/>
      <c r="AB949" s="125"/>
      <c r="AC949" s="125"/>
      <c r="AD949" s="125"/>
      <c r="AE949" s="125"/>
      <c r="AF949" s="125"/>
      <c r="AG949" s="125"/>
      <c r="AH949" s="125"/>
      <c r="AI949" s="125"/>
      <c r="AJ949" s="125"/>
      <c r="AK949" s="125"/>
      <c r="AL949" s="125"/>
      <c r="AM949" s="125"/>
      <c r="AN949" s="125"/>
      <c r="AO949" s="125"/>
      <c r="AP949" s="125"/>
      <c r="AQ949" s="125"/>
      <c r="AR949" s="125"/>
      <c r="AS949" s="125"/>
      <c r="AT949" s="125"/>
      <c r="AU949" s="125"/>
      <c r="AV949" s="125"/>
      <c r="AW949" s="125"/>
      <c r="AX949" s="125"/>
      <c r="AY949" s="125"/>
      <c r="AZ949" s="125"/>
      <c r="BA949" s="125"/>
      <c r="BB949" s="125"/>
      <c r="BC949" s="125"/>
      <c r="BD949" s="125"/>
      <c r="BE949" s="125"/>
      <c r="BF949" s="125"/>
    </row>
    <row r="950" spans="1:58" ht="15.75" customHeight="1">
      <c r="A950" s="125"/>
      <c r="B950" s="125"/>
      <c r="C950" s="125"/>
      <c r="D950" s="125"/>
      <c r="E950" s="125"/>
      <c r="F950" s="125"/>
      <c r="G950" s="125"/>
      <c r="H950" s="125"/>
      <c r="I950" s="125"/>
      <c r="J950" s="125"/>
      <c r="K950" s="125"/>
      <c r="L950" s="125"/>
      <c r="M950" s="125"/>
      <c r="N950" s="125"/>
      <c r="O950" s="125"/>
      <c r="P950" s="125"/>
      <c r="Q950" s="125"/>
      <c r="R950" s="125"/>
      <c r="S950" s="125"/>
      <c r="T950" s="125"/>
      <c r="U950" s="125"/>
      <c r="V950" s="125"/>
      <c r="W950" s="125"/>
      <c r="X950" s="125"/>
      <c r="Y950" s="125"/>
      <c r="Z950" s="125"/>
      <c r="AA950" s="125"/>
      <c r="AB950" s="125"/>
      <c r="AC950" s="125"/>
      <c r="AD950" s="125"/>
      <c r="AE950" s="125"/>
      <c r="AF950" s="125"/>
      <c r="AG950" s="125"/>
      <c r="AH950" s="125"/>
      <c r="AI950" s="125"/>
      <c r="AJ950" s="125"/>
      <c r="AK950" s="125"/>
      <c r="AL950" s="125"/>
      <c r="AM950" s="125"/>
      <c r="AN950" s="125"/>
      <c r="AO950" s="125"/>
      <c r="AP950" s="125"/>
      <c r="AQ950" s="125"/>
      <c r="AR950" s="125"/>
      <c r="AS950" s="125"/>
      <c r="AT950" s="125"/>
      <c r="AU950" s="125"/>
      <c r="AV950" s="125"/>
      <c r="AW950" s="125"/>
      <c r="AX950" s="125"/>
      <c r="AY950" s="125"/>
      <c r="AZ950" s="125"/>
      <c r="BA950" s="125"/>
      <c r="BB950" s="125"/>
      <c r="BC950" s="125"/>
      <c r="BD950" s="125"/>
      <c r="BE950" s="125"/>
      <c r="BF950" s="125"/>
    </row>
    <row r="951" spans="1:58" ht="15.75" customHeight="1">
      <c r="A951" s="125"/>
      <c r="B951" s="125"/>
      <c r="C951" s="125"/>
      <c r="D951" s="125"/>
      <c r="E951" s="125"/>
      <c r="F951" s="125"/>
      <c r="G951" s="125"/>
      <c r="H951" s="125"/>
      <c r="I951" s="125"/>
      <c r="J951" s="125"/>
      <c r="K951" s="125"/>
      <c r="L951" s="125"/>
      <c r="M951" s="125"/>
      <c r="N951" s="125"/>
      <c r="O951" s="125"/>
      <c r="P951" s="125"/>
      <c r="Q951" s="125"/>
      <c r="R951" s="125"/>
      <c r="S951" s="125"/>
      <c r="T951" s="125"/>
      <c r="U951" s="125"/>
      <c r="V951" s="125"/>
      <c r="W951" s="125"/>
      <c r="X951" s="125"/>
      <c r="Y951" s="125"/>
      <c r="Z951" s="125"/>
      <c r="AA951" s="125"/>
      <c r="AB951" s="125"/>
      <c r="AC951" s="125"/>
      <c r="AD951" s="125"/>
      <c r="AE951" s="125"/>
      <c r="AF951" s="125"/>
      <c r="AG951" s="125"/>
      <c r="AH951" s="125"/>
      <c r="AI951" s="125"/>
      <c r="AJ951" s="125"/>
      <c r="AK951" s="125"/>
      <c r="AL951" s="125"/>
      <c r="AM951" s="125"/>
      <c r="AN951" s="125"/>
      <c r="AO951" s="125"/>
      <c r="AP951" s="125"/>
      <c r="AQ951" s="125"/>
      <c r="AR951" s="125"/>
      <c r="AS951" s="125"/>
      <c r="AT951" s="125"/>
      <c r="AU951" s="125"/>
      <c r="AV951" s="125"/>
      <c r="AW951" s="125"/>
      <c r="AX951" s="125"/>
      <c r="AY951" s="125"/>
      <c r="AZ951" s="125"/>
      <c r="BA951" s="125"/>
      <c r="BB951" s="125"/>
      <c r="BC951" s="125"/>
      <c r="BD951" s="125"/>
      <c r="BE951" s="125"/>
      <c r="BF951" s="125"/>
    </row>
    <row r="952" spans="1:58" ht="15.75" customHeight="1">
      <c r="A952" s="125"/>
      <c r="B952" s="125"/>
      <c r="C952" s="125"/>
      <c r="D952" s="125"/>
      <c r="E952" s="125"/>
      <c r="F952" s="125"/>
      <c r="G952" s="125"/>
      <c r="H952" s="125"/>
      <c r="I952" s="125"/>
      <c r="J952" s="125"/>
      <c r="K952" s="125"/>
      <c r="L952" s="125"/>
      <c r="M952" s="125"/>
      <c r="N952" s="125"/>
      <c r="O952" s="125"/>
      <c r="P952" s="125"/>
      <c r="Q952" s="125"/>
      <c r="R952" s="125"/>
      <c r="S952" s="125"/>
      <c r="T952" s="125"/>
      <c r="U952" s="125"/>
      <c r="V952" s="125"/>
      <c r="W952" s="125"/>
      <c r="X952" s="125"/>
      <c r="Y952" s="125"/>
      <c r="Z952" s="125"/>
      <c r="AA952" s="125"/>
      <c r="AB952" s="125"/>
      <c r="AC952" s="125"/>
      <c r="AD952" s="125"/>
      <c r="AE952" s="125"/>
      <c r="AF952" s="125"/>
      <c r="AG952" s="125"/>
      <c r="AH952" s="125"/>
      <c r="AI952" s="125"/>
      <c r="AJ952" s="125"/>
      <c r="AK952" s="125"/>
      <c r="AL952" s="125"/>
      <c r="AM952" s="125"/>
      <c r="AN952" s="125"/>
      <c r="AO952" s="125"/>
      <c r="AP952" s="125"/>
      <c r="AQ952" s="125"/>
      <c r="AR952" s="125"/>
      <c r="AS952" s="125"/>
      <c r="AT952" s="125"/>
      <c r="AU952" s="125"/>
      <c r="AV952" s="125"/>
      <c r="AW952" s="125"/>
      <c r="AX952" s="125"/>
      <c r="AY952" s="125"/>
      <c r="AZ952" s="125"/>
      <c r="BA952" s="125"/>
      <c r="BB952" s="125"/>
      <c r="BC952" s="125"/>
      <c r="BD952" s="125"/>
      <c r="BE952" s="125"/>
      <c r="BF952" s="125"/>
    </row>
    <row r="953" spans="1:58" ht="15.75" customHeight="1">
      <c r="A953" s="125"/>
      <c r="B953" s="125"/>
      <c r="C953" s="125"/>
      <c r="D953" s="125"/>
      <c r="E953" s="125"/>
      <c r="F953" s="125"/>
      <c r="G953" s="125"/>
      <c r="H953" s="125"/>
      <c r="I953" s="125"/>
      <c r="J953" s="125"/>
      <c r="K953" s="125"/>
      <c r="L953" s="125"/>
      <c r="M953" s="125"/>
      <c r="N953" s="125"/>
      <c r="O953" s="125"/>
      <c r="P953" s="125"/>
      <c r="Q953" s="125"/>
      <c r="R953" s="125"/>
      <c r="S953" s="125"/>
      <c r="T953" s="125"/>
      <c r="U953" s="125"/>
      <c r="V953" s="125"/>
      <c r="W953" s="125"/>
      <c r="X953" s="125"/>
      <c r="Y953" s="125"/>
      <c r="Z953" s="125"/>
      <c r="AA953" s="125"/>
      <c r="AB953" s="125"/>
      <c r="AC953" s="125"/>
      <c r="AD953" s="125"/>
      <c r="AE953" s="125"/>
      <c r="AF953" s="125"/>
      <c r="AG953" s="125"/>
      <c r="AH953" s="125"/>
      <c r="AI953" s="125"/>
      <c r="AJ953" s="125"/>
      <c r="AK953" s="125"/>
      <c r="AL953" s="125"/>
      <c r="AM953" s="125"/>
      <c r="AN953" s="125"/>
      <c r="AO953" s="125"/>
      <c r="AP953" s="125"/>
      <c r="AQ953" s="125"/>
      <c r="AR953" s="125"/>
      <c r="AS953" s="125"/>
      <c r="AT953" s="125"/>
      <c r="AU953" s="125"/>
      <c r="AV953" s="125"/>
      <c r="AW953" s="125"/>
      <c r="AX953" s="125"/>
      <c r="AY953" s="125"/>
      <c r="AZ953" s="125"/>
      <c r="BA953" s="125"/>
      <c r="BB953" s="125"/>
      <c r="BC953" s="125"/>
      <c r="BD953" s="125"/>
      <c r="BE953" s="125"/>
      <c r="BF953" s="125"/>
    </row>
    <row r="954" spans="1:58" ht="15.75" customHeight="1">
      <c r="A954" s="125"/>
      <c r="B954" s="125"/>
      <c r="C954" s="125"/>
      <c r="D954" s="125"/>
      <c r="E954" s="125"/>
      <c r="F954" s="125"/>
      <c r="G954" s="125"/>
      <c r="H954" s="125"/>
      <c r="I954" s="125"/>
      <c r="J954" s="125"/>
      <c r="K954" s="125"/>
      <c r="L954" s="125"/>
      <c r="M954" s="125"/>
      <c r="N954" s="125"/>
      <c r="O954" s="125"/>
      <c r="P954" s="125"/>
      <c r="Q954" s="125"/>
      <c r="R954" s="125"/>
      <c r="S954" s="125"/>
      <c r="T954" s="125"/>
      <c r="U954" s="125"/>
      <c r="V954" s="125"/>
      <c r="W954" s="125"/>
      <c r="X954" s="125"/>
      <c r="Y954" s="125"/>
      <c r="Z954" s="125"/>
      <c r="AA954" s="125"/>
      <c r="AB954" s="125"/>
      <c r="AC954" s="125"/>
      <c r="AD954" s="125"/>
      <c r="AE954" s="125"/>
      <c r="AF954" s="125"/>
      <c r="AG954" s="125"/>
      <c r="AH954" s="125"/>
      <c r="AI954" s="125"/>
      <c r="AJ954" s="125"/>
      <c r="AK954" s="125"/>
      <c r="AL954" s="125"/>
      <c r="AM954" s="125"/>
      <c r="AN954" s="125"/>
      <c r="AO954" s="125"/>
      <c r="AP954" s="125"/>
      <c r="AQ954" s="125"/>
      <c r="AR954" s="125"/>
      <c r="AS954" s="125"/>
      <c r="AT954" s="125"/>
      <c r="AU954" s="125"/>
      <c r="AV954" s="125"/>
      <c r="AW954" s="125"/>
      <c r="AX954" s="125"/>
      <c r="AY954" s="125"/>
      <c r="AZ954" s="125"/>
      <c r="BA954" s="125"/>
      <c r="BB954" s="125"/>
      <c r="BC954" s="125"/>
      <c r="BD954" s="125"/>
      <c r="BE954" s="125"/>
      <c r="BF954" s="125"/>
    </row>
    <row r="955" spans="1:58" ht="15.75" customHeight="1">
      <c r="A955" s="125"/>
      <c r="B955" s="125"/>
      <c r="C955" s="125"/>
      <c r="D955" s="125"/>
      <c r="E955" s="125"/>
      <c r="F955" s="125"/>
      <c r="G955" s="125"/>
      <c r="H955" s="125"/>
      <c r="I955" s="125"/>
      <c r="J955" s="125"/>
      <c r="K955" s="125"/>
      <c r="L955" s="125"/>
      <c r="M955" s="125"/>
      <c r="N955" s="125"/>
      <c r="O955" s="125"/>
      <c r="P955" s="125"/>
      <c r="Q955" s="125"/>
      <c r="R955" s="125"/>
      <c r="S955" s="125"/>
      <c r="T955" s="125"/>
      <c r="U955" s="125"/>
      <c r="V955" s="125"/>
      <c r="W955" s="125"/>
      <c r="X955" s="125"/>
      <c r="Y955" s="125"/>
      <c r="Z955" s="125"/>
      <c r="AA955" s="125"/>
      <c r="AB955" s="125"/>
      <c r="AC955" s="125"/>
      <c r="AD955" s="125"/>
      <c r="AE955" s="125"/>
      <c r="AF955" s="125"/>
      <c r="AG955" s="125"/>
      <c r="AH955" s="125"/>
      <c r="AI955" s="125"/>
      <c r="AJ955" s="125"/>
      <c r="AK955" s="125"/>
      <c r="AL955" s="125"/>
      <c r="AM955" s="125"/>
      <c r="AN955" s="125"/>
      <c r="AO955" s="125"/>
      <c r="AP955" s="125"/>
      <c r="AQ955" s="125"/>
      <c r="AR955" s="125"/>
      <c r="AS955" s="125"/>
      <c r="AT955" s="125"/>
      <c r="AU955" s="125"/>
      <c r="AV955" s="125"/>
      <c r="AW955" s="125"/>
      <c r="AX955" s="125"/>
      <c r="AY955" s="125"/>
      <c r="AZ955" s="125"/>
      <c r="BA955" s="125"/>
      <c r="BB955" s="125"/>
      <c r="BC955" s="125"/>
      <c r="BD955" s="125"/>
      <c r="BE955" s="125"/>
      <c r="BF955" s="125"/>
    </row>
    <row r="956" spans="1:58" ht="15.75" customHeight="1">
      <c r="A956" s="125"/>
      <c r="B956" s="125"/>
      <c r="C956" s="125"/>
      <c r="D956" s="125"/>
      <c r="E956" s="125"/>
      <c r="F956" s="125"/>
      <c r="G956" s="125"/>
      <c r="H956" s="125"/>
      <c r="I956" s="125"/>
      <c r="J956" s="125"/>
      <c r="K956" s="125"/>
      <c r="L956" s="125"/>
      <c r="M956" s="125"/>
      <c r="N956" s="125"/>
      <c r="O956" s="125"/>
      <c r="P956" s="125"/>
      <c r="Q956" s="125"/>
      <c r="R956" s="125"/>
      <c r="S956" s="125"/>
      <c r="T956" s="125"/>
      <c r="U956" s="125"/>
      <c r="V956" s="125"/>
      <c r="W956" s="125"/>
      <c r="X956" s="125"/>
      <c r="Y956" s="125"/>
      <c r="Z956" s="125"/>
      <c r="AA956" s="125"/>
      <c r="AB956" s="125"/>
      <c r="AC956" s="125"/>
      <c r="AD956" s="125"/>
      <c r="AE956" s="125"/>
      <c r="AF956" s="125"/>
      <c r="AG956" s="125"/>
      <c r="AH956" s="125"/>
      <c r="AI956" s="125"/>
      <c r="AJ956" s="125"/>
      <c r="AK956" s="125"/>
      <c r="AL956" s="125"/>
      <c r="AM956" s="125"/>
      <c r="AN956" s="125"/>
      <c r="AO956" s="125"/>
      <c r="AP956" s="125"/>
      <c r="AQ956" s="125"/>
      <c r="AR956" s="125"/>
      <c r="AS956" s="125"/>
      <c r="AT956" s="125"/>
      <c r="AU956" s="125"/>
      <c r="AV956" s="125"/>
      <c r="AW956" s="125"/>
      <c r="AX956" s="125"/>
      <c r="AY956" s="125"/>
      <c r="AZ956" s="125"/>
      <c r="BA956" s="125"/>
      <c r="BB956" s="125"/>
      <c r="BC956" s="125"/>
      <c r="BD956" s="125"/>
      <c r="BE956" s="125"/>
      <c r="BF956" s="125"/>
    </row>
    <row r="957" spans="1:58" ht="15.75" customHeight="1">
      <c r="A957" s="125"/>
      <c r="B957" s="125"/>
      <c r="C957" s="125"/>
      <c r="D957" s="125"/>
      <c r="E957" s="125"/>
      <c r="F957" s="125"/>
      <c r="G957" s="125"/>
      <c r="H957" s="125"/>
      <c r="I957" s="125"/>
      <c r="J957" s="125"/>
      <c r="K957" s="125"/>
      <c r="L957" s="125"/>
      <c r="M957" s="125"/>
      <c r="N957" s="125"/>
      <c r="O957" s="125"/>
      <c r="P957" s="125"/>
      <c r="Q957" s="125"/>
      <c r="R957" s="125"/>
      <c r="S957" s="125"/>
      <c r="T957" s="125"/>
      <c r="U957" s="125"/>
      <c r="V957" s="125"/>
      <c r="W957" s="125"/>
      <c r="X957" s="125"/>
      <c r="Y957" s="125"/>
      <c r="Z957" s="125"/>
      <c r="AA957" s="125"/>
      <c r="AB957" s="125"/>
      <c r="AC957" s="125"/>
      <c r="AD957" s="125"/>
      <c r="AE957" s="125"/>
      <c r="AF957" s="125"/>
      <c r="AG957" s="125"/>
      <c r="AH957" s="125"/>
      <c r="AI957" s="125"/>
      <c r="AJ957" s="125"/>
      <c r="AK957" s="125"/>
      <c r="AL957" s="125"/>
      <c r="AM957" s="125"/>
      <c r="AN957" s="125"/>
      <c r="AO957" s="125"/>
      <c r="AP957" s="125"/>
      <c r="AQ957" s="125"/>
      <c r="AR957" s="125"/>
      <c r="AS957" s="125"/>
      <c r="AT957" s="125"/>
      <c r="AU957" s="125"/>
      <c r="AV957" s="125"/>
      <c r="AW957" s="125"/>
      <c r="AX957" s="125"/>
      <c r="AY957" s="125"/>
      <c r="AZ957" s="125"/>
      <c r="BA957" s="125"/>
      <c r="BB957" s="125"/>
      <c r="BC957" s="125"/>
      <c r="BD957" s="125"/>
      <c r="BE957" s="125"/>
      <c r="BF957" s="125"/>
    </row>
    <row r="958" spans="1:58" ht="15.75" customHeight="1">
      <c r="A958" s="125"/>
      <c r="B958" s="125"/>
      <c r="C958" s="125"/>
      <c r="D958" s="125"/>
      <c r="E958" s="125"/>
      <c r="F958" s="125"/>
      <c r="G958" s="125"/>
      <c r="H958" s="125"/>
      <c r="I958" s="125"/>
      <c r="J958" s="125"/>
      <c r="K958" s="125"/>
      <c r="L958" s="125"/>
      <c r="M958" s="125"/>
      <c r="N958" s="125"/>
      <c r="O958" s="125"/>
      <c r="P958" s="125"/>
      <c r="Q958" s="125"/>
      <c r="R958" s="125"/>
      <c r="S958" s="125"/>
      <c r="T958" s="125"/>
      <c r="U958" s="125"/>
      <c r="V958" s="125"/>
      <c r="W958" s="125"/>
      <c r="X958" s="125"/>
      <c r="Y958" s="125"/>
      <c r="Z958" s="125"/>
      <c r="AA958" s="125"/>
      <c r="AB958" s="125"/>
      <c r="AC958" s="125"/>
      <c r="AD958" s="125"/>
      <c r="AE958" s="125"/>
      <c r="AF958" s="125"/>
      <c r="AG958" s="125"/>
      <c r="AH958" s="125"/>
      <c r="AI958" s="125"/>
      <c r="AJ958" s="125"/>
      <c r="AK958" s="125"/>
      <c r="AL958" s="125"/>
      <c r="AM958" s="125"/>
      <c r="AN958" s="125"/>
      <c r="AO958" s="125"/>
      <c r="AP958" s="125"/>
      <c r="AQ958" s="125"/>
      <c r="AR958" s="125"/>
      <c r="AS958" s="125"/>
      <c r="AT958" s="125"/>
      <c r="AU958" s="125"/>
      <c r="AV958" s="125"/>
      <c r="AW958" s="125"/>
      <c r="AX958" s="125"/>
      <c r="AY958" s="125"/>
      <c r="AZ958" s="125"/>
      <c r="BA958" s="125"/>
      <c r="BB958" s="125"/>
      <c r="BC958" s="125"/>
      <c r="BD958" s="125"/>
      <c r="BE958" s="125"/>
      <c r="BF958" s="125"/>
    </row>
    <row r="959" spans="1:58" ht="15.75" customHeight="1">
      <c r="A959" s="125"/>
      <c r="B959" s="125"/>
      <c r="C959" s="125"/>
      <c r="D959" s="125"/>
      <c r="E959" s="125"/>
      <c r="F959" s="125"/>
      <c r="G959" s="125"/>
      <c r="H959" s="125"/>
      <c r="I959" s="125"/>
      <c r="J959" s="125"/>
      <c r="K959" s="125"/>
      <c r="L959" s="125"/>
      <c r="M959" s="125"/>
      <c r="N959" s="125"/>
      <c r="O959" s="125"/>
      <c r="P959" s="125"/>
      <c r="Q959" s="125"/>
      <c r="R959" s="125"/>
      <c r="S959" s="125"/>
      <c r="T959" s="125"/>
      <c r="U959" s="125"/>
      <c r="V959" s="125"/>
      <c r="W959" s="125"/>
      <c r="X959" s="125"/>
      <c r="Y959" s="125"/>
      <c r="Z959" s="125"/>
      <c r="AA959" s="125"/>
      <c r="AB959" s="125"/>
      <c r="AC959" s="125"/>
      <c r="AD959" s="125"/>
      <c r="AE959" s="125"/>
      <c r="AF959" s="125"/>
      <c r="AG959" s="125"/>
      <c r="AH959" s="125"/>
      <c r="AI959" s="125"/>
      <c r="AJ959" s="125"/>
      <c r="AK959" s="125"/>
      <c r="AL959" s="125"/>
      <c r="AM959" s="125"/>
      <c r="AN959" s="125"/>
      <c r="AO959" s="125"/>
      <c r="AP959" s="125"/>
      <c r="AQ959" s="125"/>
      <c r="AR959" s="125"/>
      <c r="AS959" s="125"/>
      <c r="AT959" s="125"/>
      <c r="AU959" s="125"/>
      <c r="AV959" s="125"/>
      <c r="AW959" s="125"/>
      <c r="AX959" s="125"/>
      <c r="AY959" s="125"/>
      <c r="AZ959" s="125"/>
      <c r="BA959" s="125"/>
      <c r="BB959" s="125"/>
      <c r="BC959" s="125"/>
      <c r="BD959" s="125"/>
      <c r="BE959" s="125"/>
      <c r="BF959" s="125"/>
    </row>
    <row r="960" spans="1:58" ht="15.75" customHeight="1">
      <c r="A960" s="125"/>
      <c r="B960" s="125"/>
      <c r="C960" s="125"/>
      <c r="D960" s="125"/>
      <c r="E960" s="125"/>
      <c r="F960" s="125"/>
      <c r="G960" s="125"/>
      <c r="H960" s="125"/>
      <c r="I960" s="125"/>
      <c r="J960" s="125"/>
      <c r="K960" s="125"/>
      <c r="L960" s="125"/>
      <c r="M960" s="125"/>
      <c r="N960" s="125"/>
      <c r="O960" s="125"/>
      <c r="P960" s="125"/>
      <c r="Q960" s="125"/>
      <c r="R960" s="125"/>
      <c r="S960" s="125"/>
      <c r="T960" s="125"/>
      <c r="U960" s="125"/>
      <c r="V960" s="125"/>
      <c r="W960" s="125"/>
      <c r="X960" s="125"/>
      <c r="Y960" s="125"/>
      <c r="Z960" s="125"/>
      <c r="AA960" s="125"/>
      <c r="AB960" s="125"/>
      <c r="AC960" s="125"/>
      <c r="AD960" s="125"/>
      <c r="AE960" s="125"/>
      <c r="AF960" s="125"/>
      <c r="AG960" s="125"/>
      <c r="AH960" s="125"/>
      <c r="AI960" s="125"/>
      <c r="AJ960" s="125"/>
      <c r="AK960" s="125"/>
      <c r="AL960" s="125"/>
      <c r="AM960" s="125"/>
      <c r="AN960" s="125"/>
      <c r="AO960" s="125"/>
      <c r="AP960" s="125"/>
      <c r="AQ960" s="125"/>
      <c r="AR960" s="125"/>
      <c r="AS960" s="125"/>
      <c r="AT960" s="125"/>
      <c r="AU960" s="125"/>
      <c r="AV960" s="125"/>
      <c r="AW960" s="125"/>
      <c r="AX960" s="125"/>
      <c r="AY960" s="125"/>
      <c r="AZ960" s="125"/>
      <c r="BA960" s="125"/>
      <c r="BB960" s="125"/>
      <c r="BC960" s="125"/>
      <c r="BD960" s="125"/>
      <c r="BE960" s="125"/>
      <c r="BF960" s="125"/>
    </row>
    <row r="961" spans="1:58" ht="15.75" customHeight="1">
      <c r="A961" s="125"/>
      <c r="B961" s="125"/>
      <c r="C961" s="125"/>
      <c r="D961" s="125"/>
      <c r="E961" s="125"/>
      <c r="F961" s="125"/>
      <c r="G961" s="125"/>
      <c r="H961" s="125"/>
      <c r="I961" s="125"/>
      <c r="J961" s="125"/>
      <c r="K961" s="125"/>
      <c r="L961" s="125"/>
      <c r="M961" s="125"/>
      <c r="N961" s="125"/>
      <c r="O961" s="125"/>
      <c r="P961" s="125"/>
      <c r="Q961" s="125"/>
      <c r="R961" s="125"/>
      <c r="S961" s="125"/>
      <c r="T961" s="125"/>
      <c r="U961" s="125"/>
      <c r="V961" s="125"/>
      <c r="W961" s="125"/>
      <c r="X961" s="125"/>
      <c r="Y961" s="125"/>
      <c r="Z961" s="125"/>
      <c r="AA961" s="125"/>
      <c r="AB961" s="125"/>
      <c r="AC961" s="125"/>
      <c r="AD961" s="125"/>
      <c r="AE961" s="125"/>
      <c r="AF961" s="125"/>
      <c r="AG961" s="125"/>
      <c r="AH961" s="125"/>
      <c r="AI961" s="125"/>
      <c r="AJ961" s="125"/>
      <c r="AK961" s="125"/>
      <c r="AL961" s="125"/>
      <c r="AM961" s="125"/>
      <c r="AN961" s="125"/>
      <c r="AO961" s="125"/>
      <c r="AP961" s="125"/>
      <c r="AQ961" s="125"/>
      <c r="AR961" s="125"/>
      <c r="AS961" s="125"/>
      <c r="AT961" s="125"/>
      <c r="AU961" s="125"/>
      <c r="AV961" s="125"/>
      <c r="AW961" s="125"/>
      <c r="AX961" s="125"/>
      <c r="AY961" s="125"/>
      <c r="AZ961" s="125"/>
      <c r="BA961" s="125"/>
      <c r="BB961" s="125"/>
      <c r="BC961" s="125"/>
      <c r="BD961" s="125"/>
      <c r="BE961" s="125"/>
      <c r="BF961" s="125"/>
    </row>
    <row r="962" spans="1:58" ht="15.75" customHeight="1">
      <c r="A962" s="125"/>
      <c r="B962" s="125"/>
      <c r="C962" s="125"/>
      <c r="D962" s="125"/>
      <c r="E962" s="125"/>
      <c r="F962" s="125"/>
      <c r="G962" s="125"/>
      <c r="H962" s="125"/>
      <c r="I962" s="125"/>
      <c r="J962" s="125"/>
      <c r="K962" s="125"/>
      <c r="L962" s="125"/>
      <c r="M962" s="125"/>
      <c r="N962" s="125"/>
      <c r="O962" s="125"/>
      <c r="P962" s="125"/>
      <c r="Q962" s="125"/>
      <c r="R962" s="125"/>
      <c r="S962" s="125"/>
      <c r="T962" s="125"/>
      <c r="U962" s="125"/>
      <c r="V962" s="125"/>
      <c r="W962" s="125"/>
      <c r="X962" s="125"/>
      <c r="Y962" s="125"/>
      <c r="Z962" s="125"/>
      <c r="AA962" s="125"/>
      <c r="AB962" s="125"/>
      <c r="AC962" s="125"/>
      <c r="AD962" s="125"/>
      <c r="AE962" s="125"/>
      <c r="AF962" s="125"/>
      <c r="AG962" s="125"/>
      <c r="AH962" s="125"/>
      <c r="AI962" s="125"/>
      <c r="AJ962" s="125"/>
      <c r="AK962" s="125"/>
      <c r="AL962" s="125"/>
      <c r="AM962" s="125"/>
      <c r="AN962" s="125"/>
      <c r="AO962" s="125"/>
      <c r="AP962" s="125"/>
      <c r="AQ962" s="125"/>
      <c r="AR962" s="125"/>
      <c r="AS962" s="125"/>
      <c r="AT962" s="125"/>
      <c r="AU962" s="125"/>
      <c r="AV962" s="125"/>
      <c r="AW962" s="125"/>
      <c r="AX962" s="125"/>
      <c r="AY962" s="125"/>
      <c r="AZ962" s="125"/>
      <c r="BA962" s="125"/>
      <c r="BB962" s="125"/>
      <c r="BC962" s="125"/>
      <c r="BD962" s="125"/>
      <c r="BE962" s="125"/>
      <c r="BF962" s="125"/>
    </row>
    <row r="963" spans="1:58" ht="15.75" customHeight="1">
      <c r="A963" s="125"/>
      <c r="B963" s="125"/>
      <c r="C963" s="125"/>
      <c r="D963" s="125"/>
      <c r="E963" s="125"/>
      <c r="F963" s="125"/>
      <c r="G963" s="125"/>
      <c r="H963" s="125"/>
      <c r="I963" s="125"/>
      <c r="J963" s="125"/>
      <c r="K963" s="125"/>
      <c r="L963" s="125"/>
      <c r="M963" s="125"/>
      <c r="N963" s="125"/>
      <c r="O963" s="125"/>
      <c r="P963" s="125"/>
      <c r="Q963" s="125"/>
      <c r="R963" s="125"/>
      <c r="S963" s="125"/>
      <c r="T963" s="125"/>
      <c r="U963" s="125"/>
      <c r="V963" s="125"/>
      <c r="W963" s="125"/>
      <c r="X963" s="125"/>
      <c r="Y963" s="125"/>
      <c r="Z963" s="125"/>
      <c r="AA963" s="125"/>
      <c r="AB963" s="125"/>
      <c r="AC963" s="125"/>
      <c r="AD963" s="125"/>
      <c r="AE963" s="125"/>
      <c r="AF963" s="125"/>
      <c r="AG963" s="125"/>
      <c r="AH963" s="125"/>
      <c r="AI963" s="125"/>
      <c r="AJ963" s="125"/>
      <c r="AK963" s="125"/>
      <c r="AL963" s="125"/>
      <c r="AM963" s="125"/>
      <c r="AN963" s="125"/>
      <c r="AO963" s="125"/>
      <c r="AP963" s="125"/>
      <c r="AQ963" s="125"/>
      <c r="AR963" s="125"/>
      <c r="AS963" s="125"/>
      <c r="AT963" s="125"/>
      <c r="AU963" s="125"/>
      <c r="AV963" s="125"/>
      <c r="AW963" s="125"/>
      <c r="AX963" s="125"/>
      <c r="AY963" s="125"/>
      <c r="AZ963" s="125"/>
      <c r="BA963" s="125"/>
      <c r="BB963" s="125"/>
      <c r="BC963" s="125"/>
      <c r="BD963" s="125"/>
      <c r="BE963" s="125"/>
      <c r="BF963" s="125"/>
    </row>
    <row r="964" spans="1:58" ht="15.75" customHeight="1">
      <c r="A964" s="125"/>
      <c r="B964" s="125"/>
      <c r="C964" s="125"/>
      <c r="D964" s="125"/>
      <c r="E964" s="125"/>
      <c r="F964" s="125"/>
      <c r="G964" s="125"/>
      <c r="H964" s="125"/>
      <c r="I964" s="125"/>
      <c r="J964" s="125"/>
      <c r="K964" s="125"/>
      <c r="L964" s="125"/>
      <c r="M964" s="125"/>
      <c r="N964" s="125"/>
      <c r="O964" s="125"/>
      <c r="P964" s="125"/>
      <c r="Q964" s="125"/>
      <c r="R964" s="125"/>
      <c r="S964" s="125"/>
      <c r="T964" s="125"/>
      <c r="U964" s="125"/>
      <c r="V964" s="125"/>
      <c r="W964" s="125"/>
      <c r="X964" s="125"/>
      <c r="Y964" s="125"/>
      <c r="Z964" s="125"/>
      <c r="AA964" s="125"/>
      <c r="AB964" s="125"/>
      <c r="AC964" s="125"/>
      <c r="AD964" s="125"/>
      <c r="AE964" s="125"/>
      <c r="AF964" s="125"/>
      <c r="AG964" s="125"/>
      <c r="AH964" s="125"/>
      <c r="AI964" s="125"/>
      <c r="AJ964" s="125"/>
      <c r="AK964" s="125"/>
      <c r="AL964" s="125"/>
      <c r="AM964" s="125"/>
      <c r="AN964" s="125"/>
      <c r="AO964" s="125"/>
      <c r="AP964" s="125"/>
      <c r="AQ964" s="125"/>
      <c r="AR964" s="125"/>
      <c r="AS964" s="125"/>
      <c r="AT964" s="125"/>
      <c r="AU964" s="125"/>
      <c r="AV964" s="125"/>
      <c r="AW964" s="125"/>
      <c r="AX964" s="125"/>
      <c r="AY964" s="125"/>
      <c r="AZ964" s="125"/>
      <c r="BA964" s="125"/>
      <c r="BB964" s="125"/>
      <c r="BC964" s="125"/>
      <c r="BD964" s="125"/>
      <c r="BE964" s="125"/>
      <c r="BF964" s="125"/>
    </row>
    <row r="965" spans="1:58" ht="15.75" customHeight="1">
      <c r="A965" s="125"/>
      <c r="B965" s="125"/>
      <c r="C965" s="125"/>
      <c r="D965" s="125"/>
      <c r="E965" s="125"/>
      <c r="F965" s="125"/>
      <c r="G965" s="125"/>
      <c r="H965" s="125"/>
      <c r="I965" s="125"/>
      <c r="J965" s="125"/>
      <c r="K965" s="125"/>
      <c r="L965" s="125"/>
      <c r="M965" s="125"/>
      <c r="N965" s="125"/>
      <c r="O965" s="125"/>
      <c r="P965" s="125"/>
      <c r="Q965" s="125"/>
      <c r="R965" s="125"/>
      <c r="S965" s="125"/>
      <c r="T965" s="125"/>
      <c r="U965" s="125"/>
      <c r="V965" s="125"/>
      <c r="W965" s="125"/>
      <c r="X965" s="125"/>
      <c r="Y965" s="125"/>
      <c r="Z965" s="125"/>
      <c r="AA965" s="125"/>
      <c r="AB965" s="125"/>
      <c r="AC965" s="125"/>
      <c r="AD965" s="125"/>
      <c r="AE965" s="125"/>
      <c r="AF965" s="125"/>
      <c r="AG965" s="125"/>
      <c r="AH965" s="125"/>
      <c r="AI965" s="125"/>
      <c r="AJ965" s="125"/>
      <c r="AK965" s="125"/>
      <c r="AL965" s="125"/>
      <c r="AM965" s="125"/>
      <c r="AN965" s="125"/>
      <c r="AO965" s="125"/>
      <c r="AP965" s="125"/>
      <c r="AQ965" s="125"/>
      <c r="AR965" s="125"/>
      <c r="AS965" s="125"/>
      <c r="AT965" s="125"/>
      <c r="AU965" s="125"/>
      <c r="AV965" s="125"/>
      <c r="AW965" s="125"/>
      <c r="AX965" s="125"/>
      <c r="AY965" s="125"/>
      <c r="AZ965" s="125"/>
      <c r="BA965" s="125"/>
      <c r="BB965" s="125"/>
      <c r="BC965" s="125"/>
      <c r="BD965" s="125"/>
      <c r="BE965" s="125"/>
      <c r="BF965" s="125"/>
    </row>
    <row r="966" spans="1:58" ht="15.75" customHeight="1">
      <c r="A966" s="125"/>
      <c r="B966" s="125"/>
      <c r="C966" s="125"/>
      <c r="D966" s="125"/>
      <c r="E966" s="125"/>
      <c r="F966" s="125"/>
      <c r="G966" s="125"/>
      <c r="H966" s="125"/>
      <c r="I966" s="125"/>
      <c r="J966" s="125"/>
      <c r="K966" s="125"/>
      <c r="L966" s="125"/>
      <c r="M966" s="125"/>
      <c r="N966" s="125"/>
      <c r="O966" s="125"/>
      <c r="P966" s="125"/>
      <c r="Q966" s="125"/>
      <c r="R966" s="125"/>
      <c r="S966" s="125"/>
      <c r="T966" s="125"/>
      <c r="U966" s="125"/>
      <c r="V966" s="125"/>
      <c r="W966" s="125"/>
      <c r="X966" s="125"/>
      <c r="Y966" s="125"/>
      <c r="Z966" s="125"/>
      <c r="AA966" s="125"/>
      <c r="AB966" s="125"/>
      <c r="AC966" s="125"/>
      <c r="AD966" s="125"/>
      <c r="AE966" s="125"/>
      <c r="AF966" s="125"/>
      <c r="AG966" s="125"/>
      <c r="AH966" s="125"/>
      <c r="AI966" s="125"/>
      <c r="AJ966" s="125"/>
      <c r="AK966" s="125"/>
      <c r="AL966" s="125"/>
      <c r="AM966" s="125"/>
      <c r="AN966" s="125"/>
      <c r="AO966" s="125"/>
      <c r="AP966" s="125"/>
      <c r="AQ966" s="125"/>
      <c r="AR966" s="125"/>
      <c r="AS966" s="125"/>
      <c r="AT966" s="125"/>
      <c r="AU966" s="125"/>
      <c r="AV966" s="125"/>
      <c r="AW966" s="125"/>
      <c r="AX966" s="125"/>
      <c r="AY966" s="125"/>
      <c r="AZ966" s="125"/>
      <c r="BA966" s="125"/>
      <c r="BB966" s="125"/>
      <c r="BC966" s="125"/>
      <c r="BD966" s="125"/>
      <c r="BE966" s="125"/>
      <c r="BF966" s="125"/>
    </row>
    <row r="967" spans="1:58" ht="15.75" customHeight="1">
      <c r="A967" s="125"/>
      <c r="B967" s="125"/>
      <c r="C967" s="125"/>
      <c r="D967" s="125"/>
      <c r="E967" s="125"/>
      <c r="F967" s="125"/>
      <c r="G967" s="125"/>
      <c r="H967" s="125"/>
      <c r="I967" s="125"/>
      <c r="J967" s="125"/>
      <c r="K967" s="125"/>
      <c r="L967" s="125"/>
      <c r="M967" s="125"/>
      <c r="N967" s="125"/>
      <c r="O967" s="125"/>
      <c r="P967" s="125"/>
      <c r="Q967" s="125"/>
      <c r="R967" s="125"/>
      <c r="S967" s="125"/>
      <c r="T967" s="125"/>
      <c r="U967" s="125"/>
      <c r="V967" s="125"/>
      <c r="W967" s="125"/>
      <c r="X967" s="125"/>
      <c r="Y967" s="125"/>
      <c r="Z967" s="125"/>
      <c r="AA967" s="125"/>
      <c r="AB967" s="125"/>
      <c r="AC967" s="125"/>
      <c r="AD967" s="125"/>
      <c r="AE967" s="125"/>
      <c r="AF967" s="125"/>
      <c r="AG967" s="125"/>
      <c r="AH967" s="125"/>
      <c r="AI967" s="125"/>
      <c r="AJ967" s="125"/>
      <c r="AK967" s="125"/>
      <c r="AL967" s="125"/>
      <c r="AM967" s="125"/>
      <c r="AN967" s="125"/>
      <c r="AO967" s="125"/>
      <c r="AP967" s="125"/>
      <c r="AQ967" s="125"/>
      <c r="AR967" s="125"/>
      <c r="AS967" s="125"/>
      <c r="AT967" s="125"/>
      <c r="AU967" s="125"/>
      <c r="AV967" s="125"/>
      <c r="AW967" s="125"/>
      <c r="AX967" s="125"/>
      <c r="AY967" s="125"/>
      <c r="AZ967" s="125"/>
      <c r="BA967" s="125"/>
      <c r="BB967" s="125"/>
      <c r="BC967" s="125"/>
      <c r="BD967" s="125"/>
      <c r="BE967" s="125"/>
      <c r="BF967" s="125"/>
    </row>
    <row r="968" spans="1:58" ht="15.75" customHeight="1">
      <c r="A968" s="125"/>
      <c r="B968" s="125"/>
      <c r="C968" s="125"/>
      <c r="D968" s="125"/>
      <c r="E968" s="125"/>
      <c r="F968" s="125"/>
      <c r="G968" s="125"/>
      <c r="H968" s="125"/>
      <c r="I968" s="125"/>
      <c r="J968" s="125"/>
      <c r="K968" s="125"/>
      <c r="L968" s="125"/>
      <c r="M968" s="125"/>
      <c r="N968" s="125"/>
      <c r="O968" s="125"/>
      <c r="P968" s="125"/>
      <c r="Q968" s="125"/>
      <c r="R968" s="125"/>
      <c r="S968" s="125"/>
      <c r="T968" s="125"/>
      <c r="U968" s="125"/>
      <c r="V968" s="125"/>
      <c r="W968" s="125"/>
      <c r="X968" s="125"/>
      <c r="Y968" s="125"/>
      <c r="Z968" s="125"/>
      <c r="AA968" s="125"/>
      <c r="AB968" s="125"/>
      <c r="AC968" s="125"/>
      <c r="AD968" s="125"/>
      <c r="AE968" s="125"/>
      <c r="AF968" s="125"/>
      <c r="AG968" s="125"/>
      <c r="AH968" s="125"/>
      <c r="AI968" s="125"/>
      <c r="AJ968" s="125"/>
      <c r="AK968" s="125"/>
      <c r="AL968" s="125"/>
      <c r="AM968" s="125"/>
      <c r="AN968" s="125"/>
      <c r="AO968" s="125"/>
      <c r="AP968" s="125"/>
      <c r="AQ968" s="125"/>
      <c r="AR968" s="125"/>
      <c r="AS968" s="125"/>
      <c r="AT968" s="125"/>
      <c r="AU968" s="125"/>
      <c r="AV968" s="125"/>
      <c r="AW968" s="125"/>
      <c r="AX968" s="125"/>
      <c r="AY968" s="125"/>
      <c r="AZ968" s="125"/>
      <c r="BA968" s="125"/>
      <c r="BB968" s="125"/>
      <c r="BC968" s="125"/>
      <c r="BD968" s="125"/>
      <c r="BE968" s="125"/>
      <c r="BF968" s="125"/>
    </row>
    <row r="969" spans="1:58" ht="15.75" customHeight="1">
      <c r="A969" s="125"/>
      <c r="B969" s="125"/>
      <c r="C969" s="125"/>
      <c r="D969" s="125"/>
      <c r="E969" s="125"/>
      <c r="F969" s="125"/>
      <c r="G969" s="125"/>
      <c r="H969" s="125"/>
      <c r="I969" s="125"/>
      <c r="J969" s="125"/>
      <c r="K969" s="125"/>
      <c r="L969" s="125"/>
      <c r="M969" s="125"/>
      <c r="N969" s="125"/>
      <c r="O969" s="125"/>
      <c r="P969" s="125"/>
      <c r="Q969" s="125"/>
      <c r="R969" s="125"/>
      <c r="S969" s="125"/>
      <c r="T969" s="125"/>
      <c r="U969" s="125"/>
      <c r="V969" s="125"/>
      <c r="W969" s="125"/>
      <c r="X969" s="125"/>
      <c r="Y969" s="125"/>
      <c r="Z969" s="125"/>
      <c r="AA969" s="125"/>
      <c r="AB969" s="125"/>
      <c r="AC969" s="125"/>
      <c r="AD969" s="125"/>
      <c r="AE969" s="125"/>
      <c r="AF969" s="125"/>
      <c r="AG969" s="125"/>
      <c r="AH969" s="125"/>
      <c r="AI969" s="125"/>
      <c r="AJ969" s="125"/>
      <c r="AK969" s="125"/>
      <c r="AL969" s="125"/>
      <c r="AM969" s="125"/>
      <c r="AN969" s="125"/>
      <c r="AO969" s="125"/>
      <c r="AP969" s="125"/>
      <c r="AQ969" s="125"/>
      <c r="AR969" s="125"/>
      <c r="AS969" s="125"/>
      <c r="AT969" s="125"/>
      <c r="AU969" s="125"/>
      <c r="AV969" s="125"/>
      <c r="AW969" s="125"/>
      <c r="AX969" s="125"/>
      <c r="AY969" s="125"/>
      <c r="AZ969" s="125"/>
      <c r="BA969" s="125"/>
      <c r="BB969" s="125"/>
      <c r="BC969" s="125"/>
      <c r="BD969" s="125"/>
      <c r="BE969" s="125"/>
      <c r="BF969" s="125"/>
    </row>
    <row r="970" spans="1:58" ht="15.75" customHeight="1">
      <c r="A970" s="125"/>
      <c r="B970" s="125"/>
      <c r="C970" s="125"/>
      <c r="D970" s="125"/>
      <c r="E970" s="125"/>
      <c r="F970" s="125"/>
      <c r="G970" s="125"/>
      <c r="H970" s="125"/>
      <c r="I970" s="125"/>
      <c r="J970" s="125"/>
      <c r="K970" s="125"/>
      <c r="L970" s="125"/>
      <c r="M970" s="125"/>
      <c r="N970" s="125"/>
      <c r="O970" s="125"/>
      <c r="P970" s="125"/>
      <c r="Q970" s="125"/>
      <c r="R970" s="125"/>
      <c r="S970" s="125"/>
      <c r="T970" s="125"/>
      <c r="U970" s="125"/>
      <c r="V970" s="125"/>
      <c r="W970" s="125"/>
      <c r="X970" s="125"/>
      <c r="Y970" s="125"/>
      <c r="Z970" s="125"/>
      <c r="AA970" s="125"/>
      <c r="AB970" s="125"/>
      <c r="AC970" s="125"/>
      <c r="AD970" s="125"/>
      <c r="AE970" s="125"/>
      <c r="AF970" s="125"/>
      <c r="AG970" s="125"/>
      <c r="AH970" s="125"/>
      <c r="AI970" s="125"/>
      <c r="AJ970" s="125"/>
      <c r="AK970" s="125"/>
      <c r="AL970" s="125"/>
      <c r="AM970" s="125"/>
      <c r="AN970" s="125"/>
      <c r="AO970" s="125"/>
      <c r="AP970" s="125"/>
      <c r="AQ970" s="125"/>
      <c r="AR970" s="125"/>
      <c r="AS970" s="125"/>
      <c r="AT970" s="125"/>
      <c r="AU970" s="125"/>
      <c r="AV970" s="125"/>
      <c r="AW970" s="125"/>
      <c r="AX970" s="125"/>
      <c r="AY970" s="125"/>
      <c r="AZ970" s="125"/>
      <c r="BA970" s="125"/>
      <c r="BB970" s="125"/>
      <c r="BC970" s="125"/>
      <c r="BD970" s="125"/>
      <c r="BE970" s="125"/>
      <c r="BF970" s="125"/>
    </row>
    <row r="971" spans="1:58" ht="15.75" customHeight="1">
      <c r="A971" s="125"/>
      <c r="B971" s="125"/>
      <c r="C971" s="125"/>
      <c r="D971" s="125"/>
      <c r="E971" s="125"/>
      <c r="F971" s="125"/>
      <c r="G971" s="125"/>
      <c r="H971" s="125"/>
      <c r="I971" s="125"/>
      <c r="J971" s="125"/>
      <c r="K971" s="125"/>
      <c r="L971" s="125"/>
      <c r="M971" s="125"/>
      <c r="N971" s="125"/>
      <c r="O971" s="125"/>
      <c r="P971" s="125"/>
      <c r="Q971" s="125"/>
      <c r="R971" s="125"/>
      <c r="S971" s="125"/>
      <c r="T971" s="125"/>
      <c r="U971" s="125"/>
      <c r="V971" s="125"/>
      <c r="W971" s="125"/>
      <c r="X971" s="125"/>
      <c r="Y971" s="125"/>
      <c r="Z971" s="125"/>
      <c r="AA971" s="125"/>
      <c r="AB971" s="125"/>
      <c r="AC971" s="125"/>
      <c r="AD971" s="125"/>
      <c r="AE971" s="125"/>
      <c r="AF971" s="125"/>
      <c r="AG971" s="125"/>
      <c r="AH971" s="125"/>
      <c r="AI971" s="125"/>
      <c r="AJ971" s="125"/>
      <c r="AK971" s="125"/>
      <c r="AL971" s="125"/>
      <c r="AM971" s="125"/>
      <c r="AN971" s="125"/>
      <c r="AO971" s="125"/>
      <c r="AP971" s="125"/>
      <c r="AQ971" s="125"/>
      <c r="AR971" s="125"/>
      <c r="AS971" s="125"/>
      <c r="AT971" s="125"/>
      <c r="AU971" s="125"/>
      <c r="AV971" s="125"/>
      <c r="AW971" s="125"/>
      <c r="AX971" s="125"/>
      <c r="AY971" s="125"/>
      <c r="AZ971" s="125"/>
      <c r="BA971" s="125"/>
      <c r="BB971" s="125"/>
      <c r="BC971" s="125"/>
      <c r="BD971" s="125"/>
      <c r="BE971" s="125"/>
      <c r="BF971" s="125"/>
    </row>
    <row r="972" spans="1:58" ht="15.75" customHeight="1">
      <c r="A972" s="125"/>
      <c r="B972" s="125"/>
      <c r="C972" s="125"/>
      <c r="D972" s="125"/>
      <c r="E972" s="125"/>
      <c r="F972" s="125"/>
      <c r="G972" s="125"/>
      <c r="H972" s="125"/>
      <c r="I972" s="125"/>
      <c r="J972" s="125"/>
      <c r="K972" s="125"/>
      <c r="L972" s="125"/>
      <c r="M972" s="125"/>
      <c r="N972" s="125"/>
      <c r="O972" s="125"/>
      <c r="P972" s="125"/>
      <c r="Q972" s="125"/>
      <c r="R972" s="125"/>
      <c r="S972" s="125"/>
      <c r="T972" s="125"/>
      <c r="U972" s="125"/>
      <c r="V972" s="125"/>
      <c r="W972" s="125"/>
      <c r="X972" s="125"/>
      <c r="Y972" s="125"/>
      <c r="Z972" s="125"/>
      <c r="AA972" s="125"/>
      <c r="AB972" s="125"/>
      <c r="AC972" s="125"/>
      <c r="AD972" s="125"/>
      <c r="AE972" s="125"/>
      <c r="AF972" s="125"/>
      <c r="AG972" s="125"/>
      <c r="AH972" s="125"/>
      <c r="AI972" s="125"/>
      <c r="AJ972" s="125"/>
      <c r="AK972" s="125"/>
      <c r="AL972" s="125"/>
      <c r="AM972" s="125"/>
      <c r="AN972" s="125"/>
      <c r="AO972" s="125"/>
      <c r="AP972" s="125"/>
      <c r="AQ972" s="125"/>
      <c r="AR972" s="125"/>
      <c r="AS972" s="125"/>
      <c r="AT972" s="125"/>
      <c r="AU972" s="125"/>
      <c r="AV972" s="125"/>
      <c r="AW972" s="125"/>
      <c r="AX972" s="125"/>
      <c r="AY972" s="125"/>
      <c r="AZ972" s="125"/>
      <c r="BA972" s="125"/>
      <c r="BB972" s="125"/>
      <c r="BC972" s="125"/>
      <c r="BD972" s="125"/>
      <c r="BE972" s="125"/>
      <c r="BF972" s="125"/>
    </row>
    <row r="973" spans="1:58" ht="15.75" customHeight="1">
      <c r="A973" s="125"/>
      <c r="B973" s="125"/>
      <c r="C973" s="125"/>
      <c r="D973" s="125"/>
      <c r="E973" s="125"/>
      <c r="F973" s="125"/>
      <c r="G973" s="125"/>
      <c r="H973" s="125"/>
      <c r="I973" s="125"/>
      <c r="J973" s="125"/>
      <c r="K973" s="125"/>
      <c r="L973" s="125"/>
      <c r="M973" s="125"/>
      <c r="N973" s="125"/>
      <c r="O973" s="125"/>
      <c r="P973" s="125"/>
      <c r="Q973" s="125"/>
      <c r="R973" s="125"/>
      <c r="S973" s="125"/>
      <c r="T973" s="125"/>
      <c r="U973" s="125"/>
      <c r="V973" s="125"/>
      <c r="W973" s="125"/>
      <c r="X973" s="125"/>
      <c r="Y973" s="125"/>
      <c r="Z973" s="125"/>
      <c r="AA973" s="125"/>
      <c r="AB973" s="125"/>
      <c r="AC973" s="125"/>
      <c r="AD973" s="125"/>
      <c r="AE973" s="125"/>
      <c r="AF973" s="125"/>
      <c r="AG973" s="125"/>
      <c r="AH973" s="125"/>
      <c r="AI973" s="125"/>
      <c r="AJ973" s="125"/>
      <c r="AK973" s="125"/>
      <c r="AL973" s="125"/>
      <c r="AM973" s="125"/>
      <c r="AN973" s="125"/>
      <c r="AO973" s="125"/>
      <c r="AP973" s="125"/>
      <c r="AQ973" s="125"/>
      <c r="AR973" s="125"/>
      <c r="AS973" s="125"/>
      <c r="AT973" s="125"/>
      <c r="AU973" s="125"/>
      <c r="AV973" s="125"/>
      <c r="AW973" s="125"/>
      <c r="AX973" s="125"/>
      <c r="AY973" s="125"/>
      <c r="AZ973" s="125"/>
      <c r="BA973" s="125"/>
      <c r="BB973" s="125"/>
      <c r="BC973" s="125"/>
      <c r="BD973" s="125"/>
      <c r="BE973" s="125"/>
      <c r="BF973" s="125"/>
    </row>
    <row r="974" spans="1:58" ht="15.75" customHeight="1">
      <c r="A974" s="125"/>
      <c r="B974" s="125"/>
      <c r="C974" s="125"/>
      <c r="D974" s="125"/>
      <c r="E974" s="125"/>
      <c r="F974" s="125"/>
      <c r="G974" s="125"/>
      <c r="H974" s="125"/>
      <c r="I974" s="125"/>
      <c r="J974" s="125"/>
      <c r="K974" s="125"/>
      <c r="L974" s="125"/>
      <c r="M974" s="125"/>
      <c r="N974" s="125"/>
      <c r="O974" s="125"/>
      <c r="P974" s="125"/>
      <c r="Q974" s="125"/>
      <c r="R974" s="125"/>
      <c r="S974" s="125"/>
      <c r="T974" s="125"/>
      <c r="U974" s="125"/>
      <c r="V974" s="125"/>
      <c r="W974" s="125"/>
      <c r="X974" s="125"/>
      <c r="Y974" s="125"/>
      <c r="Z974" s="125"/>
      <c r="AA974" s="125"/>
      <c r="AB974" s="125"/>
      <c r="AC974" s="125"/>
      <c r="AD974" s="125"/>
      <c r="AE974" s="125"/>
      <c r="AF974" s="125"/>
      <c r="AG974" s="125"/>
      <c r="AH974" s="125"/>
      <c r="AI974" s="125"/>
      <c r="AJ974" s="125"/>
      <c r="AK974" s="125"/>
      <c r="AL974" s="125"/>
      <c r="AM974" s="125"/>
      <c r="AN974" s="125"/>
      <c r="AO974" s="125"/>
      <c r="AP974" s="125"/>
      <c r="AQ974" s="125"/>
      <c r="AR974" s="125"/>
      <c r="AS974" s="125"/>
      <c r="AT974" s="125"/>
      <c r="AU974" s="125"/>
      <c r="AV974" s="125"/>
      <c r="AW974" s="125"/>
      <c r="AX974" s="125"/>
      <c r="AY974" s="125"/>
      <c r="AZ974" s="125"/>
      <c r="BA974" s="125"/>
      <c r="BB974" s="125"/>
      <c r="BC974" s="125"/>
      <c r="BD974" s="125"/>
      <c r="BE974" s="125"/>
      <c r="BF974" s="125"/>
    </row>
    <row r="975" spans="1:58" ht="15.75" customHeight="1">
      <c r="A975" s="125"/>
      <c r="B975" s="125"/>
      <c r="C975" s="125"/>
      <c r="D975" s="125"/>
      <c r="E975" s="125"/>
      <c r="F975" s="125"/>
      <c r="G975" s="125"/>
      <c r="H975" s="125"/>
      <c r="I975" s="125"/>
      <c r="J975" s="125"/>
      <c r="K975" s="125"/>
      <c r="L975" s="125"/>
      <c r="M975" s="125"/>
      <c r="N975" s="125"/>
      <c r="O975" s="125"/>
      <c r="P975" s="125"/>
      <c r="Q975" s="125"/>
      <c r="R975" s="125"/>
      <c r="S975" s="125"/>
      <c r="T975" s="125"/>
      <c r="U975" s="125"/>
      <c r="V975" s="125"/>
      <c r="W975" s="125"/>
      <c r="X975" s="125"/>
      <c r="Y975" s="125"/>
      <c r="Z975" s="125"/>
      <c r="AA975" s="125"/>
      <c r="AB975" s="125"/>
      <c r="AC975" s="125"/>
      <c r="AD975" s="125"/>
      <c r="AE975" s="125"/>
      <c r="AF975" s="125"/>
      <c r="AG975" s="125"/>
      <c r="AH975" s="125"/>
      <c r="AI975" s="125"/>
      <c r="AJ975" s="125"/>
      <c r="AK975" s="125"/>
      <c r="AL975" s="125"/>
      <c r="AM975" s="125"/>
      <c r="AN975" s="125"/>
      <c r="AO975" s="125"/>
      <c r="AP975" s="125"/>
      <c r="AQ975" s="125"/>
      <c r="AR975" s="125"/>
      <c r="AS975" s="125"/>
      <c r="AT975" s="125"/>
      <c r="AU975" s="125"/>
      <c r="AV975" s="125"/>
      <c r="AW975" s="125"/>
      <c r="AX975" s="125"/>
      <c r="AY975" s="125"/>
      <c r="AZ975" s="125"/>
      <c r="BA975" s="125"/>
      <c r="BB975" s="125"/>
      <c r="BC975" s="125"/>
      <c r="BD975" s="125"/>
      <c r="BE975" s="125"/>
      <c r="BF975" s="125"/>
    </row>
    <row r="976" spans="1:58" ht="15.75" customHeight="1">
      <c r="A976" s="125"/>
      <c r="B976" s="125"/>
      <c r="C976" s="125"/>
      <c r="D976" s="125"/>
      <c r="E976" s="125"/>
      <c r="F976" s="125"/>
      <c r="G976" s="125"/>
      <c r="H976" s="125"/>
      <c r="I976" s="125"/>
      <c r="J976" s="125"/>
      <c r="K976" s="125"/>
      <c r="L976" s="125"/>
      <c r="M976" s="125"/>
      <c r="N976" s="125"/>
      <c r="O976" s="125"/>
      <c r="P976" s="125"/>
      <c r="Q976" s="125"/>
      <c r="R976" s="125"/>
      <c r="S976" s="125"/>
      <c r="T976" s="125"/>
      <c r="U976" s="125"/>
      <c r="V976" s="125"/>
      <c r="W976" s="125"/>
      <c r="X976" s="125"/>
      <c r="Y976" s="125"/>
      <c r="Z976" s="125"/>
      <c r="AA976" s="125"/>
      <c r="AB976" s="125"/>
      <c r="AC976" s="125"/>
      <c r="AD976" s="125"/>
      <c r="AE976" s="125"/>
      <c r="AF976" s="125"/>
      <c r="AG976" s="125"/>
      <c r="AH976" s="125"/>
      <c r="AI976" s="125"/>
      <c r="AJ976" s="125"/>
      <c r="AK976" s="125"/>
      <c r="AL976" s="125"/>
      <c r="AM976" s="125"/>
      <c r="AN976" s="125"/>
      <c r="AO976" s="125"/>
      <c r="AP976" s="125"/>
      <c r="AQ976" s="125"/>
      <c r="AR976" s="125"/>
      <c r="AS976" s="125"/>
      <c r="AT976" s="125"/>
      <c r="AU976" s="125"/>
      <c r="AV976" s="125"/>
      <c r="AW976" s="125"/>
      <c r="AX976" s="125"/>
      <c r="AY976" s="125"/>
      <c r="AZ976" s="125"/>
      <c r="BA976" s="125"/>
      <c r="BB976" s="125"/>
      <c r="BC976" s="125"/>
      <c r="BD976" s="125"/>
      <c r="BE976" s="125"/>
      <c r="BF976" s="125"/>
    </row>
    <row r="977" spans="1:58" ht="15.75" customHeight="1">
      <c r="A977" s="125"/>
      <c r="B977" s="125"/>
      <c r="C977" s="125"/>
      <c r="D977" s="125"/>
      <c r="E977" s="125"/>
      <c r="F977" s="125"/>
      <c r="G977" s="125"/>
      <c r="H977" s="125"/>
      <c r="I977" s="125"/>
      <c r="J977" s="125"/>
      <c r="K977" s="125"/>
      <c r="L977" s="125"/>
      <c r="M977" s="125"/>
      <c r="N977" s="125"/>
      <c r="O977" s="125"/>
      <c r="P977" s="125"/>
      <c r="Q977" s="125"/>
      <c r="R977" s="125"/>
      <c r="S977" s="125"/>
      <c r="T977" s="125"/>
      <c r="U977" s="125"/>
      <c r="V977" s="125"/>
      <c r="W977" s="125"/>
      <c r="X977" s="125"/>
      <c r="Y977" s="125"/>
      <c r="Z977" s="125"/>
      <c r="AA977" s="125"/>
      <c r="AB977" s="125"/>
      <c r="AC977" s="125"/>
      <c r="AD977" s="125"/>
      <c r="AE977" s="125"/>
      <c r="AF977" s="125"/>
      <c r="AG977" s="125"/>
      <c r="AH977" s="125"/>
      <c r="AI977" s="125"/>
      <c r="AJ977" s="125"/>
      <c r="AK977" s="125"/>
      <c r="AL977" s="125"/>
      <c r="AM977" s="125"/>
      <c r="AN977" s="125"/>
      <c r="AO977" s="125"/>
      <c r="AP977" s="125"/>
      <c r="AQ977" s="125"/>
      <c r="AR977" s="125"/>
      <c r="AS977" s="125"/>
      <c r="AT977" s="125"/>
      <c r="AU977" s="125"/>
      <c r="AV977" s="125"/>
      <c r="AW977" s="125"/>
      <c r="AX977" s="125"/>
      <c r="AY977" s="125"/>
      <c r="AZ977" s="125"/>
      <c r="BA977" s="125"/>
      <c r="BB977" s="125"/>
      <c r="BC977" s="125"/>
      <c r="BD977" s="125"/>
      <c r="BE977" s="125"/>
      <c r="BF977" s="125"/>
    </row>
    <row r="978" spans="1:58" ht="15.75" customHeight="1">
      <c r="A978" s="125"/>
      <c r="B978" s="125"/>
      <c r="C978" s="125"/>
      <c r="D978" s="125"/>
      <c r="E978" s="125"/>
      <c r="F978" s="125"/>
      <c r="G978" s="125"/>
      <c r="H978" s="125"/>
      <c r="I978" s="125"/>
      <c r="J978" s="125"/>
      <c r="K978" s="125"/>
      <c r="L978" s="125"/>
      <c r="M978" s="125"/>
      <c r="N978" s="125"/>
      <c r="O978" s="125"/>
      <c r="P978" s="125"/>
      <c r="Q978" s="125"/>
      <c r="R978" s="125"/>
      <c r="S978" s="125"/>
      <c r="T978" s="125"/>
      <c r="U978" s="125"/>
      <c r="V978" s="125"/>
      <c r="W978" s="125"/>
      <c r="X978" s="125"/>
      <c r="Y978" s="125"/>
      <c r="Z978" s="125"/>
      <c r="AA978" s="125"/>
      <c r="AB978" s="125"/>
      <c r="AC978" s="125"/>
      <c r="AD978" s="125"/>
      <c r="AE978" s="125"/>
      <c r="AF978" s="125"/>
      <c r="AG978" s="125"/>
      <c r="AH978" s="125"/>
      <c r="AI978" s="125"/>
      <c r="AJ978" s="125"/>
      <c r="AK978" s="125"/>
      <c r="AL978" s="125"/>
      <c r="AM978" s="125"/>
      <c r="AN978" s="125"/>
      <c r="AO978" s="125"/>
      <c r="AP978" s="125"/>
      <c r="AQ978" s="125"/>
      <c r="AR978" s="125"/>
      <c r="AS978" s="125"/>
      <c r="AT978" s="125"/>
      <c r="AU978" s="125"/>
      <c r="AV978" s="125"/>
      <c r="AW978" s="125"/>
      <c r="AX978" s="125"/>
      <c r="AY978" s="125"/>
      <c r="AZ978" s="125"/>
      <c r="BA978" s="125"/>
      <c r="BB978" s="125"/>
      <c r="BC978" s="125"/>
      <c r="BD978" s="125"/>
      <c r="BE978" s="125"/>
      <c r="BF978" s="125"/>
    </row>
    <row r="979" spans="1:58" ht="15.75" customHeight="1">
      <c r="A979" s="125"/>
      <c r="B979" s="125"/>
      <c r="C979" s="125"/>
      <c r="D979" s="125"/>
      <c r="E979" s="125"/>
      <c r="F979" s="125"/>
      <c r="G979" s="125"/>
      <c r="H979" s="125"/>
      <c r="I979" s="125"/>
      <c r="J979" s="125"/>
      <c r="K979" s="125"/>
      <c r="L979" s="125"/>
      <c r="M979" s="125"/>
      <c r="N979" s="125"/>
      <c r="O979" s="125"/>
      <c r="P979" s="125"/>
      <c r="Q979" s="125"/>
      <c r="R979" s="125"/>
      <c r="S979" s="125"/>
      <c r="T979" s="125"/>
      <c r="U979" s="125"/>
      <c r="V979" s="125"/>
      <c r="W979" s="125"/>
      <c r="X979" s="125"/>
      <c r="Y979" s="125"/>
      <c r="Z979" s="125"/>
      <c r="AA979" s="125"/>
      <c r="AB979" s="125"/>
      <c r="AC979" s="125"/>
      <c r="AD979" s="125"/>
      <c r="AE979" s="125"/>
      <c r="AF979" s="125"/>
      <c r="AG979" s="125"/>
      <c r="AH979" s="125"/>
      <c r="AI979" s="125"/>
      <c r="AJ979" s="125"/>
      <c r="AK979" s="125"/>
      <c r="AL979" s="125"/>
      <c r="AM979" s="125"/>
      <c r="AN979" s="125"/>
      <c r="AO979" s="125"/>
      <c r="AP979" s="125"/>
      <c r="AQ979" s="125"/>
      <c r="AR979" s="125"/>
      <c r="AS979" s="125"/>
      <c r="AT979" s="125"/>
      <c r="AU979" s="125"/>
      <c r="AV979" s="125"/>
      <c r="AW979" s="125"/>
      <c r="AX979" s="125"/>
      <c r="AY979" s="125"/>
      <c r="AZ979" s="125"/>
      <c r="BA979" s="125"/>
      <c r="BB979" s="125"/>
      <c r="BC979" s="125"/>
      <c r="BD979" s="125"/>
      <c r="BE979" s="125"/>
      <c r="BF979" s="125"/>
    </row>
    <row r="980" spans="1:58" ht="15.75" customHeight="1">
      <c r="A980" s="125"/>
      <c r="B980" s="125"/>
      <c r="C980" s="125"/>
      <c r="D980" s="125"/>
      <c r="E980" s="125"/>
      <c r="F980" s="125"/>
      <c r="G980" s="125"/>
      <c r="H980" s="125"/>
      <c r="I980" s="125"/>
      <c r="J980" s="125"/>
      <c r="K980" s="125"/>
      <c r="L980" s="125"/>
      <c r="M980" s="125"/>
      <c r="N980" s="125"/>
      <c r="O980" s="125"/>
      <c r="P980" s="125"/>
      <c r="Q980" s="125"/>
      <c r="R980" s="125"/>
      <c r="S980" s="125"/>
      <c r="T980" s="125"/>
      <c r="U980" s="125"/>
      <c r="V980" s="125"/>
      <c r="W980" s="125"/>
      <c r="X980" s="125"/>
      <c r="Y980" s="125"/>
      <c r="Z980" s="125"/>
      <c r="AA980" s="125"/>
      <c r="AB980" s="125"/>
      <c r="AC980" s="125"/>
      <c r="AD980" s="125"/>
      <c r="AE980" s="125"/>
      <c r="AF980" s="125"/>
      <c r="AG980" s="125"/>
      <c r="AH980" s="125"/>
      <c r="AI980" s="125"/>
      <c r="AJ980" s="125"/>
      <c r="AK980" s="125"/>
      <c r="AL980" s="125"/>
      <c r="AM980" s="125"/>
      <c r="AN980" s="125"/>
      <c r="AO980" s="125"/>
      <c r="AP980" s="125"/>
      <c r="AQ980" s="125"/>
      <c r="AR980" s="125"/>
      <c r="AS980" s="125"/>
      <c r="AT980" s="125"/>
      <c r="AU980" s="125"/>
      <c r="AV980" s="125"/>
      <c r="AW980" s="125"/>
      <c r="AX980" s="125"/>
      <c r="AY980" s="125"/>
      <c r="AZ980" s="125"/>
      <c r="BA980" s="125"/>
      <c r="BB980" s="125"/>
      <c r="BC980" s="125"/>
      <c r="BD980" s="125"/>
      <c r="BE980" s="125"/>
      <c r="BF980" s="125"/>
    </row>
    <row r="981" spans="1:58" ht="15.75" customHeight="1">
      <c r="A981" s="125"/>
      <c r="B981" s="125"/>
      <c r="C981" s="125"/>
      <c r="D981" s="125"/>
      <c r="E981" s="125"/>
      <c r="F981" s="125"/>
      <c r="G981" s="125"/>
      <c r="H981" s="125"/>
      <c r="I981" s="125"/>
      <c r="J981" s="125"/>
      <c r="K981" s="125"/>
      <c r="L981" s="125"/>
      <c r="M981" s="125"/>
      <c r="N981" s="125"/>
      <c r="O981" s="125"/>
      <c r="P981" s="125"/>
      <c r="Q981" s="125"/>
      <c r="R981" s="125"/>
      <c r="S981" s="125"/>
      <c r="T981" s="125"/>
      <c r="U981" s="125"/>
      <c r="V981" s="125"/>
      <c r="W981" s="125"/>
      <c r="X981" s="125"/>
      <c r="Y981" s="125"/>
      <c r="Z981" s="125"/>
      <c r="AA981" s="125"/>
      <c r="AB981" s="125"/>
      <c r="AC981" s="125"/>
      <c r="AD981" s="125"/>
      <c r="AE981" s="125"/>
      <c r="AF981" s="125"/>
      <c r="AG981" s="125"/>
      <c r="AH981" s="125"/>
      <c r="AI981" s="125"/>
      <c r="AJ981" s="125"/>
      <c r="AK981" s="125"/>
      <c r="AL981" s="125"/>
      <c r="AM981" s="125"/>
      <c r="AN981" s="125"/>
      <c r="AO981" s="125"/>
      <c r="AP981" s="125"/>
      <c r="AQ981" s="125"/>
      <c r="AR981" s="125"/>
      <c r="AS981" s="125"/>
      <c r="AT981" s="125"/>
      <c r="AU981" s="125"/>
      <c r="AV981" s="125"/>
      <c r="AW981" s="125"/>
      <c r="AX981" s="125"/>
      <c r="AY981" s="125"/>
      <c r="AZ981" s="125"/>
      <c r="BA981" s="125"/>
      <c r="BB981" s="125"/>
      <c r="BC981" s="125"/>
      <c r="BD981" s="125"/>
      <c r="BE981" s="125"/>
      <c r="BF981" s="125"/>
    </row>
    <row r="982" spans="1:58" ht="15.75" customHeight="1">
      <c r="A982" s="125"/>
      <c r="B982" s="125"/>
      <c r="C982" s="125"/>
      <c r="D982" s="125"/>
      <c r="E982" s="125"/>
      <c r="F982" s="125"/>
      <c r="G982" s="125"/>
      <c r="H982" s="125"/>
      <c r="I982" s="125"/>
      <c r="J982" s="125"/>
      <c r="K982" s="125"/>
      <c r="L982" s="125"/>
      <c r="M982" s="125"/>
      <c r="N982" s="125"/>
      <c r="O982" s="125"/>
      <c r="P982" s="125"/>
      <c r="Q982" s="125"/>
      <c r="R982" s="125"/>
      <c r="S982" s="125"/>
      <c r="T982" s="125"/>
      <c r="U982" s="125"/>
      <c r="V982" s="125"/>
      <c r="W982" s="125"/>
      <c r="X982" s="125"/>
      <c r="Y982" s="125"/>
      <c r="Z982" s="125"/>
      <c r="AA982" s="125"/>
      <c r="AB982" s="125"/>
      <c r="AC982" s="125"/>
      <c r="AD982" s="125"/>
      <c r="AE982" s="125"/>
      <c r="AF982" s="125"/>
      <c r="AG982" s="125"/>
      <c r="AH982" s="125"/>
      <c r="AI982" s="125"/>
      <c r="AJ982" s="125"/>
      <c r="AK982" s="125"/>
      <c r="AL982" s="125"/>
      <c r="AM982" s="125"/>
      <c r="AN982" s="125"/>
      <c r="AO982" s="125"/>
      <c r="AP982" s="125"/>
      <c r="AQ982" s="125"/>
      <c r="AR982" s="125"/>
      <c r="AS982" s="125"/>
      <c r="AT982" s="125"/>
      <c r="AU982" s="125"/>
      <c r="AV982" s="125"/>
      <c r="AW982" s="125"/>
      <c r="AX982" s="125"/>
      <c r="AY982" s="125"/>
      <c r="AZ982" s="125"/>
      <c r="BA982" s="125"/>
      <c r="BB982" s="125"/>
      <c r="BC982" s="125"/>
      <c r="BD982" s="125"/>
      <c r="BE982" s="125"/>
      <c r="BF982" s="125"/>
    </row>
    <row r="983" spans="1:58" ht="15.75" customHeight="1">
      <c r="A983" s="125"/>
      <c r="B983" s="125"/>
      <c r="C983" s="125"/>
      <c r="D983" s="125"/>
      <c r="E983" s="125"/>
      <c r="F983" s="125"/>
      <c r="G983" s="125"/>
      <c r="H983" s="125"/>
      <c r="I983" s="125"/>
      <c r="J983" s="125"/>
      <c r="K983" s="125"/>
      <c r="L983" s="125"/>
      <c r="M983" s="125"/>
      <c r="N983" s="125"/>
      <c r="O983" s="125"/>
      <c r="P983" s="125"/>
      <c r="Q983" s="125"/>
      <c r="R983" s="125"/>
      <c r="S983" s="125"/>
      <c r="T983" s="125"/>
      <c r="U983" s="125"/>
      <c r="V983" s="125"/>
      <c r="W983" s="125"/>
      <c r="X983" s="125"/>
      <c r="Y983" s="125"/>
      <c r="Z983" s="125"/>
      <c r="AA983" s="125"/>
      <c r="AB983" s="125"/>
      <c r="AC983" s="125"/>
      <c r="AD983" s="125"/>
      <c r="AE983" s="125"/>
      <c r="AF983" s="125"/>
      <c r="AG983" s="125"/>
      <c r="AH983" s="125"/>
      <c r="AI983" s="125"/>
      <c r="AJ983" s="125"/>
      <c r="AK983" s="125"/>
      <c r="AL983" s="125"/>
      <c r="AM983" s="125"/>
      <c r="AN983" s="125"/>
      <c r="AO983" s="125"/>
      <c r="AP983" s="125"/>
      <c r="AQ983" s="125"/>
      <c r="AR983" s="125"/>
      <c r="AS983" s="125"/>
      <c r="AT983" s="125"/>
      <c r="AU983" s="125"/>
      <c r="AV983" s="125"/>
      <c r="AW983" s="125"/>
      <c r="AX983" s="125"/>
      <c r="AY983" s="125"/>
      <c r="AZ983" s="125"/>
      <c r="BA983" s="125"/>
      <c r="BB983" s="125"/>
      <c r="BC983" s="125"/>
      <c r="BD983" s="125"/>
      <c r="BE983" s="125"/>
      <c r="BF983" s="125"/>
    </row>
    <row r="984" spans="1:58" ht="15.75" customHeight="1">
      <c r="A984" s="125"/>
      <c r="B984" s="125"/>
      <c r="C984" s="125"/>
      <c r="D984" s="125"/>
      <c r="E984" s="125"/>
      <c r="F984" s="125"/>
      <c r="G984" s="125"/>
      <c r="H984" s="125"/>
      <c r="I984" s="125"/>
      <c r="J984" s="125"/>
      <c r="K984" s="125"/>
      <c r="L984" s="125"/>
      <c r="M984" s="125"/>
      <c r="N984" s="125"/>
      <c r="O984" s="125"/>
      <c r="P984" s="125"/>
      <c r="Q984" s="125"/>
      <c r="R984" s="125"/>
      <c r="S984" s="125"/>
      <c r="T984" s="125"/>
      <c r="U984" s="125"/>
      <c r="V984" s="125"/>
      <c r="W984" s="125"/>
      <c r="X984" s="125"/>
      <c r="Y984" s="125"/>
      <c r="Z984" s="125"/>
      <c r="AA984" s="125"/>
      <c r="AB984" s="125"/>
      <c r="AC984" s="125"/>
      <c r="AD984" s="125"/>
      <c r="AE984" s="125"/>
      <c r="AF984" s="125"/>
      <c r="AG984" s="125"/>
      <c r="AH984" s="125"/>
      <c r="AI984" s="125"/>
      <c r="AJ984" s="125"/>
      <c r="AK984" s="125"/>
      <c r="AL984" s="125"/>
      <c r="AM984" s="125"/>
      <c r="AN984" s="125"/>
      <c r="AO984" s="125"/>
      <c r="AP984" s="125"/>
      <c r="AQ984" s="125"/>
      <c r="AR984" s="125"/>
      <c r="AS984" s="125"/>
      <c r="AT984" s="125"/>
      <c r="AU984" s="125"/>
      <c r="AV984" s="125"/>
      <c r="AW984" s="125"/>
      <c r="AX984" s="125"/>
      <c r="AY984" s="125"/>
      <c r="AZ984" s="125"/>
      <c r="BA984" s="125"/>
      <c r="BB984" s="125"/>
      <c r="BC984" s="125"/>
      <c r="BD984" s="125"/>
      <c r="BE984" s="125"/>
      <c r="BF984" s="125"/>
    </row>
    <row r="985" spans="1:58" ht="15.75" customHeight="1">
      <c r="A985" s="125"/>
      <c r="B985" s="125"/>
      <c r="C985" s="125"/>
      <c r="D985" s="125"/>
      <c r="E985" s="125"/>
      <c r="F985" s="125"/>
      <c r="G985" s="125"/>
      <c r="H985" s="125"/>
      <c r="I985" s="125"/>
      <c r="J985" s="125"/>
      <c r="K985" s="125"/>
      <c r="L985" s="125"/>
      <c r="M985" s="125"/>
      <c r="N985" s="125"/>
      <c r="O985" s="125"/>
      <c r="P985" s="125"/>
      <c r="Q985" s="125"/>
      <c r="R985" s="125"/>
      <c r="S985" s="125"/>
      <c r="T985" s="125"/>
      <c r="U985" s="125"/>
      <c r="V985" s="125"/>
      <c r="W985" s="125"/>
      <c r="X985" s="125"/>
      <c r="Y985" s="125"/>
      <c r="Z985" s="125"/>
      <c r="AA985" s="125"/>
      <c r="AB985" s="125"/>
      <c r="AC985" s="125"/>
      <c r="AD985" s="125"/>
      <c r="AE985" s="125"/>
      <c r="AF985" s="125"/>
      <c r="AG985" s="125"/>
      <c r="AH985" s="125"/>
      <c r="AI985" s="125"/>
      <c r="AJ985" s="125"/>
      <c r="AK985" s="125"/>
      <c r="AL985" s="125"/>
      <c r="AM985" s="125"/>
      <c r="AN985" s="125"/>
      <c r="AO985" s="125"/>
      <c r="AP985" s="125"/>
      <c r="AQ985" s="125"/>
      <c r="AR985" s="125"/>
      <c r="AS985" s="125"/>
      <c r="AT985" s="125"/>
      <c r="AU985" s="125"/>
      <c r="AV985" s="125"/>
      <c r="AW985" s="125"/>
      <c r="AX985" s="125"/>
      <c r="AY985" s="125"/>
      <c r="AZ985" s="125"/>
      <c r="BA985" s="125"/>
      <c r="BB985" s="125"/>
      <c r="BC985" s="125"/>
      <c r="BD985" s="125"/>
      <c r="BE985" s="125"/>
      <c r="BF985" s="125"/>
    </row>
    <row r="986" spans="1:58" ht="15.75" customHeight="1">
      <c r="A986" s="125"/>
      <c r="B986" s="125"/>
      <c r="C986" s="125"/>
      <c r="D986" s="125"/>
      <c r="E986" s="125"/>
      <c r="F986" s="125"/>
      <c r="G986" s="125"/>
      <c r="H986" s="125"/>
      <c r="I986" s="125"/>
      <c r="J986" s="125"/>
      <c r="K986" s="125"/>
      <c r="L986" s="125"/>
      <c r="M986" s="125"/>
      <c r="N986" s="125"/>
      <c r="O986" s="125"/>
      <c r="P986" s="125"/>
      <c r="Q986" s="125"/>
      <c r="R986" s="125"/>
      <c r="S986" s="125"/>
      <c r="T986" s="125"/>
      <c r="U986" s="125"/>
      <c r="V986" s="125"/>
      <c r="W986" s="125"/>
      <c r="X986" s="125"/>
      <c r="Y986" s="125"/>
      <c r="Z986" s="125"/>
      <c r="AA986" s="125"/>
      <c r="AB986" s="125"/>
      <c r="AC986" s="125"/>
      <c r="AD986" s="125"/>
      <c r="AE986" s="125"/>
      <c r="AF986" s="125"/>
      <c r="AG986" s="125"/>
      <c r="AH986" s="125"/>
      <c r="AI986" s="125"/>
      <c r="AJ986" s="125"/>
      <c r="AK986" s="125"/>
      <c r="AL986" s="125"/>
      <c r="AM986" s="125"/>
      <c r="AN986" s="125"/>
      <c r="AO986" s="125"/>
      <c r="AP986" s="125"/>
      <c r="AQ986" s="125"/>
      <c r="AR986" s="125"/>
      <c r="AS986" s="125"/>
      <c r="AT986" s="125"/>
      <c r="AU986" s="125"/>
      <c r="AV986" s="125"/>
      <c r="AW986" s="125"/>
      <c r="AX986" s="125"/>
      <c r="AY986" s="125"/>
      <c r="AZ986" s="125"/>
      <c r="BA986" s="125"/>
      <c r="BB986" s="125"/>
      <c r="BC986" s="125"/>
      <c r="BD986" s="125"/>
      <c r="BE986" s="125"/>
      <c r="BF986" s="125"/>
    </row>
    <row r="987" spans="1:58" ht="15.75" customHeight="1">
      <c r="A987" s="125"/>
      <c r="B987" s="125"/>
      <c r="C987" s="125"/>
      <c r="D987" s="125"/>
      <c r="E987" s="125"/>
      <c r="F987" s="125"/>
      <c r="G987" s="125"/>
      <c r="H987" s="125"/>
      <c r="I987" s="125"/>
      <c r="J987" s="125"/>
      <c r="K987" s="125"/>
      <c r="L987" s="125"/>
      <c r="M987" s="125"/>
      <c r="N987" s="125"/>
      <c r="O987" s="125"/>
      <c r="P987" s="125"/>
      <c r="Q987" s="125"/>
      <c r="R987" s="125"/>
      <c r="S987" s="125"/>
      <c r="T987" s="125"/>
      <c r="U987" s="125"/>
      <c r="V987" s="125"/>
      <c r="W987" s="125"/>
      <c r="X987" s="125"/>
      <c r="Y987" s="125"/>
      <c r="Z987" s="125"/>
      <c r="AA987" s="125"/>
      <c r="AB987" s="125"/>
      <c r="AC987" s="125"/>
      <c r="AD987" s="125"/>
      <c r="AE987" s="125"/>
      <c r="AF987" s="125"/>
      <c r="AG987" s="125"/>
      <c r="AH987" s="125"/>
      <c r="AI987" s="125"/>
      <c r="AJ987" s="125"/>
      <c r="AK987" s="125"/>
      <c r="AL987" s="125"/>
      <c r="AM987" s="125"/>
      <c r="AN987" s="125"/>
      <c r="AO987" s="125"/>
      <c r="AP987" s="125"/>
      <c r="AQ987" s="125"/>
      <c r="AR987" s="125"/>
      <c r="AS987" s="125"/>
      <c r="AT987" s="125"/>
      <c r="AU987" s="125"/>
      <c r="AV987" s="125"/>
      <c r="AW987" s="125"/>
      <c r="AX987" s="125"/>
      <c r="AY987" s="125"/>
      <c r="AZ987" s="125"/>
      <c r="BA987" s="125"/>
      <c r="BB987" s="125"/>
      <c r="BC987" s="125"/>
      <c r="BD987" s="125"/>
      <c r="BE987" s="125"/>
      <c r="BF987" s="125"/>
    </row>
    <row r="988" spans="1:58" ht="15.75" customHeight="1">
      <c r="A988" s="125"/>
      <c r="B988" s="125"/>
      <c r="C988" s="125"/>
      <c r="D988" s="125"/>
      <c r="E988" s="125"/>
      <c r="F988" s="125"/>
      <c r="G988" s="125"/>
      <c r="H988" s="125"/>
      <c r="I988" s="125"/>
      <c r="J988" s="125"/>
      <c r="K988" s="125"/>
      <c r="L988" s="125"/>
      <c r="M988" s="125"/>
      <c r="N988" s="125"/>
      <c r="O988" s="125"/>
      <c r="P988" s="125"/>
      <c r="Q988" s="125"/>
      <c r="R988" s="125"/>
      <c r="S988" s="125"/>
      <c r="T988" s="125"/>
      <c r="U988" s="125"/>
      <c r="V988" s="125"/>
      <c r="W988" s="125"/>
      <c r="X988" s="125"/>
      <c r="Y988" s="125"/>
      <c r="Z988" s="125"/>
      <c r="AA988" s="125"/>
      <c r="AB988" s="125"/>
      <c r="AC988" s="125"/>
      <c r="AD988" s="125"/>
      <c r="AE988" s="125"/>
      <c r="AF988" s="125"/>
      <c r="AG988" s="125"/>
      <c r="AH988" s="125"/>
      <c r="AI988" s="125"/>
      <c r="AJ988" s="125"/>
      <c r="AK988" s="125"/>
      <c r="AL988" s="125"/>
      <c r="AM988" s="125"/>
      <c r="AN988" s="125"/>
      <c r="AO988" s="125"/>
      <c r="AP988" s="125"/>
      <c r="AQ988" s="125"/>
      <c r="AR988" s="125"/>
      <c r="AS988" s="125"/>
      <c r="AT988" s="125"/>
      <c r="AU988" s="125"/>
      <c r="AV988" s="125"/>
      <c r="AW988" s="125"/>
      <c r="AX988" s="125"/>
      <c r="AY988" s="125"/>
      <c r="AZ988" s="125"/>
      <c r="BA988" s="125"/>
      <c r="BB988" s="125"/>
      <c r="BC988" s="125"/>
      <c r="BD988" s="125"/>
      <c r="BE988" s="125"/>
      <c r="BF988" s="125"/>
    </row>
    <row r="989" spans="1:58" ht="15.75" customHeight="1">
      <c r="A989" s="125"/>
      <c r="B989" s="125"/>
      <c r="C989" s="125"/>
      <c r="D989" s="125"/>
      <c r="E989" s="125"/>
      <c r="F989" s="125"/>
      <c r="G989" s="125"/>
      <c r="H989" s="125"/>
      <c r="I989" s="125"/>
      <c r="J989" s="125"/>
      <c r="K989" s="125"/>
      <c r="L989" s="125"/>
      <c r="M989" s="125"/>
      <c r="N989" s="125"/>
      <c r="O989" s="125"/>
      <c r="P989" s="125"/>
      <c r="Q989" s="125"/>
      <c r="R989" s="125"/>
      <c r="S989" s="125"/>
      <c r="T989" s="125"/>
      <c r="U989" s="125"/>
      <c r="V989" s="125"/>
      <c r="W989" s="125"/>
      <c r="X989" s="125"/>
      <c r="Y989" s="125"/>
      <c r="Z989" s="125"/>
      <c r="AA989" s="125"/>
      <c r="AB989" s="125"/>
      <c r="AC989" s="125"/>
      <c r="AD989" s="125"/>
      <c r="AE989" s="125"/>
      <c r="AF989" s="125"/>
      <c r="AG989" s="125"/>
      <c r="AH989" s="125"/>
      <c r="AI989" s="125"/>
      <c r="AJ989" s="125"/>
      <c r="AK989" s="125"/>
      <c r="AL989" s="125"/>
      <c r="AM989" s="125"/>
      <c r="AN989" s="125"/>
      <c r="AO989" s="125"/>
      <c r="AP989" s="125"/>
      <c r="AQ989" s="125"/>
      <c r="AR989" s="125"/>
      <c r="AS989" s="125"/>
      <c r="AT989" s="125"/>
      <c r="AU989" s="125"/>
      <c r="AV989" s="125"/>
      <c r="AW989" s="125"/>
      <c r="AX989" s="125"/>
      <c r="AY989" s="125"/>
      <c r="AZ989" s="125"/>
      <c r="BA989" s="125"/>
      <c r="BB989" s="125"/>
      <c r="BC989" s="125"/>
      <c r="BD989" s="125"/>
      <c r="BE989" s="125"/>
      <c r="BF989" s="125"/>
    </row>
    <row r="990" spans="1:58" ht="15.75" customHeight="1">
      <c r="A990" s="125"/>
      <c r="B990" s="125"/>
      <c r="C990" s="125"/>
      <c r="D990" s="125"/>
      <c r="E990" s="125"/>
      <c r="F990" s="125"/>
      <c r="G990" s="125"/>
      <c r="H990" s="125"/>
      <c r="I990" s="125"/>
      <c r="J990" s="125"/>
      <c r="K990" s="125"/>
      <c r="L990" s="125"/>
      <c r="M990" s="125"/>
      <c r="N990" s="125"/>
      <c r="O990" s="125"/>
      <c r="P990" s="125"/>
      <c r="Q990" s="125"/>
      <c r="R990" s="125"/>
      <c r="S990" s="125"/>
      <c r="T990" s="125"/>
      <c r="U990" s="125"/>
      <c r="V990" s="125"/>
      <c r="W990" s="125"/>
      <c r="X990" s="125"/>
      <c r="Y990" s="125"/>
      <c r="Z990" s="125"/>
      <c r="AA990" s="125"/>
      <c r="AB990" s="125"/>
      <c r="AC990" s="125"/>
      <c r="AD990" s="125"/>
      <c r="AE990" s="125"/>
      <c r="AF990" s="125"/>
      <c r="AG990" s="125"/>
      <c r="AH990" s="125"/>
      <c r="AI990" s="125"/>
      <c r="AJ990" s="125"/>
      <c r="AK990" s="125"/>
      <c r="AL990" s="125"/>
      <c r="AM990" s="125"/>
      <c r="AN990" s="125"/>
      <c r="AO990" s="125"/>
      <c r="AP990" s="125"/>
      <c r="AQ990" s="125"/>
      <c r="AR990" s="125"/>
      <c r="AS990" s="125"/>
      <c r="AT990" s="125"/>
      <c r="AU990" s="125"/>
      <c r="AV990" s="125"/>
      <c r="AW990" s="125"/>
      <c r="AX990" s="125"/>
      <c r="AY990" s="125"/>
      <c r="AZ990" s="125"/>
      <c r="BA990" s="125"/>
      <c r="BB990" s="125"/>
      <c r="BC990" s="125"/>
      <c r="BD990" s="125"/>
      <c r="BE990" s="125"/>
      <c r="BF990" s="125"/>
    </row>
    <row r="991" spans="1:58" ht="15.75" customHeight="1">
      <c r="A991" s="125"/>
      <c r="B991" s="125"/>
      <c r="C991" s="125"/>
      <c r="D991" s="125"/>
      <c r="E991" s="125"/>
      <c r="F991" s="125"/>
      <c r="G991" s="125"/>
      <c r="H991" s="125"/>
      <c r="I991" s="125"/>
      <c r="J991" s="125"/>
      <c r="K991" s="125"/>
      <c r="L991" s="125"/>
      <c r="M991" s="125"/>
      <c r="N991" s="125"/>
      <c r="O991" s="125"/>
      <c r="P991" s="125"/>
      <c r="Q991" s="125"/>
      <c r="R991" s="125"/>
      <c r="S991" s="125"/>
      <c r="T991" s="125"/>
      <c r="U991" s="125"/>
      <c r="V991" s="125"/>
      <c r="W991" s="125"/>
      <c r="X991" s="125"/>
      <c r="Y991" s="125"/>
      <c r="Z991" s="125"/>
      <c r="AA991" s="125"/>
      <c r="AB991" s="125"/>
      <c r="AC991" s="125"/>
      <c r="AD991" s="125"/>
      <c r="AE991" s="125"/>
      <c r="AF991" s="125"/>
      <c r="AG991" s="125"/>
      <c r="AH991" s="125"/>
      <c r="AI991" s="125"/>
      <c r="AJ991" s="125"/>
      <c r="AK991" s="125"/>
      <c r="AL991" s="125"/>
      <c r="AM991" s="125"/>
      <c r="AN991" s="125"/>
      <c r="AO991" s="125"/>
      <c r="AP991" s="125"/>
      <c r="AQ991" s="125"/>
      <c r="AR991" s="125"/>
      <c r="AS991" s="125"/>
      <c r="AT991" s="125"/>
      <c r="AU991" s="125"/>
      <c r="AV991" s="125"/>
      <c r="AW991" s="125"/>
      <c r="AX991" s="125"/>
      <c r="AY991" s="125"/>
      <c r="AZ991" s="125"/>
      <c r="BA991" s="125"/>
      <c r="BB991" s="125"/>
      <c r="BC991" s="125"/>
      <c r="BD991" s="125"/>
      <c r="BE991" s="125"/>
      <c r="BF991" s="125"/>
    </row>
    <row r="992" spans="1:58" ht="15.75" customHeight="1">
      <c r="A992" s="125"/>
      <c r="B992" s="125"/>
      <c r="C992" s="125"/>
      <c r="D992" s="125"/>
      <c r="E992" s="125"/>
      <c r="F992" s="125"/>
      <c r="G992" s="125"/>
      <c r="H992" s="125"/>
      <c r="I992" s="125"/>
      <c r="J992" s="125"/>
      <c r="K992" s="125"/>
      <c r="L992" s="125"/>
      <c r="M992" s="125"/>
      <c r="N992" s="125"/>
      <c r="O992" s="125"/>
      <c r="P992" s="125"/>
      <c r="Q992" s="125"/>
      <c r="R992" s="125"/>
      <c r="S992" s="125"/>
      <c r="T992" s="125"/>
      <c r="U992" s="125"/>
      <c r="V992" s="125"/>
      <c r="W992" s="125"/>
      <c r="X992" s="125"/>
      <c r="Y992" s="125"/>
      <c r="Z992" s="125"/>
      <c r="AA992" s="125"/>
      <c r="AB992" s="125"/>
      <c r="AC992" s="125"/>
      <c r="AD992" s="125"/>
      <c r="AE992" s="125"/>
      <c r="AF992" s="125"/>
      <c r="AG992" s="125"/>
      <c r="AH992" s="125"/>
      <c r="AI992" s="125"/>
      <c r="AJ992" s="125"/>
      <c r="AK992" s="125"/>
      <c r="AL992" s="125"/>
      <c r="AM992" s="125"/>
      <c r="AN992" s="125"/>
      <c r="AO992" s="125"/>
      <c r="AP992" s="125"/>
      <c r="AQ992" s="125"/>
      <c r="AR992" s="125"/>
      <c r="AS992" s="125"/>
      <c r="AT992" s="125"/>
      <c r="AU992" s="125"/>
      <c r="AV992" s="125"/>
      <c r="AW992" s="125"/>
      <c r="AX992" s="125"/>
      <c r="AY992" s="125"/>
      <c r="AZ992" s="125"/>
      <c r="BA992" s="125"/>
      <c r="BB992" s="125"/>
      <c r="BC992" s="125"/>
      <c r="BD992" s="125"/>
      <c r="BE992" s="125"/>
      <c r="BF992" s="125"/>
    </row>
    <row r="993" spans="1:58" ht="15.75" customHeight="1">
      <c r="A993" s="125"/>
      <c r="B993" s="125"/>
      <c r="C993" s="125"/>
      <c r="D993" s="125"/>
      <c r="E993" s="125"/>
      <c r="F993" s="125"/>
      <c r="G993" s="125"/>
      <c r="H993" s="125"/>
      <c r="I993" s="125"/>
      <c r="J993" s="125"/>
      <c r="K993" s="125"/>
      <c r="L993" s="125"/>
      <c r="M993" s="125"/>
      <c r="N993" s="125"/>
      <c r="O993" s="125"/>
      <c r="P993" s="125"/>
      <c r="Q993" s="125"/>
      <c r="R993" s="125"/>
      <c r="S993" s="125"/>
      <c r="T993" s="125"/>
      <c r="U993" s="125"/>
      <c r="V993" s="125"/>
      <c r="W993" s="125"/>
      <c r="X993" s="125"/>
      <c r="Y993" s="125"/>
      <c r="Z993" s="125"/>
      <c r="AA993" s="125"/>
      <c r="AB993" s="125"/>
      <c r="AC993" s="125"/>
      <c r="AD993" s="125"/>
      <c r="AE993" s="125"/>
      <c r="AF993" s="125"/>
      <c r="AG993" s="125"/>
      <c r="AH993" s="125"/>
      <c r="AI993" s="125"/>
      <c r="AJ993" s="125"/>
      <c r="AK993" s="125"/>
      <c r="AL993" s="125"/>
      <c r="AM993" s="125"/>
      <c r="AN993" s="125"/>
      <c r="AO993" s="125"/>
      <c r="AP993" s="125"/>
      <c r="AQ993" s="125"/>
      <c r="AR993" s="125"/>
      <c r="AS993" s="125"/>
      <c r="AT993" s="125"/>
      <c r="AU993" s="125"/>
      <c r="AV993" s="125"/>
      <c r="AW993" s="125"/>
      <c r="AX993" s="125"/>
      <c r="AY993" s="125"/>
      <c r="AZ993" s="125"/>
      <c r="BA993" s="125"/>
      <c r="BB993" s="125"/>
      <c r="BC993" s="125"/>
      <c r="BD993" s="125"/>
      <c r="BE993" s="125"/>
      <c r="BF993" s="125"/>
    </row>
    <row r="994" spans="1:58" ht="15.75" customHeight="1">
      <c r="A994" s="125"/>
      <c r="B994" s="125"/>
      <c r="C994" s="125"/>
      <c r="D994" s="125"/>
      <c r="E994" s="125"/>
      <c r="F994" s="125"/>
      <c r="G994" s="125"/>
      <c r="H994" s="125"/>
      <c r="I994" s="125"/>
      <c r="J994" s="125"/>
      <c r="K994" s="125"/>
      <c r="L994" s="125"/>
      <c r="M994" s="125"/>
      <c r="N994" s="125"/>
      <c r="O994" s="125"/>
      <c r="P994" s="125"/>
      <c r="Q994" s="125"/>
      <c r="R994" s="125"/>
      <c r="S994" s="125"/>
      <c r="T994" s="125"/>
      <c r="U994" s="125"/>
      <c r="V994" s="125"/>
      <c r="W994" s="125"/>
      <c r="X994" s="125"/>
      <c r="Y994" s="125"/>
      <c r="Z994" s="125"/>
      <c r="AA994" s="125"/>
      <c r="AB994" s="125"/>
      <c r="AC994" s="125"/>
      <c r="AD994" s="125"/>
      <c r="AE994" s="125"/>
      <c r="AF994" s="125"/>
      <c r="AG994" s="125"/>
      <c r="AH994" s="125"/>
      <c r="AI994" s="125"/>
      <c r="AJ994" s="125"/>
      <c r="AK994" s="125"/>
      <c r="AL994" s="125"/>
      <c r="AM994" s="125"/>
      <c r="AN994" s="125"/>
      <c r="AO994" s="125"/>
      <c r="AP994" s="125"/>
      <c r="AQ994" s="125"/>
      <c r="AR994" s="125"/>
      <c r="AS994" s="125"/>
      <c r="AT994" s="125"/>
      <c r="AU994" s="125"/>
      <c r="AV994" s="125"/>
      <c r="AW994" s="125"/>
      <c r="AX994" s="125"/>
      <c r="AY994" s="125"/>
      <c r="AZ994" s="125"/>
      <c r="BA994" s="125"/>
      <c r="BB994" s="125"/>
      <c r="BC994" s="125"/>
      <c r="BD994" s="125"/>
      <c r="BE994" s="125"/>
      <c r="BF994" s="125"/>
    </row>
    <row r="995" spans="1:58" ht="15.75" customHeight="1">
      <c r="A995" s="125"/>
      <c r="B995" s="125"/>
      <c r="C995" s="125"/>
      <c r="D995" s="125"/>
      <c r="E995" s="125"/>
      <c r="F995" s="125"/>
      <c r="G995" s="125"/>
      <c r="H995" s="125"/>
      <c r="I995" s="125"/>
      <c r="J995" s="125"/>
      <c r="K995" s="125"/>
      <c r="L995" s="125"/>
      <c r="M995" s="125"/>
      <c r="N995" s="125"/>
      <c r="O995" s="125"/>
      <c r="P995" s="125"/>
      <c r="Q995" s="125"/>
      <c r="R995" s="125"/>
      <c r="S995" s="125"/>
      <c r="T995" s="125"/>
      <c r="U995" s="125"/>
      <c r="V995" s="125"/>
      <c r="W995" s="125"/>
      <c r="X995" s="125"/>
      <c r="Y995" s="125"/>
      <c r="Z995" s="125"/>
      <c r="AA995" s="125"/>
      <c r="AB995" s="125"/>
      <c r="AC995" s="125"/>
      <c r="AD995" s="125"/>
      <c r="AE995" s="125"/>
      <c r="AF995" s="125"/>
      <c r="AG995" s="125"/>
      <c r="AH995" s="125"/>
      <c r="AI995" s="125"/>
      <c r="AJ995" s="125"/>
      <c r="AK995" s="125"/>
      <c r="AL995" s="125"/>
      <c r="AM995" s="125"/>
      <c r="AN995" s="125"/>
      <c r="AO995" s="125"/>
      <c r="AP995" s="125"/>
      <c r="AQ995" s="125"/>
      <c r="AR995" s="125"/>
      <c r="AS995" s="125"/>
      <c r="AT995" s="125"/>
      <c r="AU995" s="125"/>
      <c r="AV995" s="125"/>
      <c r="AW995" s="125"/>
      <c r="AX995" s="125"/>
      <c r="AY995" s="125"/>
      <c r="AZ995" s="125"/>
      <c r="BA995" s="125"/>
      <c r="BB995" s="125"/>
      <c r="BC995" s="125"/>
      <c r="BD995" s="125"/>
      <c r="BE995" s="125"/>
      <c r="BF995" s="125"/>
    </row>
    <row r="996" spans="1:58" ht="15.75" customHeight="1">
      <c r="A996" s="125"/>
      <c r="B996" s="125"/>
      <c r="C996" s="125"/>
      <c r="D996" s="125"/>
      <c r="E996" s="125"/>
      <c r="F996" s="125"/>
      <c r="G996" s="125"/>
      <c r="H996" s="125"/>
      <c r="I996" s="125"/>
      <c r="J996" s="125"/>
      <c r="K996" s="125"/>
      <c r="L996" s="125"/>
      <c r="M996" s="125"/>
      <c r="N996" s="125"/>
      <c r="O996" s="125"/>
      <c r="P996" s="125"/>
      <c r="Q996" s="125"/>
      <c r="R996" s="125"/>
      <c r="S996" s="125"/>
      <c r="T996" s="125"/>
      <c r="U996" s="125"/>
      <c r="V996" s="125"/>
      <c r="W996" s="125"/>
      <c r="X996" s="125"/>
      <c r="Y996" s="125"/>
      <c r="Z996" s="125"/>
      <c r="AA996" s="125"/>
      <c r="AB996" s="125"/>
      <c r="AC996" s="125"/>
      <c r="AD996" s="125"/>
      <c r="AE996" s="125"/>
      <c r="AF996" s="125"/>
      <c r="AG996" s="125"/>
      <c r="AH996" s="125"/>
      <c r="AI996" s="125"/>
      <c r="AJ996" s="125"/>
      <c r="AK996" s="125"/>
      <c r="AL996" s="125"/>
      <c r="AM996" s="125"/>
      <c r="AN996" s="125"/>
      <c r="AO996" s="125"/>
      <c r="AP996" s="125"/>
      <c r="AQ996" s="125"/>
      <c r="AR996" s="125"/>
      <c r="AS996" s="125"/>
      <c r="AT996" s="125"/>
      <c r="AU996" s="125"/>
      <c r="AV996" s="125"/>
      <c r="AW996" s="125"/>
      <c r="AX996" s="125"/>
      <c r="AY996" s="125"/>
      <c r="AZ996" s="125"/>
      <c r="BA996" s="125"/>
      <c r="BB996" s="125"/>
      <c r="BC996" s="125"/>
      <c r="BD996" s="125"/>
      <c r="BE996" s="125"/>
      <c r="BF996" s="125"/>
    </row>
    <row r="997" spans="1:58" ht="15.75" customHeight="1">
      <c r="A997" s="125"/>
      <c r="B997" s="125"/>
      <c r="C997" s="125"/>
      <c r="D997" s="125"/>
      <c r="E997" s="125"/>
      <c r="F997" s="125"/>
      <c r="G997" s="125"/>
      <c r="H997" s="125"/>
      <c r="I997" s="125"/>
      <c r="J997" s="125"/>
      <c r="K997" s="125"/>
      <c r="L997" s="125"/>
      <c r="M997" s="125"/>
      <c r="N997" s="125"/>
      <c r="O997" s="125"/>
      <c r="P997" s="125"/>
      <c r="Q997" s="125"/>
      <c r="R997" s="125"/>
      <c r="S997" s="125"/>
      <c r="T997" s="125"/>
      <c r="U997" s="125"/>
      <c r="V997" s="125"/>
      <c r="W997" s="125"/>
      <c r="X997" s="125"/>
      <c r="Y997" s="125"/>
      <c r="Z997" s="125"/>
      <c r="AA997" s="125"/>
      <c r="AB997" s="125"/>
      <c r="AC997" s="125"/>
      <c r="AD997" s="125"/>
      <c r="AE997" s="125"/>
      <c r="AF997" s="125"/>
      <c r="AG997" s="125"/>
      <c r="AH997" s="125"/>
      <c r="AI997" s="125"/>
      <c r="AJ997" s="125"/>
      <c r="AK997" s="125"/>
      <c r="AL997" s="125"/>
      <c r="AM997" s="125"/>
      <c r="AN997" s="125"/>
      <c r="AO997" s="125"/>
      <c r="AP997" s="125"/>
      <c r="AQ997" s="125"/>
      <c r="AR997" s="125"/>
      <c r="AS997" s="125"/>
      <c r="AT997" s="125"/>
      <c r="AU997" s="125"/>
      <c r="AV997" s="125"/>
      <c r="AW997" s="125"/>
      <c r="AX997" s="125"/>
      <c r="AY997" s="125"/>
      <c r="AZ997" s="125"/>
      <c r="BA997" s="125"/>
      <c r="BB997" s="125"/>
      <c r="BC997" s="125"/>
      <c r="BD997" s="125"/>
      <c r="BE997" s="125"/>
      <c r="BF997" s="125"/>
    </row>
    <row r="998" spans="1:58" ht="15.75" customHeight="1">
      <c r="A998" s="125"/>
      <c r="B998" s="125"/>
      <c r="C998" s="125"/>
      <c r="D998" s="125"/>
      <c r="E998" s="125"/>
      <c r="F998" s="125"/>
      <c r="G998" s="125"/>
      <c r="H998" s="125"/>
      <c r="I998" s="125"/>
      <c r="J998" s="125"/>
      <c r="K998" s="125"/>
      <c r="L998" s="125"/>
      <c r="M998" s="125"/>
      <c r="N998" s="125"/>
      <c r="O998" s="125"/>
      <c r="P998" s="125"/>
      <c r="Q998" s="125"/>
      <c r="R998" s="125"/>
      <c r="S998" s="125"/>
      <c r="T998" s="125"/>
      <c r="U998" s="125"/>
      <c r="V998" s="125"/>
      <c r="W998" s="125"/>
      <c r="X998" s="125"/>
      <c r="Y998" s="125"/>
      <c r="Z998" s="125"/>
      <c r="AA998" s="125"/>
      <c r="AB998" s="125"/>
      <c r="AC998" s="125"/>
      <c r="AD998" s="125"/>
      <c r="AE998" s="125"/>
      <c r="AF998" s="125"/>
      <c r="AG998" s="125"/>
      <c r="AH998" s="125"/>
      <c r="AI998" s="125"/>
      <c r="AJ998" s="125"/>
      <c r="AK998" s="125"/>
      <c r="AL998" s="125"/>
      <c r="AM998" s="125"/>
      <c r="AN998" s="125"/>
      <c r="AO998" s="125"/>
      <c r="AP998" s="125"/>
      <c r="AQ998" s="125"/>
      <c r="AR998" s="125"/>
      <c r="AS998" s="125"/>
      <c r="AT998" s="125"/>
      <c r="AU998" s="125"/>
      <c r="AV998" s="125"/>
      <c r="AW998" s="125"/>
      <c r="AX998" s="125"/>
      <c r="AY998" s="125"/>
      <c r="AZ998" s="125"/>
      <c r="BA998" s="125"/>
      <c r="BB998" s="125"/>
      <c r="BC998" s="125"/>
      <c r="BD998" s="125"/>
      <c r="BE998" s="125"/>
      <c r="BF998" s="125"/>
    </row>
    <row r="999" spans="1:58" ht="15.75" customHeight="1">
      <c r="A999" s="125"/>
      <c r="B999" s="125"/>
      <c r="C999" s="125"/>
      <c r="D999" s="125"/>
      <c r="E999" s="125"/>
      <c r="F999" s="125"/>
      <c r="G999" s="125"/>
      <c r="H999" s="125"/>
      <c r="I999" s="125"/>
      <c r="J999" s="125"/>
      <c r="K999" s="125"/>
      <c r="L999" s="125"/>
      <c r="M999" s="125"/>
      <c r="N999" s="125"/>
      <c r="O999" s="125"/>
      <c r="P999" s="125"/>
      <c r="Q999" s="125"/>
      <c r="R999" s="125"/>
      <c r="S999" s="125"/>
      <c r="T999" s="125"/>
      <c r="U999" s="125"/>
      <c r="V999" s="125"/>
      <c r="W999" s="125"/>
      <c r="X999" s="125"/>
      <c r="Y999" s="125"/>
      <c r="Z999" s="125"/>
      <c r="AA999" s="125"/>
      <c r="AB999" s="125"/>
      <c r="AC999" s="125"/>
      <c r="AD999" s="125"/>
      <c r="AE999" s="125"/>
      <c r="AF999" s="125"/>
      <c r="AG999" s="125"/>
      <c r="AH999" s="125"/>
      <c r="AI999" s="125"/>
      <c r="AJ999" s="125"/>
      <c r="AK999" s="125"/>
      <c r="AL999" s="125"/>
      <c r="AM999" s="125"/>
      <c r="AN999" s="125"/>
      <c r="AO999" s="125"/>
      <c r="AP999" s="125"/>
      <c r="AQ999" s="125"/>
      <c r="AR999" s="125"/>
      <c r="AS999" s="125"/>
      <c r="AT999" s="125"/>
      <c r="AU999" s="125"/>
      <c r="AV999" s="125"/>
      <c r="AW999" s="125"/>
      <c r="AX999" s="125"/>
      <c r="AY999" s="125"/>
      <c r="AZ999" s="125"/>
      <c r="BA999" s="125"/>
      <c r="BB999" s="125"/>
      <c r="BC999" s="125"/>
      <c r="BD999" s="125"/>
      <c r="BE999" s="125"/>
      <c r="BF999" s="125"/>
    </row>
    <row r="1000" spans="1:58" ht="15.75" customHeight="1">
      <c r="A1000" s="125"/>
      <c r="B1000" s="125"/>
      <c r="C1000" s="125"/>
      <c r="D1000" s="125"/>
      <c r="E1000" s="125"/>
      <c r="F1000" s="125"/>
      <c r="G1000" s="125"/>
      <c r="H1000" s="125"/>
      <c r="I1000" s="125"/>
      <c r="J1000" s="125"/>
      <c r="K1000" s="125"/>
      <c r="L1000" s="125"/>
      <c r="M1000" s="125"/>
      <c r="N1000" s="125"/>
      <c r="O1000" s="125"/>
      <c r="P1000" s="125"/>
      <c r="Q1000" s="125"/>
      <c r="R1000" s="125"/>
      <c r="S1000" s="125"/>
      <c r="T1000" s="125"/>
      <c r="U1000" s="125"/>
      <c r="V1000" s="125"/>
      <c r="W1000" s="125"/>
      <c r="X1000" s="125"/>
      <c r="Y1000" s="125"/>
      <c r="Z1000" s="125"/>
      <c r="AA1000" s="125"/>
      <c r="AB1000" s="125"/>
      <c r="AC1000" s="125"/>
      <c r="AD1000" s="125"/>
      <c r="AE1000" s="125"/>
      <c r="AF1000" s="125"/>
      <c r="AG1000" s="125"/>
      <c r="AH1000" s="125"/>
      <c r="AI1000" s="125"/>
      <c r="AJ1000" s="125"/>
      <c r="AK1000" s="125"/>
      <c r="AL1000" s="125"/>
      <c r="AM1000" s="125"/>
      <c r="AN1000" s="125"/>
      <c r="AO1000" s="125"/>
      <c r="AP1000" s="125"/>
      <c r="AQ1000" s="125"/>
      <c r="AR1000" s="125"/>
      <c r="AS1000" s="125"/>
      <c r="AT1000" s="125"/>
      <c r="AU1000" s="125"/>
      <c r="AV1000" s="125"/>
      <c r="AW1000" s="125"/>
      <c r="AX1000" s="125"/>
      <c r="AY1000" s="125"/>
      <c r="AZ1000" s="125"/>
      <c r="BA1000" s="125"/>
      <c r="BB1000" s="125"/>
      <c r="BC1000" s="125"/>
      <c r="BD1000" s="125"/>
      <c r="BE1000" s="125"/>
      <c r="BF1000" s="125"/>
    </row>
    <row r="1001" spans="1:58" ht="15.75" customHeight="1">
      <c r="A1001" s="125"/>
      <c r="B1001" s="125"/>
      <c r="C1001" s="125"/>
      <c r="D1001" s="125"/>
      <c r="E1001" s="125"/>
      <c r="F1001" s="125"/>
      <c r="G1001" s="125"/>
      <c r="H1001" s="125"/>
      <c r="I1001" s="125"/>
      <c r="J1001" s="125"/>
      <c r="K1001" s="125"/>
      <c r="L1001" s="125"/>
      <c r="M1001" s="125"/>
      <c r="N1001" s="125"/>
      <c r="O1001" s="125"/>
      <c r="P1001" s="125"/>
      <c r="Q1001" s="125"/>
      <c r="R1001" s="125"/>
      <c r="S1001" s="125"/>
      <c r="T1001" s="125"/>
      <c r="U1001" s="125"/>
      <c r="V1001" s="125"/>
      <c r="W1001" s="125"/>
      <c r="X1001" s="125"/>
      <c r="Y1001" s="125"/>
      <c r="Z1001" s="125"/>
      <c r="AA1001" s="125"/>
      <c r="AB1001" s="125"/>
      <c r="AC1001" s="125"/>
      <c r="AD1001" s="125"/>
      <c r="AE1001" s="125"/>
      <c r="AF1001" s="125"/>
      <c r="AG1001" s="125"/>
      <c r="AH1001" s="125"/>
      <c r="AI1001" s="125"/>
      <c r="AJ1001" s="125"/>
      <c r="AK1001" s="125"/>
      <c r="AL1001" s="125"/>
      <c r="AM1001" s="125"/>
      <c r="AN1001" s="125"/>
      <c r="AO1001" s="125"/>
      <c r="AP1001" s="125"/>
      <c r="AQ1001" s="125"/>
      <c r="AR1001" s="125"/>
      <c r="AS1001" s="125"/>
      <c r="AT1001" s="125"/>
      <c r="AU1001" s="125"/>
      <c r="AV1001" s="125"/>
      <c r="AW1001" s="125"/>
      <c r="AX1001" s="125"/>
      <c r="AY1001" s="125"/>
      <c r="AZ1001" s="125"/>
      <c r="BA1001" s="125"/>
      <c r="BB1001" s="125"/>
      <c r="BC1001" s="125"/>
      <c r="BD1001" s="125"/>
      <c r="BE1001" s="125"/>
      <c r="BF1001" s="125"/>
    </row>
    <row r="1002" spans="1:58" ht="15.75" customHeight="1">
      <c r="A1002" s="125"/>
      <c r="B1002" s="125"/>
      <c r="C1002" s="125"/>
      <c r="D1002" s="125"/>
      <c r="E1002" s="125"/>
      <c r="F1002" s="125"/>
      <c r="G1002" s="125"/>
      <c r="H1002" s="125"/>
      <c r="I1002" s="125"/>
      <c r="J1002" s="125"/>
      <c r="K1002" s="125"/>
      <c r="L1002" s="125"/>
      <c r="M1002" s="125"/>
      <c r="N1002" s="125"/>
      <c r="O1002" s="125"/>
      <c r="P1002" s="125"/>
      <c r="Q1002" s="125"/>
      <c r="R1002" s="125"/>
      <c r="S1002" s="125"/>
      <c r="T1002" s="125"/>
      <c r="U1002" s="125"/>
      <c r="V1002" s="125"/>
      <c r="W1002" s="125"/>
      <c r="X1002" s="125"/>
      <c r="Y1002" s="125"/>
      <c r="Z1002" s="125"/>
      <c r="AA1002" s="125"/>
      <c r="AB1002" s="125"/>
      <c r="AC1002" s="125"/>
      <c r="AD1002" s="125"/>
      <c r="AE1002" s="125"/>
      <c r="AF1002" s="125"/>
      <c r="AG1002" s="125"/>
      <c r="AH1002" s="125"/>
      <c r="AI1002" s="125"/>
      <c r="AJ1002" s="125"/>
      <c r="AK1002" s="125"/>
      <c r="AL1002" s="125"/>
      <c r="AM1002" s="125"/>
      <c r="AN1002" s="125"/>
      <c r="AO1002" s="125"/>
      <c r="AP1002" s="125"/>
      <c r="AQ1002" s="125"/>
      <c r="AR1002" s="125"/>
      <c r="AS1002" s="125"/>
      <c r="AT1002" s="125"/>
      <c r="AU1002" s="125"/>
      <c r="AV1002" s="125"/>
      <c r="AW1002" s="125"/>
      <c r="AX1002" s="125"/>
      <c r="AY1002" s="125"/>
      <c r="AZ1002" s="125"/>
      <c r="BA1002" s="125"/>
      <c r="BB1002" s="125"/>
      <c r="BC1002" s="125"/>
      <c r="BD1002" s="125"/>
      <c r="BE1002" s="125"/>
      <c r="BF1002" s="125"/>
    </row>
    <row r="1003" spans="1:58" ht="15.75" customHeight="1">
      <c r="A1003" s="125"/>
      <c r="B1003" s="125"/>
      <c r="C1003" s="125"/>
      <c r="D1003" s="125"/>
      <c r="E1003" s="125"/>
      <c r="F1003" s="125"/>
      <c r="G1003" s="125"/>
      <c r="H1003" s="125"/>
      <c r="I1003" s="125"/>
      <c r="J1003" s="125"/>
      <c r="K1003" s="125"/>
      <c r="L1003" s="125"/>
      <c r="M1003" s="125"/>
      <c r="N1003" s="125"/>
      <c r="O1003" s="125"/>
      <c r="P1003" s="125"/>
      <c r="Q1003" s="125"/>
      <c r="R1003" s="125"/>
      <c r="S1003" s="125"/>
      <c r="T1003" s="125"/>
      <c r="U1003" s="125"/>
      <c r="V1003" s="125"/>
      <c r="W1003" s="125"/>
      <c r="X1003" s="125"/>
      <c r="Y1003" s="125"/>
      <c r="Z1003" s="125"/>
      <c r="AA1003" s="125"/>
      <c r="AB1003" s="125"/>
      <c r="AC1003" s="125"/>
      <c r="AD1003" s="125"/>
      <c r="AE1003" s="125"/>
      <c r="AF1003" s="125"/>
      <c r="AG1003" s="125"/>
      <c r="AH1003" s="125"/>
      <c r="AI1003" s="125"/>
      <c r="AJ1003" s="125"/>
      <c r="AK1003" s="125"/>
      <c r="AL1003" s="125"/>
      <c r="AM1003" s="125"/>
      <c r="AN1003" s="125"/>
      <c r="AO1003" s="125"/>
      <c r="AP1003" s="125"/>
      <c r="AQ1003" s="125"/>
      <c r="AR1003" s="125"/>
      <c r="AS1003" s="125"/>
      <c r="AT1003" s="125"/>
      <c r="AU1003" s="125"/>
      <c r="AV1003" s="125"/>
      <c r="AW1003" s="125"/>
      <c r="AX1003" s="125"/>
      <c r="AY1003" s="125"/>
      <c r="AZ1003" s="125"/>
      <c r="BA1003" s="125"/>
      <c r="BB1003" s="125"/>
      <c r="BC1003" s="125"/>
      <c r="BD1003" s="125"/>
      <c r="BE1003" s="125"/>
      <c r="BF1003" s="125"/>
    </row>
    <row r="1004" spans="1:58" ht="15.75" customHeight="1">
      <c r="A1004" s="125"/>
      <c r="B1004" s="125"/>
      <c r="C1004" s="125"/>
      <c r="D1004" s="125"/>
      <c r="E1004" s="125"/>
      <c r="F1004" s="125"/>
      <c r="G1004" s="125"/>
      <c r="H1004" s="125"/>
      <c r="I1004" s="125"/>
      <c r="J1004" s="125"/>
      <c r="K1004" s="125"/>
      <c r="L1004" s="125"/>
      <c r="M1004" s="125"/>
      <c r="N1004" s="125"/>
      <c r="O1004" s="125"/>
      <c r="P1004" s="125"/>
      <c r="Q1004" s="125"/>
      <c r="R1004" s="125"/>
      <c r="S1004" s="125"/>
      <c r="T1004" s="125"/>
      <c r="U1004" s="125"/>
      <c r="V1004" s="125"/>
      <c r="W1004" s="125"/>
      <c r="X1004" s="125"/>
      <c r="Y1004" s="125"/>
      <c r="Z1004" s="125"/>
      <c r="AA1004" s="125"/>
      <c r="AB1004" s="125"/>
      <c r="AC1004" s="125"/>
      <c r="AD1004" s="125"/>
      <c r="AE1004" s="125"/>
      <c r="AF1004" s="125"/>
      <c r="AG1004" s="125"/>
      <c r="AH1004" s="125"/>
      <c r="AI1004" s="125"/>
      <c r="AJ1004" s="125"/>
      <c r="AK1004" s="125"/>
      <c r="AL1004" s="125"/>
      <c r="AM1004" s="125"/>
      <c r="AN1004" s="125"/>
      <c r="AO1004" s="125"/>
      <c r="AP1004" s="125"/>
      <c r="AQ1004" s="125"/>
      <c r="AR1004" s="125"/>
      <c r="AS1004" s="125"/>
      <c r="AT1004" s="125"/>
      <c r="AU1004" s="125"/>
      <c r="AV1004" s="125"/>
      <c r="AW1004" s="125"/>
      <c r="AX1004" s="125"/>
      <c r="AY1004" s="125"/>
      <c r="AZ1004" s="125"/>
      <c r="BA1004" s="125"/>
      <c r="BB1004" s="125"/>
      <c r="BC1004" s="125"/>
      <c r="BD1004" s="125"/>
      <c r="BE1004" s="125"/>
      <c r="BF1004" s="125"/>
    </row>
    <row r="1005" spans="1:58" ht="15.75" customHeight="1">
      <c r="A1005" s="125"/>
      <c r="B1005" s="125"/>
      <c r="C1005" s="125"/>
      <c r="D1005" s="125"/>
      <c r="E1005" s="125"/>
      <c r="F1005" s="125"/>
      <c r="G1005" s="125"/>
      <c r="H1005" s="125"/>
      <c r="I1005" s="125"/>
      <c r="J1005" s="125"/>
      <c r="K1005" s="125"/>
      <c r="L1005" s="125"/>
      <c r="M1005" s="125"/>
      <c r="N1005" s="125"/>
      <c r="O1005" s="125"/>
      <c r="P1005" s="125"/>
      <c r="Q1005" s="125"/>
      <c r="R1005" s="125"/>
      <c r="S1005" s="125"/>
      <c r="T1005" s="125"/>
      <c r="U1005" s="125"/>
      <c r="V1005" s="125"/>
      <c r="W1005" s="125"/>
      <c r="X1005" s="125"/>
      <c r="Y1005" s="125"/>
      <c r="Z1005" s="125"/>
      <c r="AA1005" s="125"/>
      <c r="AB1005" s="125"/>
      <c r="AC1005" s="125"/>
      <c r="AD1005" s="125"/>
      <c r="AE1005" s="125"/>
      <c r="AF1005" s="125"/>
      <c r="AG1005" s="125"/>
      <c r="AH1005" s="125"/>
      <c r="AI1005" s="125"/>
      <c r="AJ1005" s="125"/>
      <c r="AK1005" s="125"/>
      <c r="AL1005" s="125"/>
      <c r="AM1005" s="125"/>
      <c r="AN1005" s="125"/>
      <c r="AO1005" s="125"/>
      <c r="AP1005" s="125"/>
      <c r="AQ1005" s="125"/>
      <c r="AR1005" s="125"/>
      <c r="AS1005" s="125"/>
      <c r="AT1005" s="125"/>
      <c r="AU1005" s="125"/>
      <c r="AV1005" s="125"/>
      <c r="AW1005" s="125"/>
      <c r="AX1005" s="125"/>
      <c r="AY1005" s="125"/>
      <c r="AZ1005" s="125"/>
      <c r="BA1005" s="125"/>
      <c r="BB1005" s="125"/>
      <c r="BC1005" s="125"/>
      <c r="BD1005" s="125"/>
      <c r="BE1005" s="125"/>
      <c r="BF1005" s="125"/>
    </row>
    <row r="1006" spans="1:58" ht="15.75" customHeight="1">
      <c r="A1006" s="125"/>
      <c r="B1006" s="125"/>
      <c r="C1006" s="125"/>
      <c r="D1006" s="125"/>
      <c r="E1006" s="125"/>
      <c r="F1006" s="125"/>
      <c r="G1006" s="125"/>
      <c r="H1006" s="125"/>
      <c r="I1006" s="125"/>
      <c r="J1006" s="125"/>
      <c r="K1006" s="125"/>
      <c r="L1006" s="125"/>
      <c r="M1006" s="125"/>
      <c r="N1006" s="125"/>
      <c r="O1006" s="125"/>
      <c r="P1006" s="125"/>
      <c r="Q1006" s="125"/>
      <c r="R1006" s="125"/>
      <c r="S1006" s="125"/>
      <c r="T1006" s="125"/>
      <c r="U1006" s="125"/>
      <c r="V1006" s="125"/>
      <c r="W1006" s="125"/>
      <c r="X1006" s="125"/>
      <c r="Y1006" s="125"/>
      <c r="Z1006" s="125"/>
      <c r="AA1006" s="125"/>
      <c r="AB1006" s="125"/>
      <c r="AC1006" s="125"/>
      <c r="AD1006" s="125"/>
      <c r="AE1006" s="125"/>
      <c r="AF1006" s="125"/>
      <c r="AG1006" s="125"/>
      <c r="AH1006" s="125"/>
      <c r="AI1006" s="125"/>
      <c r="AJ1006" s="125"/>
      <c r="AK1006" s="125"/>
      <c r="AL1006" s="125"/>
      <c r="AM1006" s="125"/>
      <c r="AN1006" s="125"/>
      <c r="AO1006" s="125"/>
      <c r="AP1006" s="125"/>
      <c r="AQ1006" s="125"/>
      <c r="AR1006" s="125"/>
      <c r="AS1006" s="125"/>
      <c r="AT1006" s="125"/>
      <c r="AU1006" s="125"/>
      <c r="AV1006" s="125"/>
      <c r="AW1006" s="125"/>
      <c r="AX1006" s="125"/>
      <c r="AY1006" s="125"/>
      <c r="AZ1006" s="125"/>
      <c r="BA1006" s="125"/>
      <c r="BB1006" s="125"/>
      <c r="BC1006" s="125"/>
      <c r="BD1006" s="125"/>
      <c r="BE1006" s="125"/>
      <c r="BF1006" s="125"/>
    </row>
    <row r="1007" spans="1:58" ht="15.75" customHeight="1">
      <c r="A1007" s="125"/>
      <c r="B1007" s="125"/>
      <c r="C1007" s="125"/>
      <c r="D1007" s="125"/>
      <c r="E1007" s="125"/>
      <c r="F1007" s="125"/>
      <c r="G1007" s="125"/>
      <c r="H1007" s="125"/>
      <c r="I1007" s="125"/>
      <c r="J1007" s="125"/>
      <c r="K1007" s="125"/>
      <c r="L1007" s="125"/>
      <c r="M1007" s="125"/>
      <c r="N1007" s="125"/>
      <c r="O1007" s="125"/>
      <c r="P1007" s="125"/>
      <c r="Q1007" s="125"/>
      <c r="R1007" s="125"/>
      <c r="S1007" s="125"/>
      <c r="T1007" s="125"/>
      <c r="U1007" s="125"/>
      <c r="V1007" s="125"/>
      <c r="W1007" s="125"/>
      <c r="X1007" s="125"/>
      <c r="Y1007" s="125"/>
      <c r="Z1007" s="125"/>
      <c r="AA1007" s="125"/>
      <c r="AB1007" s="125"/>
      <c r="AC1007" s="125"/>
      <c r="AD1007" s="125"/>
      <c r="AE1007" s="125"/>
      <c r="AF1007" s="125"/>
      <c r="AG1007" s="125"/>
      <c r="AH1007" s="125"/>
      <c r="AI1007" s="125"/>
      <c r="AJ1007" s="125"/>
      <c r="AK1007" s="125"/>
      <c r="AL1007" s="125"/>
      <c r="AM1007" s="125"/>
      <c r="AN1007" s="125"/>
      <c r="AO1007" s="125"/>
      <c r="AP1007" s="125"/>
      <c r="AQ1007" s="125"/>
      <c r="AR1007" s="125"/>
      <c r="AS1007" s="125"/>
      <c r="AT1007" s="125"/>
      <c r="AU1007" s="125"/>
      <c r="AV1007" s="125"/>
      <c r="AW1007" s="125"/>
      <c r="AX1007" s="125"/>
      <c r="AY1007" s="125"/>
      <c r="AZ1007" s="125"/>
      <c r="BA1007" s="125"/>
      <c r="BB1007" s="125"/>
      <c r="BC1007" s="125"/>
      <c r="BD1007" s="125"/>
      <c r="BE1007" s="125"/>
      <c r="BF1007" s="125"/>
    </row>
    <row r="1008" spans="1:58" ht="15.75" customHeight="1">
      <c r="A1008" s="125"/>
      <c r="B1008" s="125"/>
      <c r="C1008" s="125"/>
      <c r="D1008" s="125"/>
      <c r="E1008" s="125"/>
      <c r="F1008" s="125"/>
      <c r="G1008" s="125"/>
      <c r="H1008" s="125"/>
      <c r="I1008" s="125"/>
      <c r="J1008" s="125"/>
      <c r="K1008" s="125"/>
      <c r="L1008" s="125"/>
      <c r="M1008" s="125"/>
      <c r="N1008" s="125"/>
      <c r="O1008" s="125"/>
      <c r="P1008" s="125"/>
      <c r="Q1008" s="125"/>
      <c r="R1008" s="125"/>
      <c r="S1008" s="125"/>
      <c r="T1008" s="125"/>
      <c r="U1008" s="125"/>
      <c r="V1008" s="125"/>
      <c r="W1008" s="125"/>
      <c r="X1008" s="125"/>
      <c r="Y1008" s="125"/>
      <c r="Z1008" s="125"/>
      <c r="AA1008" s="125"/>
      <c r="AB1008" s="125"/>
      <c r="AC1008" s="125"/>
      <c r="AD1008" s="125"/>
      <c r="AE1008" s="125"/>
      <c r="AF1008" s="125"/>
      <c r="AG1008" s="125"/>
      <c r="AH1008" s="125"/>
      <c r="AI1008" s="125"/>
      <c r="AJ1008" s="125"/>
      <c r="AK1008" s="125"/>
      <c r="AL1008" s="125"/>
      <c r="AM1008" s="125"/>
      <c r="AN1008" s="125"/>
      <c r="AO1008" s="125"/>
      <c r="AP1008" s="125"/>
      <c r="AQ1008" s="125"/>
      <c r="AR1008" s="125"/>
      <c r="AS1008" s="125"/>
      <c r="AT1008" s="125"/>
      <c r="AU1008" s="125"/>
      <c r="AV1008" s="125"/>
      <c r="AW1008" s="125"/>
      <c r="AX1008" s="125"/>
      <c r="AY1008" s="125"/>
      <c r="AZ1008" s="125"/>
      <c r="BA1008" s="125"/>
      <c r="BB1008" s="125"/>
      <c r="BC1008" s="125"/>
      <c r="BD1008" s="125"/>
      <c r="BE1008" s="125"/>
      <c r="BF1008" s="125"/>
    </row>
    <row r="1009" spans="1:58" ht="15.75" customHeight="1">
      <c r="A1009" s="125"/>
      <c r="B1009" s="125"/>
      <c r="C1009" s="125"/>
      <c r="D1009" s="125"/>
      <c r="E1009" s="125"/>
      <c r="F1009" s="125"/>
      <c r="G1009" s="125"/>
      <c r="H1009" s="125"/>
      <c r="I1009" s="125"/>
      <c r="J1009" s="125"/>
      <c r="K1009" s="125"/>
      <c r="L1009" s="125"/>
      <c r="M1009" s="125"/>
      <c r="N1009" s="125"/>
      <c r="O1009" s="125"/>
      <c r="P1009" s="125"/>
      <c r="Q1009" s="125"/>
      <c r="R1009" s="125"/>
      <c r="S1009" s="125"/>
      <c r="T1009" s="125"/>
      <c r="U1009" s="125"/>
      <c r="V1009" s="125"/>
      <c r="W1009" s="125"/>
      <c r="X1009" s="125"/>
      <c r="Y1009" s="125"/>
      <c r="Z1009" s="125"/>
      <c r="AA1009" s="125"/>
      <c r="AB1009" s="125"/>
      <c r="AC1009" s="125"/>
      <c r="AD1009" s="125"/>
      <c r="AE1009" s="125"/>
      <c r="AF1009" s="125"/>
      <c r="AG1009" s="125"/>
      <c r="AH1009" s="125"/>
      <c r="AI1009" s="125"/>
      <c r="AJ1009" s="125"/>
      <c r="AK1009" s="125"/>
      <c r="AL1009" s="125"/>
      <c r="AM1009" s="125"/>
      <c r="AN1009" s="125"/>
      <c r="AO1009" s="125"/>
      <c r="AP1009" s="125"/>
      <c r="AQ1009" s="125"/>
      <c r="AR1009" s="125"/>
      <c r="AS1009" s="125"/>
      <c r="AT1009" s="125"/>
      <c r="AU1009" s="125"/>
      <c r="AV1009" s="125"/>
      <c r="AW1009" s="125"/>
      <c r="AX1009" s="125"/>
      <c r="AY1009" s="125"/>
      <c r="AZ1009" s="125"/>
      <c r="BA1009" s="125"/>
      <c r="BB1009" s="125"/>
      <c r="BC1009" s="125"/>
      <c r="BD1009" s="125"/>
      <c r="BE1009" s="125"/>
      <c r="BF1009" s="125"/>
    </row>
    <row r="1010" spans="1:58" ht="15.75" customHeight="1">
      <c r="A1010" s="125"/>
      <c r="B1010" s="125"/>
      <c r="C1010" s="125"/>
      <c r="D1010" s="125"/>
      <c r="E1010" s="125"/>
      <c r="F1010" s="125"/>
      <c r="G1010" s="125"/>
      <c r="H1010" s="125"/>
      <c r="I1010" s="125"/>
      <c r="J1010" s="125"/>
      <c r="K1010" s="125"/>
      <c r="L1010" s="125"/>
      <c r="M1010" s="125"/>
      <c r="N1010" s="125"/>
      <c r="O1010" s="125"/>
      <c r="P1010" s="125"/>
      <c r="Q1010" s="125"/>
      <c r="R1010" s="125"/>
      <c r="S1010" s="125"/>
      <c r="T1010" s="125"/>
      <c r="U1010" s="125"/>
      <c r="V1010" s="125"/>
      <c r="W1010" s="125"/>
      <c r="X1010" s="125"/>
      <c r="Y1010" s="125"/>
      <c r="Z1010" s="125"/>
      <c r="AA1010" s="125"/>
      <c r="AB1010" s="125"/>
      <c r="AC1010" s="125"/>
      <c r="AD1010" s="125"/>
      <c r="AE1010" s="125"/>
      <c r="AF1010" s="125"/>
      <c r="AG1010" s="125"/>
      <c r="AH1010" s="125"/>
      <c r="AI1010" s="125"/>
      <c r="AJ1010" s="125"/>
      <c r="AK1010" s="125"/>
      <c r="AL1010" s="125"/>
      <c r="AM1010" s="125"/>
      <c r="AN1010" s="125"/>
      <c r="AO1010" s="125"/>
      <c r="AP1010" s="125"/>
      <c r="AQ1010" s="125"/>
      <c r="AR1010" s="125"/>
      <c r="AS1010" s="125"/>
      <c r="AT1010" s="125"/>
      <c r="AU1010" s="125"/>
      <c r="AV1010" s="125"/>
      <c r="AW1010" s="125"/>
      <c r="AX1010" s="125"/>
      <c r="AY1010" s="125"/>
      <c r="AZ1010" s="125"/>
      <c r="BA1010" s="125"/>
      <c r="BB1010" s="125"/>
      <c r="BC1010" s="125"/>
      <c r="BD1010" s="125"/>
      <c r="BE1010" s="125"/>
      <c r="BF1010" s="125"/>
    </row>
    <row r="1011" spans="1:58" ht="15.75" customHeight="1">
      <c r="A1011" s="125"/>
      <c r="B1011" s="125"/>
      <c r="C1011" s="125"/>
      <c r="D1011" s="125"/>
      <c r="E1011" s="125"/>
      <c r="F1011" s="125"/>
      <c r="G1011" s="125"/>
      <c r="H1011" s="125"/>
      <c r="I1011" s="125"/>
      <c r="J1011" s="125"/>
      <c r="K1011" s="125"/>
      <c r="L1011" s="125"/>
      <c r="M1011" s="125"/>
      <c r="N1011" s="125"/>
      <c r="O1011" s="125"/>
      <c r="P1011" s="125"/>
      <c r="Q1011" s="125"/>
      <c r="R1011" s="125"/>
      <c r="S1011" s="125"/>
      <c r="T1011" s="125"/>
      <c r="U1011" s="125"/>
      <c r="V1011" s="125"/>
      <c r="W1011" s="125"/>
      <c r="X1011" s="125"/>
      <c r="Y1011" s="125"/>
      <c r="Z1011" s="125"/>
      <c r="AA1011" s="125"/>
      <c r="AB1011" s="125"/>
      <c r="AC1011" s="125"/>
      <c r="AD1011" s="125"/>
      <c r="AE1011" s="125"/>
      <c r="AF1011" s="125"/>
      <c r="AG1011" s="125"/>
      <c r="AH1011" s="125"/>
      <c r="AI1011" s="125"/>
      <c r="AJ1011" s="125"/>
      <c r="AK1011" s="125"/>
      <c r="AL1011" s="125"/>
      <c r="AM1011" s="125"/>
      <c r="AN1011" s="125"/>
      <c r="AO1011" s="125"/>
      <c r="AP1011" s="125"/>
      <c r="AQ1011" s="125"/>
      <c r="AR1011" s="125"/>
      <c r="AS1011" s="125"/>
      <c r="AT1011" s="125"/>
      <c r="AU1011" s="125"/>
      <c r="AV1011" s="125"/>
      <c r="AW1011" s="125"/>
      <c r="AX1011" s="125"/>
      <c r="AY1011" s="125"/>
      <c r="AZ1011" s="125"/>
      <c r="BA1011" s="125"/>
      <c r="BB1011" s="125"/>
      <c r="BC1011" s="125"/>
      <c r="BD1011" s="125"/>
      <c r="BE1011" s="125"/>
      <c r="BF1011" s="125"/>
    </row>
    <row r="1012" spans="1:58" ht="15.75" customHeight="1">
      <c r="A1012" s="125"/>
      <c r="B1012" s="125"/>
      <c r="C1012" s="125"/>
      <c r="D1012" s="125"/>
      <c r="E1012" s="125"/>
      <c r="F1012" s="125"/>
      <c r="G1012" s="125"/>
      <c r="H1012" s="125"/>
      <c r="I1012" s="125"/>
      <c r="J1012" s="125"/>
      <c r="K1012" s="125"/>
      <c r="L1012" s="125"/>
      <c r="M1012" s="125"/>
      <c r="N1012" s="125"/>
      <c r="O1012" s="125"/>
      <c r="P1012" s="125"/>
      <c r="Q1012" s="125"/>
      <c r="R1012" s="125"/>
      <c r="S1012" s="125"/>
      <c r="T1012" s="125"/>
      <c r="U1012" s="125"/>
      <c r="V1012" s="125"/>
      <c r="W1012" s="125"/>
      <c r="X1012" s="125"/>
      <c r="Y1012" s="125"/>
      <c r="Z1012" s="125"/>
      <c r="AA1012" s="125"/>
      <c r="AB1012" s="125"/>
      <c r="AC1012" s="125"/>
      <c r="AD1012" s="125"/>
      <c r="AE1012" s="125"/>
      <c r="AF1012" s="125"/>
      <c r="AG1012" s="125"/>
      <c r="AH1012" s="125"/>
      <c r="AI1012" s="125"/>
      <c r="AJ1012" s="125"/>
      <c r="AK1012" s="125"/>
      <c r="AL1012" s="125"/>
      <c r="AM1012" s="125"/>
      <c r="AN1012" s="125"/>
      <c r="AO1012" s="125"/>
      <c r="AP1012" s="125"/>
      <c r="AQ1012" s="125"/>
      <c r="AR1012" s="125"/>
      <c r="AS1012" s="125"/>
      <c r="AT1012" s="125"/>
      <c r="AU1012" s="125"/>
      <c r="AV1012" s="125"/>
      <c r="AW1012" s="125"/>
      <c r="AX1012" s="125"/>
      <c r="AY1012" s="125"/>
      <c r="AZ1012" s="125"/>
      <c r="BA1012" s="125"/>
      <c r="BB1012" s="125"/>
      <c r="BC1012" s="125"/>
      <c r="BD1012" s="125"/>
      <c r="BE1012" s="125"/>
      <c r="BF1012" s="125"/>
    </row>
    <row r="1013" spans="1:58" ht="15.75" customHeight="1">
      <c r="A1013" s="125"/>
      <c r="B1013" s="125"/>
      <c r="C1013" s="125"/>
      <c r="D1013" s="125"/>
      <c r="E1013" s="125"/>
      <c r="F1013" s="125"/>
      <c r="G1013" s="125"/>
      <c r="H1013" s="125"/>
      <c r="I1013" s="125"/>
      <c r="J1013" s="125"/>
      <c r="K1013" s="125"/>
      <c r="L1013" s="125"/>
      <c r="M1013" s="125"/>
      <c r="N1013" s="125"/>
      <c r="O1013" s="125"/>
      <c r="P1013" s="125"/>
      <c r="Q1013" s="125"/>
      <c r="R1013" s="125"/>
      <c r="S1013" s="125"/>
      <c r="T1013" s="125"/>
      <c r="U1013" s="125"/>
      <c r="V1013" s="125"/>
      <c r="W1013" s="125"/>
      <c r="X1013" s="125"/>
      <c r="Y1013" s="125"/>
      <c r="Z1013" s="125"/>
      <c r="AA1013" s="125"/>
      <c r="AB1013" s="125"/>
      <c r="AC1013" s="125"/>
      <c r="AD1013" s="125"/>
      <c r="AE1013" s="125"/>
      <c r="AF1013" s="125"/>
      <c r="AG1013" s="125"/>
      <c r="AH1013" s="125"/>
      <c r="AI1013" s="125"/>
      <c r="AJ1013" s="125"/>
      <c r="AK1013" s="125"/>
      <c r="AL1013" s="125"/>
      <c r="AM1013" s="125"/>
      <c r="AN1013" s="125"/>
      <c r="AO1013" s="125"/>
      <c r="AP1013" s="125"/>
      <c r="AQ1013" s="125"/>
      <c r="AR1013" s="125"/>
      <c r="AS1013" s="125"/>
      <c r="AT1013" s="125"/>
      <c r="AU1013" s="125"/>
      <c r="AV1013" s="125"/>
      <c r="AW1013" s="125"/>
      <c r="AX1013" s="125"/>
      <c r="AY1013" s="125"/>
      <c r="AZ1013" s="125"/>
      <c r="BA1013" s="125"/>
      <c r="BB1013" s="125"/>
      <c r="BC1013" s="125"/>
      <c r="BD1013" s="125"/>
      <c r="BE1013" s="125"/>
      <c r="BF1013" s="125"/>
    </row>
    <row r="1014" spans="1:58" ht="15.75" customHeight="1">
      <c r="A1014" s="125"/>
      <c r="B1014" s="125"/>
      <c r="C1014" s="125"/>
      <c r="D1014" s="125"/>
      <c r="E1014" s="125"/>
      <c r="F1014" s="125"/>
      <c r="G1014" s="125"/>
      <c r="H1014" s="125"/>
      <c r="I1014" s="125"/>
      <c r="J1014" s="125"/>
      <c r="K1014" s="125"/>
      <c r="L1014" s="125"/>
      <c r="M1014" s="125"/>
      <c r="N1014" s="125"/>
      <c r="O1014" s="125"/>
      <c r="P1014" s="125"/>
      <c r="Q1014" s="125"/>
      <c r="R1014" s="125"/>
      <c r="S1014" s="125"/>
      <c r="T1014" s="125"/>
      <c r="U1014" s="125"/>
      <c r="V1014" s="125"/>
      <c r="W1014" s="125"/>
      <c r="X1014" s="125"/>
      <c r="Y1014" s="125"/>
      <c r="Z1014" s="125"/>
      <c r="AA1014" s="125"/>
      <c r="AB1014" s="125"/>
      <c r="AC1014" s="125"/>
      <c r="AD1014" s="125"/>
      <c r="AE1014" s="125"/>
      <c r="AF1014" s="125"/>
      <c r="AG1014" s="125"/>
      <c r="AH1014" s="125"/>
      <c r="AI1014" s="125"/>
      <c r="AJ1014" s="125"/>
      <c r="AK1014" s="125"/>
      <c r="AL1014" s="125"/>
      <c r="AM1014" s="125"/>
      <c r="AN1014" s="125"/>
      <c r="AO1014" s="125"/>
      <c r="AP1014" s="125"/>
      <c r="AQ1014" s="125"/>
      <c r="AR1014" s="125"/>
      <c r="AS1014" s="125"/>
      <c r="AT1014" s="125"/>
      <c r="AU1014" s="125"/>
      <c r="AV1014" s="125"/>
      <c r="AW1014" s="125"/>
      <c r="AX1014" s="125"/>
      <c r="AY1014" s="125"/>
      <c r="AZ1014" s="125"/>
      <c r="BA1014" s="125"/>
      <c r="BB1014" s="125"/>
      <c r="BC1014" s="125"/>
      <c r="BD1014" s="125"/>
      <c r="BE1014" s="125"/>
      <c r="BF1014" s="125"/>
    </row>
    <row r="1015" spans="1:58" ht="15.75" customHeight="1">
      <c r="A1015" s="125"/>
      <c r="B1015" s="125"/>
      <c r="C1015" s="125"/>
      <c r="D1015" s="125"/>
      <c r="E1015" s="125"/>
      <c r="F1015" s="125"/>
      <c r="G1015" s="125"/>
      <c r="H1015" s="125"/>
      <c r="I1015" s="125"/>
      <c r="J1015" s="125"/>
      <c r="K1015" s="125"/>
      <c r="L1015" s="125"/>
      <c r="M1015" s="125"/>
      <c r="N1015" s="125"/>
      <c r="O1015" s="125"/>
      <c r="P1015" s="125"/>
      <c r="Q1015" s="125"/>
      <c r="R1015" s="125"/>
      <c r="S1015" s="125"/>
      <c r="T1015" s="125"/>
      <c r="U1015" s="125"/>
      <c r="V1015" s="125"/>
      <c r="W1015" s="125"/>
      <c r="X1015" s="125"/>
      <c r="Y1015" s="125"/>
      <c r="Z1015" s="125"/>
      <c r="AA1015" s="125"/>
      <c r="AB1015" s="125"/>
      <c r="AC1015" s="125"/>
      <c r="AD1015" s="125"/>
      <c r="AE1015" s="125"/>
      <c r="AF1015" s="125"/>
      <c r="AG1015" s="125"/>
      <c r="AH1015" s="125"/>
      <c r="AI1015" s="125"/>
      <c r="AJ1015" s="125"/>
      <c r="AK1015" s="125"/>
      <c r="AL1015" s="125"/>
      <c r="AM1015" s="125"/>
      <c r="AN1015" s="125"/>
      <c r="AO1015" s="125"/>
      <c r="AP1015" s="125"/>
      <c r="AQ1015" s="125"/>
      <c r="AR1015" s="125"/>
      <c r="AS1015" s="125"/>
      <c r="AT1015" s="125"/>
      <c r="AU1015" s="125"/>
      <c r="AV1015" s="125"/>
      <c r="AW1015" s="125"/>
      <c r="AX1015" s="125"/>
      <c r="AY1015" s="125"/>
      <c r="AZ1015" s="125"/>
      <c r="BA1015" s="125"/>
      <c r="BB1015" s="125"/>
      <c r="BC1015" s="125"/>
      <c r="BD1015" s="125"/>
      <c r="BE1015" s="125"/>
      <c r="BF1015" s="125"/>
    </row>
    <row r="1016" spans="1:58" ht="15.75" customHeight="1">
      <c r="A1016" s="125"/>
      <c r="B1016" s="125"/>
      <c r="C1016" s="125"/>
      <c r="D1016" s="125"/>
      <c r="E1016" s="125"/>
      <c r="F1016" s="125"/>
      <c r="G1016" s="125"/>
      <c r="H1016" s="125"/>
      <c r="I1016" s="125"/>
      <c r="J1016" s="125"/>
      <c r="K1016" s="125"/>
      <c r="L1016" s="125"/>
      <c r="M1016" s="125"/>
      <c r="N1016" s="125"/>
      <c r="O1016" s="125"/>
      <c r="P1016" s="125"/>
      <c r="Q1016" s="125"/>
      <c r="R1016" s="125"/>
      <c r="S1016" s="125"/>
      <c r="T1016" s="125"/>
      <c r="U1016" s="125"/>
      <c r="V1016" s="125"/>
      <c r="W1016" s="125"/>
      <c r="X1016" s="125"/>
      <c r="Y1016" s="125"/>
      <c r="Z1016" s="125"/>
      <c r="AA1016" s="125"/>
      <c r="AB1016" s="125"/>
      <c r="AC1016" s="125"/>
      <c r="AD1016" s="125"/>
      <c r="AE1016" s="125"/>
      <c r="AF1016" s="125"/>
      <c r="AG1016" s="125"/>
      <c r="AH1016" s="125"/>
      <c r="AI1016" s="125"/>
      <c r="AJ1016" s="125"/>
      <c r="AK1016" s="125"/>
      <c r="AL1016" s="125"/>
      <c r="AM1016" s="125"/>
      <c r="AN1016" s="125"/>
      <c r="AO1016" s="125"/>
      <c r="AP1016" s="125"/>
      <c r="AQ1016" s="125"/>
      <c r="AR1016" s="125"/>
      <c r="AS1016" s="125"/>
      <c r="AT1016" s="125"/>
      <c r="AU1016" s="125"/>
      <c r="AV1016" s="125"/>
      <c r="AW1016" s="125"/>
      <c r="AX1016" s="125"/>
      <c r="AY1016" s="125"/>
      <c r="AZ1016" s="125"/>
      <c r="BA1016" s="125"/>
      <c r="BB1016" s="125"/>
      <c r="BC1016" s="125"/>
      <c r="BD1016" s="125"/>
      <c r="BE1016" s="125"/>
      <c r="BF1016" s="125"/>
    </row>
    <row r="1017" spans="1:58" ht="15.75" customHeight="1">
      <c r="A1017" s="125"/>
      <c r="B1017" s="125"/>
      <c r="C1017" s="125"/>
      <c r="D1017" s="125"/>
      <c r="E1017" s="125"/>
      <c r="F1017" s="125"/>
      <c r="G1017" s="125"/>
      <c r="H1017" s="125"/>
      <c r="I1017" s="125"/>
      <c r="J1017" s="125"/>
      <c r="K1017" s="125"/>
      <c r="L1017" s="125"/>
      <c r="M1017" s="125"/>
      <c r="N1017" s="125"/>
      <c r="O1017" s="125"/>
      <c r="P1017" s="125"/>
      <c r="Q1017" s="125"/>
      <c r="R1017" s="125"/>
      <c r="S1017" s="125"/>
      <c r="T1017" s="125"/>
      <c r="U1017" s="125"/>
      <c r="V1017" s="125"/>
      <c r="W1017" s="125"/>
      <c r="X1017" s="125"/>
      <c r="Y1017" s="125"/>
      <c r="Z1017" s="125"/>
      <c r="AA1017" s="125"/>
      <c r="AB1017" s="125"/>
      <c r="AC1017" s="125"/>
      <c r="AD1017" s="125"/>
      <c r="AE1017" s="125"/>
      <c r="AF1017" s="125"/>
      <c r="AG1017" s="125"/>
      <c r="AH1017" s="125"/>
      <c r="AI1017" s="125"/>
      <c r="AJ1017" s="125"/>
      <c r="AK1017" s="125"/>
      <c r="AL1017" s="125"/>
      <c r="AM1017" s="125"/>
      <c r="AN1017" s="125"/>
      <c r="AO1017" s="125"/>
      <c r="AP1017" s="125"/>
      <c r="AQ1017" s="125"/>
      <c r="AR1017" s="125"/>
      <c r="AS1017" s="125"/>
      <c r="AT1017" s="125"/>
      <c r="AU1017" s="125"/>
      <c r="AV1017" s="125"/>
      <c r="AW1017" s="125"/>
      <c r="AX1017" s="125"/>
      <c r="AY1017" s="125"/>
      <c r="AZ1017" s="125"/>
      <c r="BA1017" s="125"/>
      <c r="BB1017" s="125"/>
      <c r="BC1017" s="125"/>
      <c r="BD1017" s="125"/>
      <c r="BE1017" s="125"/>
      <c r="BF1017" s="125"/>
    </row>
    <row r="1018" spans="1:58" ht="15.75" customHeight="1">
      <c r="A1018" s="125"/>
      <c r="B1018" s="125"/>
      <c r="C1018" s="125"/>
      <c r="D1018" s="125"/>
      <c r="E1018" s="125"/>
      <c r="F1018" s="125"/>
      <c r="G1018" s="125"/>
      <c r="H1018" s="125"/>
      <c r="I1018" s="125"/>
      <c r="J1018" s="125"/>
      <c r="K1018" s="125"/>
      <c r="L1018" s="125"/>
      <c r="M1018" s="125"/>
      <c r="N1018" s="125"/>
      <c r="O1018" s="125"/>
      <c r="P1018" s="125"/>
      <c r="Q1018" s="125"/>
      <c r="R1018" s="125"/>
      <c r="S1018" s="125"/>
      <c r="T1018" s="125"/>
      <c r="U1018" s="125"/>
      <c r="V1018" s="125"/>
      <c r="W1018" s="125"/>
      <c r="X1018" s="125"/>
      <c r="Y1018" s="125"/>
      <c r="Z1018" s="125"/>
      <c r="AA1018" s="125"/>
      <c r="AB1018" s="125"/>
      <c r="AC1018" s="125"/>
      <c r="AD1018" s="125"/>
      <c r="AE1018" s="125"/>
      <c r="AF1018" s="125"/>
      <c r="AG1018" s="125"/>
      <c r="AH1018" s="125"/>
      <c r="AI1018" s="125"/>
      <c r="AJ1018" s="125"/>
      <c r="AK1018" s="125"/>
      <c r="AL1018" s="125"/>
      <c r="AM1018" s="125"/>
      <c r="AN1018" s="125"/>
      <c r="AO1018" s="125"/>
      <c r="AP1018" s="125"/>
      <c r="AQ1018" s="125"/>
      <c r="AR1018" s="125"/>
      <c r="AS1018" s="125"/>
      <c r="AT1018" s="125"/>
      <c r="AU1018" s="125"/>
      <c r="AV1018" s="125"/>
      <c r="AW1018" s="125"/>
      <c r="AX1018" s="125"/>
      <c r="AY1018" s="125"/>
      <c r="AZ1018" s="125"/>
      <c r="BA1018" s="125"/>
      <c r="BB1018" s="125"/>
      <c r="BC1018" s="125"/>
      <c r="BD1018" s="125"/>
      <c r="BE1018" s="125"/>
      <c r="BF1018" s="125"/>
    </row>
    <row r="1019" spans="1:58" ht="15.75" customHeight="1">
      <c r="A1019" s="125"/>
      <c r="B1019" s="125"/>
      <c r="C1019" s="125"/>
      <c r="D1019" s="125"/>
      <c r="E1019" s="125"/>
      <c r="F1019" s="125"/>
      <c r="G1019" s="125"/>
      <c r="H1019" s="125"/>
      <c r="I1019" s="125"/>
      <c r="J1019" s="125"/>
      <c r="K1019" s="125"/>
      <c r="L1019" s="125"/>
      <c r="M1019" s="125"/>
      <c r="N1019" s="125"/>
      <c r="O1019" s="125"/>
      <c r="P1019" s="125"/>
      <c r="Q1019" s="125"/>
      <c r="R1019" s="125"/>
      <c r="S1019" s="125"/>
      <c r="T1019" s="125"/>
      <c r="U1019" s="125"/>
      <c r="V1019" s="125"/>
      <c r="W1019" s="125"/>
      <c r="X1019" s="125"/>
      <c r="Y1019" s="125"/>
      <c r="Z1019" s="125"/>
      <c r="AA1019" s="125"/>
      <c r="AB1019" s="125"/>
      <c r="AC1019" s="125"/>
      <c r="AD1019" s="125"/>
      <c r="AE1019" s="125"/>
      <c r="AF1019" s="125"/>
      <c r="AG1019" s="125"/>
      <c r="AH1019" s="125"/>
      <c r="AI1019" s="125"/>
      <c r="AJ1019" s="125"/>
      <c r="AK1019" s="125"/>
      <c r="AL1019" s="125"/>
      <c r="AM1019" s="125"/>
      <c r="AN1019" s="125"/>
      <c r="AO1019" s="125"/>
      <c r="AP1019" s="125"/>
      <c r="AQ1019" s="125"/>
      <c r="AR1019" s="125"/>
      <c r="AS1019" s="125"/>
      <c r="AT1019" s="125"/>
      <c r="AU1019" s="125"/>
      <c r="AV1019" s="125"/>
      <c r="AW1019" s="125"/>
      <c r="AX1019" s="125"/>
      <c r="AY1019" s="125"/>
      <c r="AZ1019" s="125"/>
      <c r="BA1019" s="125"/>
      <c r="BB1019" s="125"/>
      <c r="BC1019" s="125"/>
      <c r="BD1019" s="125"/>
      <c r="BE1019" s="125"/>
      <c r="BF1019" s="125"/>
    </row>
    <row r="1020" spans="1:58" ht="15.75" customHeight="1">
      <c r="A1020" s="125"/>
      <c r="B1020" s="125"/>
      <c r="C1020" s="125"/>
      <c r="D1020" s="125"/>
      <c r="E1020" s="125"/>
      <c r="F1020" s="125"/>
      <c r="G1020" s="125"/>
      <c r="H1020" s="125"/>
      <c r="I1020" s="125"/>
      <c r="J1020" s="125"/>
      <c r="K1020" s="125"/>
      <c r="L1020" s="125"/>
      <c r="M1020" s="125"/>
      <c r="N1020" s="125"/>
      <c r="O1020" s="125"/>
      <c r="P1020" s="125"/>
      <c r="Q1020" s="125"/>
      <c r="R1020" s="125"/>
      <c r="S1020" s="125"/>
      <c r="T1020" s="125"/>
      <c r="U1020" s="125"/>
      <c r="V1020" s="125"/>
      <c r="W1020" s="125"/>
      <c r="X1020" s="125"/>
      <c r="Y1020" s="125"/>
      <c r="Z1020" s="125"/>
      <c r="AA1020" s="125"/>
      <c r="AB1020" s="125"/>
      <c r="AC1020" s="125"/>
      <c r="AD1020" s="125"/>
      <c r="AE1020" s="125"/>
      <c r="AF1020" s="125"/>
      <c r="AG1020" s="125"/>
      <c r="AH1020" s="125"/>
      <c r="AI1020" s="125"/>
      <c r="AJ1020" s="125"/>
      <c r="AK1020" s="125"/>
      <c r="AL1020" s="125"/>
      <c r="AM1020" s="125"/>
      <c r="AN1020" s="125"/>
      <c r="AO1020" s="125"/>
      <c r="AP1020" s="125"/>
      <c r="AQ1020" s="125"/>
      <c r="AR1020" s="125"/>
      <c r="AS1020" s="125"/>
      <c r="AT1020" s="125"/>
      <c r="AU1020" s="125"/>
      <c r="AV1020" s="125"/>
      <c r="AW1020" s="125"/>
      <c r="AX1020" s="125"/>
      <c r="AY1020" s="125"/>
      <c r="AZ1020" s="125"/>
      <c r="BA1020" s="125"/>
      <c r="BB1020" s="125"/>
      <c r="BC1020" s="125"/>
      <c r="BD1020" s="125"/>
      <c r="BE1020" s="125"/>
      <c r="BF1020" s="125"/>
    </row>
    <row r="1021" spans="1:58" ht="15.75" customHeight="1">
      <c r="A1021" s="125"/>
      <c r="B1021" s="125"/>
      <c r="C1021" s="125"/>
      <c r="D1021" s="125"/>
      <c r="E1021" s="125"/>
      <c r="F1021" s="125"/>
      <c r="G1021" s="125"/>
      <c r="H1021" s="125"/>
      <c r="I1021" s="125"/>
      <c r="J1021" s="125"/>
      <c r="K1021" s="125"/>
      <c r="L1021" s="125"/>
      <c r="M1021" s="125"/>
      <c r="N1021" s="125"/>
      <c r="O1021" s="125"/>
      <c r="P1021" s="125"/>
      <c r="Q1021" s="125"/>
      <c r="R1021" s="125"/>
      <c r="S1021" s="125"/>
      <c r="T1021" s="125"/>
      <c r="U1021" s="125"/>
      <c r="V1021" s="125"/>
      <c r="W1021" s="125"/>
      <c r="X1021" s="125"/>
      <c r="Y1021" s="125"/>
      <c r="Z1021" s="125"/>
      <c r="AA1021" s="125"/>
      <c r="AB1021" s="125"/>
      <c r="AC1021" s="125"/>
      <c r="AD1021" s="125"/>
      <c r="AE1021" s="125"/>
      <c r="AF1021" s="125"/>
      <c r="AG1021" s="125"/>
      <c r="AH1021" s="125"/>
      <c r="AI1021" s="125"/>
      <c r="AJ1021" s="125"/>
      <c r="AK1021" s="125"/>
      <c r="AL1021" s="125"/>
      <c r="AM1021" s="125"/>
      <c r="AN1021" s="125"/>
      <c r="AO1021" s="125"/>
      <c r="AP1021" s="125"/>
      <c r="AQ1021" s="125"/>
      <c r="AR1021" s="125"/>
      <c r="AS1021" s="125"/>
      <c r="AT1021" s="125"/>
      <c r="AU1021" s="125"/>
      <c r="AV1021" s="125"/>
      <c r="AW1021" s="125"/>
      <c r="AX1021" s="125"/>
      <c r="AY1021" s="125"/>
      <c r="AZ1021" s="125"/>
      <c r="BA1021" s="125"/>
      <c r="BB1021" s="125"/>
      <c r="BC1021" s="125"/>
      <c r="BD1021" s="125"/>
      <c r="BE1021" s="125"/>
      <c r="BF1021" s="125"/>
    </row>
    <row r="1022" spans="1:58" ht="15.75" customHeight="1">
      <c r="A1022" s="125"/>
      <c r="B1022" s="125"/>
      <c r="C1022" s="125"/>
      <c r="D1022" s="125"/>
      <c r="E1022" s="125"/>
      <c r="F1022" s="125"/>
      <c r="G1022" s="125"/>
      <c r="H1022" s="125"/>
      <c r="I1022" s="125"/>
      <c r="J1022" s="125"/>
      <c r="K1022" s="125"/>
      <c r="L1022" s="125"/>
      <c r="M1022" s="125"/>
      <c r="N1022" s="125"/>
      <c r="O1022" s="125"/>
      <c r="P1022" s="125"/>
      <c r="Q1022" s="125"/>
      <c r="R1022" s="125"/>
      <c r="S1022" s="125"/>
      <c r="T1022" s="125"/>
      <c r="U1022" s="125"/>
      <c r="V1022" s="125"/>
      <c r="W1022" s="125"/>
      <c r="X1022" s="125"/>
      <c r="Y1022" s="125"/>
      <c r="Z1022" s="125"/>
      <c r="AA1022" s="125"/>
      <c r="AB1022" s="125"/>
      <c r="AC1022" s="125"/>
      <c r="AD1022" s="125"/>
      <c r="AE1022" s="125"/>
      <c r="AF1022" s="125"/>
      <c r="AG1022" s="125"/>
      <c r="AH1022" s="125"/>
      <c r="AI1022" s="125"/>
      <c r="AJ1022" s="125"/>
      <c r="AK1022" s="125"/>
      <c r="AL1022" s="125"/>
      <c r="AM1022" s="125"/>
      <c r="AN1022" s="125"/>
      <c r="AO1022" s="125"/>
      <c r="AP1022" s="125"/>
      <c r="AQ1022" s="125"/>
      <c r="AR1022" s="125"/>
      <c r="AS1022" s="125"/>
      <c r="AT1022" s="125"/>
      <c r="AU1022" s="125"/>
      <c r="AV1022" s="125"/>
      <c r="AW1022" s="125"/>
      <c r="AX1022" s="125"/>
      <c r="AY1022" s="125"/>
      <c r="AZ1022" s="125"/>
      <c r="BA1022" s="125"/>
      <c r="BB1022" s="125"/>
      <c r="BC1022" s="125"/>
      <c r="BD1022" s="125"/>
      <c r="BE1022" s="125"/>
      <c r="BF1022" s="125"/>
    </row>
    <row r="1023" spans="1:58" ht="15.75" customHeight="1">
      <c r="A1023" s="125"/>
      <c r="B1023" s="125"/>
      <c r="C1023" s="125"/>
      <c r="D1023" s="125"/>
      <c r="E1023" s="125"/>
      <c r="F1023" s="125"/>
      <c r="G1023" s="125"/>
      <c r="H1023" s="125"/>
      <c r="I1023" s="125"/>
      <c r="J1023" s="125"/>
      <c r="K1023" s="125"/>
      <c r="L1023" s="125"/>
      <c r="M1023" s="125"/>
      <c r="N1023" s="125"/>
      <c r="O1023" s="125"/>
      <c r="P1023" s="125"/>
      <c r="Q1023" s="125"/>
      <c r="R1023" s="125"/>
      <c r="S1023" s="125"/>
      <c r="T1023" s="125"/>
      <c r="U1023" s="125"/>
      <c r="V1023" s="125"/>
      <c r="W1023" s="125"/>
      <c r="X1023" s="125"/>
      <c r="Y1023" s="125"/>
      <c r="Z1023" s="125"/>
      <c r="AA1023" s="125"/>
      <c r="AB1023" s="125"/>
      <c r="AC1023" s="125"/>
      <c r="AD1023" s="125"/>
      <c r="AE1023" s="125"/>
      <c r="AF1023" s="125"/>
      <c r="AG1023" s="125"/>
      <c r="AH1023" s="125"/>
      <c r="AI1023" s="125"/>
      <c r="AJ1023" s="125"/>
      <c r="AK1023" s="125"/>
      <c r="AL1023" s="125"/>
      <c r="AM1023" s="125"/>
      <c r="AN1023" s="125"/>
      <c r="AO1023" s="125"/>
      <c r="AP1023" s="125"/>
      <c r="AQ1023" s="125"/>
      <c r="AR1023" s="125"/>
      <c r="AS1023" s="125"/>
      <c r="AT1023" s="125"/>
      <c r="AU1023" s="125"/>
      <c r="AV1023" s="125"/>
      <c r="AW1023" s="125"/>
      <c r="AX1023" s="125"/>
      <c r="AY1023" s="125"/>
      <c r="AZ1023" s="125"/>
      <c r="BA1023" s="125"/>
      <c r="BB1023" s="125"/>
      <c r="BC1023" s="125"/>
      <c r="BD1023" s="125"/>
      <c r="BE1023" s="125"/>
      <c r="BF1023" s="125"/>
    </row>
    <row r="1024" spans="1:58" ht="15.75" customHeight="1">
      <c r="A1024" s="125"/>
      <c r="B1024" s="125"/>
      <c r="C1024" s="125"/>
      <c r="D1024" s="125"/>
      <c r="E1024" s="125"/>
      <c r="F1024" s="125"/>
      <c r="G1024" s="125"/>
      <c r="H1024" s="125"/>
      <c r="I1024" s="125"/>
      <c r="J1024" s="125"/>
      <c r="K1024" s="125"/>
      <c r="L1024" s="125"/>
      <c r="M1024" s="125"/>
      <c r="N1024" s="125"/>
      <c r="O1024" s="125"/>
      <c r="P1024" s="125"/>
      <c r="Q1024" s="125"/>
      <c r="R1024" s="125"/>
      <c r="S1024" s="125"/>
      <c r="T1024" s="125"/>
      <c r="U1024" s="125"/>
      <c r="V1024" s="125"/>
      <c r="W1024" s="125"/>
      <c r="X1024" s="125"/>
      <c r="Y1024" s="125"/>
      <c r="Z1024" s="125"/>
      <c r="AA1024" s="125"/>
      <c r="AB1024" s="125"/>
      <c r="AC1024" s="125"/>
      <c r="AD1024" s="125"/>
      <c r="AE1024" s="125"/>
      <c r="AF1024" s="125"/>
      <c r="AG1024" s="125"/>
      <c r="AH1024" s="125"/>
      <c r="AI1024" s="125"/>
      <c r="AJ1024" s="125"/>
      <c r="AK1024" s="125"/>
      <c r="AL1024" s="125"/>
      <c r="AM1024" s="125"/>
      <c r="AN1024" s="125"/>
      <c r="AO1024" s="125"/>
      <c r="AP1024" s="125"/>
      <c r="AQ1024" s="125"/>
      <c r="AR1024" s="125"/>
      <c r="AS1024" s="125"/>
      <c r="AT1024" s="125"/>
      <c r="AU1024" s="125"/>
      <c r="AV1024" s="125"/>
      <c r="AW1024" s="125"/>
      <c r="AX1024" s="125"/>
      <c r="AY1024" s="125"/>
      <c r="AZ1024" s="125"/>
      <c r="BA1024" s="125"/>
      <c r="BB1024" s="125"/>
      <c r="BC1024" s="125"/>
      <c r="BD1024" s="125"/>
      <c r="BE1024" s="125"/>
      <c r="BF1024" s="125"/>
    </row>
    <row r="1025" spans="1:58" ht="15.75" customHeight="1">
      <c r="A1025" s="125"/>
      <c r="B1025" s="125"/>
      <c r="C1025" s="125"/>
      <c r="D1025" s="125"/>
      <c r="E1025" s="125"/>
      <c r="F1025" s="125"/>
      <c r="G1025" s="125"/>
      <c r="H1025" s="125"/>
      <c r="I1025" s="125"/>
      <c r="J1025" s="125"/>
      <c r="K1025" s="125"/>
      <c r="L1025" s="125"/>
      <c r="M1025" s="125"/>
      <c r="N1025" s="125"/>
      <c r="O1025" s="125"/>
      <c r="P1025" s="125"/>
      <c r="Q1025" s="125"/>
      <c r="R1025" s="125"/>
      <c r="S1025" s="125"/>
      <c r="T1025" s="125"/>
      <c r="U1025" s="125"/>
      <c r="V1025" s="125"/>
      <c r="W1025" s="125"/>
      <c r="X1025" s="125"/>
      <c r="Y1025" s="125"/>
      <c r="Z1025" s="125"/>
      <c r="AA1025" s="125"/>
      <c r="AB1025" s="125"/>
      <c r="AC1025" s="125"/>
      <c r="AD1025" s="125"/>
      <c r="AE1025" s="125"/>
      <c r="AF1025" s="125"/>
      <c r="AG1025" s="125"/>
      <c r="AH1025" s="125"/>
      <c r="AI1025" s="125"/>
      <c r="AJ1025" s="125"/>
      <c r="AK1025" s="125"/>
      <c r="AL1025" s="125"/>
      <c r="AM1025" s="125"/>
      <c r="AN1025" s="125"/>
      <c r="AO1025" s="125"/>
      <c r="AP1025" s="125"/>
      <c r="AQ1025" s="125"/>
      <c r="AR1025" s="125"/>
      <c r="AS1025" s="125"/>
      <c r="AT1025" s="125"/>
      <c r="AU1025" s="125"/>
      <c r="AV1025" s="125"/>
      <c r="AW1025" s="125"/>
      <c r="AX1025" s="125"/>
      <c r="AY1025" s="125"/>
      <c r="AZ1025" s="125"/>
      <c r="BA1025" s="125"/>
      <c r="BB1025" s="125"/>
      <c r="BC1025" s="125"/>
      <c r="BD1025" s="125"/>
      <c r="BE1025" s="125"/>
      <c r="BF1025" s="125"/>
    </row>
    <row r="1026" spans="1:58" ht="15.75" customHeight="1">
      <c r="A1026" s="125"/>
      <c r="B1026" s="125"/>
      <c r="C1026" s="125"/>
      <c r="D1026" s="125"/>
      <c r="E1026" s="125"/>
      <c r="F1026" s="125"/>
      <c r="G1026" s="125"/>
      <c r="H1026" s="125"/>
      <c r="I1026" s="125"/>
      <c r="J1026" s="125"/>
      <c r="K1026" s="125"/>
      <c r="L1026" s="125"/>
      <c r="M1026" s="125"/>
      <c r="N1026" s="125"/>
      <c r="O1026" s="125"/>
      <c r="P1026" s="125"/>
      <c r="Q1026" s="125"/>
      <c r="R1026" s="125"/>
      <c r="S1026" s="125"/>
      <c r="T1026" s="125"/>
      <c r="U1026" s="125"/>
      <c r="V1026" s="125"/>
      <c r="W1026" s="125"/>
      <c r="X1026" s="125"/>
      <c r="Y1026" s="125"/>
      <c r="Z1026" s="125"/>
      <c r="AA1026" s="125"/>
      <c r="AB1026" s="125"/>
      <c r="AC1026" s="125"/>
      <c r="AD1026" s="125"/>
      <c r="AE1026" s="125"/>
      <c r="AF1026" s="125"/>
      <c r="AG1026" s="125"/>
      <c r="AH1026" s="125"/>
      <c r="AI1026" s="125"/>
      <c r="AJ1026" s="125"/>
      <c r="AK1026" s="125"/>
      <c r="AL1026" s="125"/>
      <c r="AM1026" s="125"/>
      <c r="AN1026" s="125"/>
      <c r="AO1026" s="125"/>
      <c r="AP1026" s="125"/>
      <c r="AQ1026" s="125"/>
      <c r="AR1026" s="125"/>
      <c r="AS1026" s="125"/>
      <c r="AT1026" s="125"/>
      <c r="AU1026" s="125"/>
      <c r="AV1026" s="125"/>
      <c r="AW1026" s="125"/>
      <c r="AX1026" s="125"/>
      <c r="AY1026" s="125"/>
      <c r="AZ1026" s="125"/>
      <c r="BA1026" s="125"/>
      <c r="BB1026" s="125"/>
      <c r="BC1026" s="125"/>
      <c r="BD1026" s="125"/>
      <c r="BE1026" s="125"/>
      <c r="BF1026" s="125"/>
    </row>
    <row r="1027" spans="1:58" ht="15.75" customHeight="1">
      <c r="A1027" s="125"/>
      <c r="B1027" s="125"/>
      <c r="C1027" s="125"/>
      <c r="D1027" s="125"/>
      <c r="E1027" s="125"/>
      <c r="F1027" s="125"/>
      <c r="G1027" s="125"/>
      <c r="H1027" s="125"/>
      <c r="I1027" s="125"/>
      <c r="J1027" s="125"/>
      <c r="K1027" s="125"/>
      <c r="L1027" s="125"/>
      <c r="M1027" s="125"/>
      <c r="N1027" s="125"/>
      <c r="O1027" s="125"/>
      <c r="P1027" s="125"/>
      <c r="Q1027" s="125"/>
      <c r="R1027" s="125"/>
      <c r="S1027" s="125"/>
      <c r="T1027" s="125"/>
      <c r="U1027" s="125"/>
      <c r="V1027" s="125"/>
      <c r="W1027" s="125"/>
      <c r="X1027" s="125"/>
      <c r="Y1027" s="125"/>
      <c r="Z1027" s="125"/>
      <c r="AA1027" s="125"/>
      <c r="AB1027" s="125"/>
      <c r="AC1027" s="125"/>
      <c r="AD1027" s="125"/>
      <c r="AE1027" s="125"/>
      <c r="AF1027" s="125"/>
      <c r="AG1027" s="125"/>
      <c r="AH1027" s="125"/>
      <c r="AI1027" s="125"/>
      <c r="AJ1027" s="125"/>
      <c r="AK1027" s="125"/>
      <c r="AL1027" s="125"/>
      <c r="AM1027" s="125"/>
      <c r="AN1027" s="125"/>
      <c r="AO1027" s="125"/>
      <c r="AP1027" s="125"/>
      <c r="AQ1027" s="125"/>
      <c r="AR1027" s="125"/>
      <c r="AS1027" s="125"/>
      <c r="AT1027" s="125"/>
      <c r="AU1027" s="125"/>
      <c r="AV1027" s="125"/>
      <c r="AW1027" s="125"/>
      <c r="AX1027" s="125"/>
      <c r="AY1027" s="125"/>
      <c r="AZ1027" s="125"/>
      <c r="BA1027" s="125"/>
      <c r="BB1027" s="125"/>
      <c r="BC1027" s="125"/>
      <c r="BD1027" s="125"/>
      <c r="BE1027" s="125"/>
      <c r="BF1027" s="125"/>
    </row>
    <row r="1028" spans="1:58" ht="15.75" customHeight="1">
      <c r="A1028" s="125"/>
      <c r="B1028" s="125"/>
      <c r="C1028" s="125"/>
      <c r="D1028" s="125"/>
      <c r="E1028" s="125"/>
      <c r="F1028" s="125"/>
      <c r="G1028" s="125"/>
      <c r="H1028" s="125"/>
      <c r="I1028" s="125"/>
      <c r="J1028" s="125"/>
      <c r="K1028" s="125"/>
      <c r="L1028" s="125"/>
      <c r="M1028" s="125"/>
      <c r="N1028" s="125"/>
      <c r="O1028" s="125"/>
      <c r="P1028" s="125"/>
      <c r="Q1028" s="125"/>
      <c r="R1028" s="125"/>
      <c r="S1028" s="125"/>
      <c r="T1028" s="125"/>
      <c r="U1028" s="125"/>
      <c r="V1028" s="125"/>
      <c r="W1028" s="125"/>
      <c r="X1028" s="125"/>
      <c r="Y1028" s="125"/>
      <c r="Z1028" s="125"/>
      <c r="AA1028" s="125"/>
      <c r="AB1028" s="125"/>
      <c r="AC1028" s="125"/>
      <c r="AD1028" s="125"/>
      <c r="AE1028" s="125"/>
      <c r="AF1028" s="125"/>
      <c r="AG1028" s="125"/>
      <c r="AH1028" s="125"/>
      <c r="AI1028" s="125"/>
      <c r="AJ1028" s="125"/>
      <c r="AK1028" s="125"/>
      <c r="AL1028" s="125"/>
      <c r="AM1028" s="125"/>
      <c r="AN1028" s="125"/>
      <c r="AO1028" s="125"/>
      <c r="AP1028" s="125"/>
      <c r="AQ1028" s="125"/>
      <c r="AR1028" s="125"/>
      <c r="AS1028" s="125"/>
      <c r="AT1028" s="125"/>
      <c r="AU1028" s="125"/>
      <c r="AV1028" s="125"/>
      <c r="AW1028" s="125"/>
      <c r="AX1028" s="125"/>
      <c r="AY1028" s="125"/>
      <c r="AZ1028" s="125"/>
      <c r="BA1028" s="125"/>
      <c r="BB1028" s="125"/>
      <c r="BC1028" s="125"/>
      <c r="BD1028" s="125"/>
      <c r="BE1028" s="125"/>
      <c r="BF1028" s="125"/>
    </row>
    <row r="1029" spans="1:58" ht="15.75" customHeight="1">
      <c r="A1029" s="125"/>
      <c r="B1029" s="125"/>
      <c r="C1029" s="125"/>
      <c r="D1029" s="125"/>
      <c r="E1029" s="125"/>
      <c r="F1029" s="125"/>
      <c r="G1029" s="125"/>
      <c r="H1029" s="125"/>
      <c r="I1029" s="125"/>
      <c r="J1029" s="125"/>
      <c r="K1029" s="125"/>
      <c r="L1029" s="125"/>
      <c r="M1029" s="125"/>
      <c r="N1029" s="125"/>
      <c r="O1029" s="125"/>
      <c r="P1029" s="125"/>
      <c r="Q1029" s="125"/>
      <c r="R1029" s="125"/>
      <c r="S1029" s="125"/>
      <c r="T1029" s="125"/>
      <c r="U1029" s="125"/>
      <c r="V1029" s="125"/>
      <c r="W1029" s="125"/>
      <c r="X1029" s="125"/>
      <c r="Y1029" s="125"/>
      <c r="Z1029" s="125"/>
      <c r="AA1029" s="125"/>
      <c r="AB1029" s="125"/>
      <c r="AC1029" s="125"/>
      <c r="AD1029" s="125"/>
      <c r="AE1029" s="125"/>
      <c r="AF1029" s="125"/>
      <c r="AG1029" s="125"/>
      <c r="AH1029" s="125"/>
      <c r="AI1029" s="125"/>
      <c r="AJ1029" s="125"/>
      <c r="AK1029" s="125"/>
      <c r="AL1029" s="125"/>
      <c r="AM1029" s="125"/>
      <c r="AN1029" s="125"/>
      <c r="AO1029" s="125"/>
      <c r="AP1029" s="125"/>
      <c r="AQ1029" s="125"/>
      <c r="AR1029" s="125"/>
      <c r="AS1029" s="125"/>
      <c r="AT1029" s="125"/>
      <c r="AU1029" s="125"/>
      <c r="AV1029" s="125"/>
      <c r="AW1029" s="125"/>
      <c r="AX1029" s="125"/>
      <c r="AY1029" s="125"/>
      <c r="AZ1029" s="125"/>
      <c r="BA1029" s="125"/>
      <c r="BB1029" s="125"/>
      <c r="BC1029" s="125"/>
      <c r="BD1029" s="125"/>
      <c r="BE1029" s="125"/>
      <c r="BF1029" s="125"/>
    </row>
    <row r="1030" spans="1:58" ht="15.75" customHeight="1">
      <c r="A1030" s="125"/>
      <c r="B1030" s="125"/>
      <c r="C1030" s="125"/>
      <c r="D1030" s="125"/>
      <c r="E1030" s="125"/>
      <c r="F1030" s="125"/>
      <c r="G1030" s="125"/>
      <c r="H1030" s="125"/>
      <c r="I1030" s="125"/>
      <c r="J1030" s="125"/>
      <c r="K1030" s="125"/>
      <c r="L1030" s="125"/>
      <c r="M1030" s="125"/>
      <c r="N1030" s="125"/>
      <c r="O1030" s="125"/>
      <c r="P1030" s="125"/>
      <c r="Q1030" s="125"/>
      <c r="R1030" s="125"/>
      <c r="S1030" s="125"/>
      <c r="T1030" s="125"/>
      <c r="U1030" s="125"/>
      <c r="V1030" s="125"/>
      <c r="W1030" s="125"/>
      <c r="X1030" s="125"/>
      <c r="Y1030" s="125"/>
      <c r="Z1030" s="125"/>
      <c r="AA1030" s="125"/>
      <c r="AB1030" s="125"/>
      <c r="AC1030" s="125"/>
      <c r="AD1030" s="125"/>
      <c r="AE1030" s="125"/>
      <c r="AF1030" s="125"/>
      <c r="AG1030" s="125"/>
      <c r="AH1030" s="125"/>
      <c r="AI1030" s="125"/>
      <c r="AJ1030" s="125"/>
      <c r="AK1030" s="125"/>
      <c r="AL1030" s="125"/>
      <c r="AM1030" s="125"/>
      <c r="AN1030" s="125"/>
      <c r="AO1030" s="125"/>
      <c r="AP1030" s="125"/>
      <c r="AQ1030" s="125"/>
      <c r="AR1030" s="125"/>
      <c r="AS1030" s="125"/>
      <c r="AT1030" s="125"/>
      <c r="AU1030" s="125"/>
      <c r="AV1030" s="125"/>
      <c r="AW1030" s="125"/>
      <c r="AX1030" s="125"/>
      <c r="AY1030" s="125"/>
      <c r="AZ1030" s="125"/>
      <c r="BA1030" s="125"/>
      <c r="BB1030" s="125"/>
      <c r="BC1030" s="125"/>
      <c r="BD1030" s="125"/>
      <c r="BE1030" s="125"/>
      <c r="BF1030" s="125"/>
    </row>
    <row r="1031" spans="1:58" ht="15.75" customHeight="1">
      <c r="A1031" s="125"/>
      <c r="B1031" s="125"/>
      <c r="C1031" s="125"/>
      <c r="D1031" s="125"/>
      <c r="E1031" s="125"/>
      <c r="F1031" s="125"/>
      <c r="G1031" s="125"/>
      <c r="H1031" s="125"/>
      <c r="I1031" s="125"/>
      <c r="J1031" s="125"/>
      <c r="K1031" s="125"/>
      <c r="L1031" s="125"/>
      <c r="M1031" s="125"/>
      <c r="N1031" s="125"/>
      <c r="O1031" s="125"/>
      <c r="P1031" s="125"/>
      <c r="Q1031" s="125"/>
      <c r="R1031" s="125"/>
      <c r="S1031" s="125"/>
      <c r="T1031" s="125"/>
      <c r="U1031" s="125"/>
      <c r="V1031" s="125"/>
      <c r="W1031" s="125"/>
      <c r="X1031" s="125"/>
      <c r="Y1031" s="125"/>
      <c r="Z1031" s="125"/>
      <c r="AA1031" s="125"/>
      <c r="AB1031" s="125"/>
      <c r="AC1031" s="125"/>
      <c r="AD1031" s="125"/>
      <c r="AE1031" s="125"/>
      <c r="AF1031" s="125"/>
      <c r="AG1031" s="125"/>
      <c r="AH1031" s="125"/>
      <c r="AI1031" s="125"/>
      <c r="AJ1031" s="125"/>
      <c r="AK1031" s="125"/>
      <c r="AL1031" s="125"/>
      <c r="AM1031" s="125"/>
      <c r="AN1031" s="125"/>
      <c r="AO1031" s="125"/>
      <c r="AP1031" s="125"/>
      <c r="AQ1031" s="125"/>
      <c r="AR1031" s="125"/>
      <c r="AS1031" s="125"/>
      <c r="AT1031" s="125"/>
      <c r="AU1031" s="125"/>
      <c r="AV1031" s="125"/>
      <c r="AW1031" s="125"/>
      <c r="AX1031" s="125"/>
      <c r="AY1031" s="125"/>
      <c r="AZ1031" s="125"/>
      <c r="BA1031" s="125"/>
      <c r="BB1031" s="125"/>
      <c r="BC1031" s="125"/>
      <c r="BD1031" s="125"/>
      <c r="BE1031" s="125"/>
      <c r="BF1031" s="125"/>
    </row>
    <row r="1032" spans="1:58" ht="15.75" customHeight="1">
      <c r="A1032" s="125"/>
      <c r="B1032" s="125"/>
      <c r="C1032" s="125"/>
      <c r="D1032" s="125"/>
      <c r="E1032" s="125"/>
      <c r="F1032" s="125"/>
      <c r="G1032" s="125"/>
      <c r="H1032" s="125"/>
      <c r="I1032" s="125"/>
      <c r="J1032" s="125"/>
      <c r="K1032" s="125"/>
      <c r="L1032" s="125"/>
      <c r="M1032" s="125"/>
      <c r="N1032" s="125"/>
      <c r="O1032" s="125"/>
      <c r="P1032" s="125"/>
      <c r="Q1032" s="125"/>
      <c r="R1032" s="125"/>
      <c r="S1032" s="125"/>
      <c r="T1032" s="125"/>
      <c r="U1032" s="125"/>
      <c r="V1032" s="125"/>
      <c r="W1032" s="125"/>
      <c r="X1032" s="125"/>
      <c r="Y1032" s="125"/>
      <c r="Z1032" s="125"/>
      <c r="AA1032" s="125"/>
      <c r="AB1032" s="125"/>
      <c r="AC1032" s="125"/>
      <c r="AD1032" s="125"/>
      <c r="AE1032" s="125"/>
      <c r="AF1032" s="125"/>
      <c r="AG1032" s="125"/>
      <c r="AH1032" s="125"/>
      <c r="AI1032" s="125"/>
      <c r="AJ1032" s="125"/>
      <c r="AK1032" s="125"/>
      <c r="AL1032" s="125"/>
      <c r="AM1032" s="125"/>
      <c r="AN1032" s="125"/>
      <c r="AO1032" s="125"/>
      <c r="AP1032" s="125"/>
      <c r="AQ1032" s="125"/>
      <c r="AR1032" s="125"/>
      <c r="AS1032" s="125"/>
      <c r="AT1032" s="125"/>
      <c r="AU1032" s="125"/>
      <c r="AV1032" s="125"/>
      <c r="AW1032" s="125"/>
      <c r="AX1032" s="125"/>
      <c r="AY1032" s="125"/>
      <c r="AZ1032" s="125"/>
      <c r="BA1032" s="125"/>
      <c r="BB1032" s="125"/>
      <c r="BC1032" s="125"/>
      <c r="BD1032" s="125"/>
      <c r="BE1032" s="125"/>
      <c r="BF1032" s="125"/>
    </row>
    <row r="1033" spans="1:58" ht="15.75" customHeight="1">
      <c r="A1033" s="125"/>
      <c r="B1033" s="125"/>
      <c r="C1033" s="125"/>
      <c r="D1033" s="125"/>
      <c r="E1033" s="125"/>
      <c r="F1033" s="125"/>
      <c r="G1033" s="125"/>
      <c r="H1033" s="125"/>
      <c r="I1033" s="125"/>
      <c r="J1033" s="125"/>
      <c r="K1033" s="125"/>
      <c r="L1033" s="125"/>
      <c r="M1033" s="125"/>
      <c r="N1033" s="125"/>
      <c r="O1033" s="125"/>
      <c r="P1033" s="125"/>
      <c r="Q1033" s="125"/>
      <c r="R1033" s="125"/>
      <c r="S1033" s="125"/>
      <c r="T1033" s="125"/>
      <c r="U1033" s="125"/>
      <c r="V1033" s="125"/>
      <c r="W1033" s="125"/>
      <c r="X1033" s="125"/>
      <c r="Y1033" s="125"/>
      <c r="Z1033" s="125"/>
      <c r="AA1033" s="125"/>
      <c r="AB1033" s="125"/>
      <c r="AC1033" s="125"/>
      <c r="AD1033" s="125"/>
      <c r="AE1033" s="125"/>
      <c r="AF1033" s="125"/>
      <c r="AG1033" s="125"/>
      <c r="AH1033" s="125"/>
      <c r="AI1033" s="125"/>
      <c r="AJ1033" s="125"/>
      <c r="AK1033" s="125"/>
      <c r="AL1033" s="125"/>
      <c r="AM1033" s="125"/>
      <c r="AN1033" s="125"/>
      <c r="AO1033" s="125"/>
      <c r="AP1033" s="125"/>
      <c r="AQ1033" s="125"/>
      <c r="AR1033" s="125"/>
      <c r="AS1033" s="125"/>
      <c r="AT1033" s="125"/>
      <c r="AU1033" s="125"/>
      <c r="AV1033" s="125"/>
      <c r="AW1033" s="125"/>
      <c r="AX1033" s="125"/>
      <c r="AY1033" s="125"/>
      <c r="AZ1033" s="125"/>
      <c r="BA1033" s="125"/>
      <c r="BB1033" s="125"/>
      <c r="BC1033" s="125"/>
      <c r="BD1033" s="125"/>
      <c r="BE1033" s="125"/>
      <c r="BF1033" s="125"/>
    </row>
    <row r="1034" spans="1:58" ht="15.75" customHeight="1">
      <c r="A1034" s="125"/>
      <c r="B1034" s="125"/>
      <c r="C1034" s="125"/>
      <c r="D1034" s="125"/>
      <c r="E1034" s="125"/>
      <c r="F1034" s="125"/>
      <c r="G1034" s="125"/>
      <c r="H1034" s="125"/>
      <c r="I1034" s="125"/>
      <c r="J1034" s="125"/>
      <c r="K1034" s="125"/>
      <c r="L1034" s="125"/>
      <c r="M1034" s="125"/>
      <c r="N1034" s="125"/>
      <c r="O1034" s="125"/>
      <c r="P1034" s="125"/>
      <c r="Q1034" s="125"/>
      <c r="R1034" s="125"/>
      <c r="S1034" s="125"/>
      <c r="T1034" s="125"/>
      <c r="U1034" s="125"/>
      <c r="V1034" s="125"/>
      <c r="W1034" s="125"/>
      <c r="X1034" s="125"/>
      <c r="Y1034" s="125"/>
      <c r="Z1034" s="125"/>
      <c r="AA1034" s="125"/>
      <c r="AB1034" s="125"/>
      <c r="AC1034" s="125"/>
      <c r="AD1034" s="125"/>
      <c r="AE1034" s="125"/>
      <c r="AF1034" s="125"/>
      <c r="AG1034" s="125"/>
      <c r="AH1034" s="125"/>
      <c r="AI1034" s="125"/>
      <c r="AJ1034" s="125"/>
      <c r="AK1034" s="125"/>
      <c r="AL1034" s="125"/>
      <c r="AM1034" s="125"/>
      <c r="AN1034" s="125"/>
      <c r="AO1034" s="125"/>
      <c r="AP1034" s="125"/>
      <c r="AQ1034" s="125"/>
      <c r="AR1034" s="125"/>
      <c r="AS1034" s="125"/>
      <c r="AT1034" s="125"/>
      <c r="AU1034" s="125"/>
      <c r="AV1034" s="125"/>
      <c r="AW1034" s="125"/>
      <c r="AX1034" s="125"/>
      <c r="AY1034" s="125"/>
      <c r="AZ1034" s="125"/>
      <c r="BA1034" s="125"/>
      <c r="BB1034" s="125"/>
      <c r="BC1034" s="125"/>
      <c r="BD1034" s="125"/>
      <c r="BE1034" s="125"/>
      <c r="BF1034" s="125"/>
    </row>
    <row r="1035" spans="1:58" ht="15.75" customHeight="1">
      <c r="A1035" s="125"/>
      <c r="B1035" s="125"/>
      <c r="C1035" s="125"/>
      <c r="D1035" s="125"/>
      <c r="E1035" s="125"/>
      <c r="F1035" s="125"/>
      <c r="G1035" s="125"/>
      <c r="H1035" s="125"/>
      <c r="I1035" s="125"/>
      <c r="J1035" s="125"/>
      <c r="K1035" s="125"/>
      <c r="L1035" s="125"/>
      <c r="M1035" s="125"/>
      <c r="N1035" s="125"/>
      <c r="O1035" s="125"/>
      <c r="P1035" s="125"/>
      <c r="Q1035" s="125"/>
      <c r="R1035" s="125"/>
      <c r="S1035" s="125"/>
      <c r="T1035" s="125"/>
      <c r="U1035" s="125"/>
      <c r="V1035" s="125"/>
      <c r="W1035" s="125"/>
      <c r="X1035" s="125"/>
      <c r="Y1035" s="125"/>
      <c r="Z1035" s="125"/>
      <c r="AA1035" s="125"/>
      <c r="AB1035" s="125"/>
      <c r="AC1035" s="125"/>
      <c r="AD1035" s="125"/>
      <c r="AE1035" s="125"/>
      <c r="AF1035" s="125"/>
      <c r="AG1035" s="125"/>
      <c r="AH1035" s="125"/>
      <c r="AI1035" s="125"/>
      <c r="AJ1035" s="125"/>
      <c r="AK1035" s="125"/>
      <c r="AL1035" s="125"/>
      <c r="AM1035" s="125"/>
      <c r="AN1035" s="125"/>
      <c r="AO1035" s="125"/>
      <c r="AP1035" s="125"/>
      <c r="AQ1035" s="125"/>
      <c r="AR1035" s="125"/>
      <c r="AS1035" s="125"/>
      <c r="AT1035" s="125"/>
      <c r="AU1035" s="125"/>
      <c r="AV1035" s="125"/>
      <c r="AW1035" s="125"/>
      <c r="AX1035" s="125"/>
      <c r="AY1035" s="125"/>
      <c r="AZ1035" s="125"/>
      <c r="BA1035" s="125"/>
      <c r="BB1035" s="125"/>
      <c r="BC1035" s="125"/>
      <c r="BD1035" s="125"/>
      <c r="BE1035" s="125"/>
      <c r="BF1035" s="125"/>
    </row>
    <row r="1036" spans="1:58" ht="15.75" customHeight="1">
      <c r="A1036" s="125"/>
      <c r="B1036" s="125"/>
      <c r="C1036" s="125"/>
      <c r="D1036" s="125"/>
      <c r="E1036" s="125"/>
      <c r="F1036" s="125"/>
      <c r="G1036" s="125"/>
      <c r="H1036" s="125"/>
      <c r="I1036" s="125"/>
      <c r="J1036" s="125"/>
      <c r="K1036" s="125"/>
      <c r="L1036" s="125"/>
      <c r="M1036" s="125"/>
      <c r="N1036" s="125"/>
      <c r="O1036" s="125"/>
      <c r="P1036" s="125"/>
      <c r="Q1036" s="125"/>
      <c r="R1036" s="125"/>
      <c r="S1036" s="125"/>
      <c r="T1036" s="125"/>
      <c r="U1036" s="125"/>
      <c r="V1036" s="125"/>
      <c r="W1036" s="125"/>
      <c r="X1036" s="125"/>
      <c r="Y1036" s="125"/>
      <c r="Z1036" s="125"/>
      <c r="AA1036" s="125"/>
      <c r="AB1036" s="125"/>
      <c r="AC1036" s="125"/>
      <c r="AD1036" s="125"/>
      <c r="AE1036" s="125"/>
      <c r="AF1036" s="125"/>
      <c r="AG1036" s="125"/>
      <c r="AH1036" s="125"/>
      <c r="AI1036" s="125"/>
      <c r="AJ1036" s="125"/>
      <c r="AK1036" s="125"/>
      <c r="AL1036" s="125"/>
      <c r="AM1036" s="125"/>
      <c r="AN1036" s="125"/>
      <c r="AO1036" s="125"/>
      <c r="AP1036" s="125"/>
      <c r="AQ1036" s="125"/>
      <c r="AR1036" s="125"/>
      <c r="AS1036" s="125"/>
      <c r="AT1036" s="125"/>
      <c r="AU1036" s="125"/>
      <c r="AV1036" s="125"/>
      <c r="AW1036" s="125"/>
      <c r="AX1036" s="125"/>
      <c r="AY1036" s="125"/>
      <c r="AZ1036" s="125"/>
      <c r="BA1036" s="125"/>
      <c r="BB1036" s="125"/>
      <c r="BC1036" s="125"/>
      <c r="BD1036" s="125"/>
      <c r="BE1036" s="125"/>
      <c r="BF1036" s="125"/>
    </row>
    <row r="1037" spans="1:58" ht="15.75" customHeight="1">
      <c r="A1037" s="125"/>
      <c r="B1037" s="125"/>
      <c r="C1037" s="125"/>
      <c r="D1037" s="125"/>
      <c r="E1037" s="125"/>
      <c r="F1037" s="125"/>
      <c r="G1037" s="125"/>
      <c r="H1037" s="125"/>
      <c r="I1037" s="125"/>
      <c r="J1037" s="125"/>
      <c r="K1037" s="125"/>
      <c r="L1037" s="125"/>
      <c r="M1037" s="125"/>
      <c r="N1037" s="125"/>
      <c r="O1037" s="125"/>
      <c r="P1037" s="125"/>
      <c r="Q1037" s="125"/>
      <c r="R1037" s="125"/>
      <c r="S1037" s="125"/>
      <c r="T1037" s="125"/>
      <c r="U1037" s="125"/>
      <c r="V1037" s="125"/>
      <c r="W1037" s="125"/>
      <c r="X1037" s="125"/>
      <c r="Y1037" s="125"/>
      <c r="Z1037" s="125"/>
      <c r="AA1037" s="125"/>
      <c r="AB1037" s="125"/>
      <c r="AC1037" s="125"/>
      <c r="AD1037" s="125"/>
      <c r="AE1037" s="125"/>
      <c r="AF1037" s="125"/>
      <c r="AG1037" s="125"/>
      <c r="AH1037" s="125"/>
      <c r="AI1037" s="125"/>
      <c r="AJ1037" s="125"/>
      <c r="AK1037" s="125"/>
      <c r="AL1037" s="125"/>
      <c r="AM1037" s="125"/>
      <c r="AN1037" s="125"/>
      <c r="AO1037" s="125"/>
      <c r="AP1037" s="125"/>
      <c r="AQ1037" s="125"/>
      <c r="AR1037" s="125"/>
      <c r="AS1037" s="125"/>
      <c r="AT1037" s="125"/>
      <c r="AU1037" s="125"/>
      <c r="AV1037" s="125"/>
      <c r="AW1037" s="125"/>
      <c r="AX1037" s="125"/>
      <c r="AY1037" s="125"/>
      <c r="AZ1037" s="125"/>
      <c r="BA1037" s="125"/>
      <c r="BB1037" s="125"/>
      <c r="BC1037" s="125"/>
      <c r="BD1037" s="125"/>
      <c r="BE1037" s="125"/>
      <c r="BF1037" s="125"/>
    </row>
    <row r="1038" spans="1:58" ht="15.75" customHeight="1">
      <c r="A1038" s="125"/>
      <c r="B1038" s="125"/>
      <c r="C1038" s="125"/>
      <c r="D1038" s="125"/>
      <c r="E1038" s="125"/>
      <c r="F1038" s="125"/>
      <c r="G1038" s="125"/>
      <c r="H1038" s="125"/>
      <c r="I1038" s="125"/>
      <c r="J1038" s="125"/>
      <c r="K1038" s="125"/>
      <c r="L1038" s="125"/>
      <c r="M1038" s="125"/>
      <c r="N1038" s="125"/>
      <c r="O1038" s="125"/>
      <c r="P1038" s="125"/>
      <c r="Q1038" s="125"/>
      <c r="R1038" s="125"/>
      <c r="S1038" s="125"/>
      <c r="T1038" s="125"/>
      <c r="U1038" s="125"/>
      <c r="V1038" s="125"/>
      <c r="W1038" s="125"/>
      <c r="X1038" s="125"/>
      <c r="Y1038" s="125"/>
      <c r="Z1038" s="125"/>
      <c r="AA1038" s="125"/>
      <c r="AB1038" s="125"/>
      <c r="AC1038" s="125"/>
      <c r="AD1038" s="125"/>
      <c r="AE1038" s="125"/>
      <c r="AF1038" s="125"/>
      <c r="AG1038" s="125"/>
      <c r="AH1038" s="125"/>
      <c r="AI1038" s="125"/>
      <c r="AJ1038" s="125"/>
      <c r="AK1038" s="125"/>
      <c r="AL1038" s="125"/>
      <c r="AM1038" s="125"/>
      <c r="AN1038" s="125"/>
      <c r="AO1038" s="125"/>
      <c r="AP1038" s="125"/>
      <c r="AQ1038" s="125"/>
      <c r="AR1038" s="125"/>
      <c r="AS1038" s="125"/>
      <c r="AT1038" s="125"/>
      <c r="AU1038" s="125"/>
      <c r="AV1038" s="125"/>
      <c r="AW1038" s="125"/>
      <c r="AX1038" s="125"/>
      <c r="AY1038" s="125"/>
      <c r="AZ1038" s="125"/>
      <c r="BA1038" s="125"/>
      <c r="BB1038" s="125"/>
      <c r="BC1038" s="125"/>
      <c r="BD1038" s="125"/>
      <c r="BE1038" s="125"/>
      <c r="BF1038" s="125"/>
    </row>
    <row r="1039" spans="1:58" ht="15.75" customHeight="1">
      <c r="A1039" s="125"/>
      <c r="B1039" s="125"/>
      <c r="C1039" s="125"/>
      <c r="D1039" s="125"/>
      <c r="E1039" s="125"/>
      <c r="F1039" s="125"/>
      <c r="G1039" s="125"/>
      <c r="H1039" s="125"/>
      <c r="I1039" s="125"/>
      <c r="J1039" s="125"/>
      <c r="K1039" s="125"/>
      <c r="L1039" s="125"/>
      <c r="M1039" s="125"/>
      <c r="N1039" s="125"/>
      <c r="O1039" s="125"/>
      <c r="P1039" s="125"/>
      <c r="Q1039" s="125"/>
      <c r="R1039" s="125"/>
      <c r="S1039" s="125"/>
      <c r="T1039" s="125"/>
      <c r="U1039" s="125"/>
      <c r="V1039" s="125"/>
      <c r="W1039" s="125"/>
      <c r="X1039" s="125"/>
      <c r="Y1039" s="125"/>
      <c r="Z1039" s="125"/>
      <c r="AA1039" s="125"/>
      <c r="AB1039" s="125"/>
      <c r="AC1039" s="125"/>
      <c r="AD1039" s="125"/>
      <c r="AE1039" s="125"/>
      <c r="AF1039" s="125"/>
      <c r="AG1039" s="125"/>
      <c r="AH1039" s="125"/>
      <c r="AI1039" s="125"/>
      <c r="AJ1039" s="125"/>
      <c r="AK1039" s="125"/>
      <c r="AL1039" s="125"/>
      <c r="AM1039" s="125"/>
      <c r="AN1039" s="125"/>
      <c r="AO1039" s="125"/>
      <c r="AP1039" s="125"/>
      <c r="AQ1039" s="125"/>
      <c r="AR1039" s="125"/>
      <c r="AS1039" s="125"/>
      <c r="AT1039" s="125"/>
      <c r="AU1039" s="125"/>
      <c r="AV1039" s="125"/>
      <c r="AW1039" s="125"/>
      <c r="AX1039" s="125"/>
      <c r="AY1039" s="125"/>
      <c r="AZ1039" s="125"/>
      <c r="BA1039" s="125"/>
      <c r="BB1039" s="125"/>
      <c r="BC1039" s="125"/>
      <c r="BD1039" s="125"/>
      <c r="BE1039" s="125"/>
      <c r="BF1039" s="125"/>
    </row>
    <row r="1040" spans="1:58" ht="15.75" customHeight="1">
      <c r="A1040" s="125"/>
      <c r="B1040" s="125"/>
      <c r="C1040" s="125"/>
      <c r="D1040" s="125"/>
      <c r="E1040" s="125"/>
      <c r="F1040" s="125"/>
      <c r="G1040" s="125"/>
      <c r="H1040" s="125"/>
      <c r="I1040" s="125"/>
      <c r="J1040" s="125"/>
      <c r="K1040" s="125"/>
      <c r="L1040" s="125"/>
      <c r="M1040" s="125"/>
      <c r="N1040" s="125"/>
      <c r="O1040" s="125"/>
      <c r="P1040" s="125"/>
      <c r="Q1040" s="125"/>
      <c r="R1040" s="125"/>
      <c r="S1040" s="125"/>
      <c r="T1040" s="125"/>
      <c r="U1040" s="125"/>
      <c r="V1040" s="125"/>
      <c r="W1040" s="125"/>
      <c r="X1040" s="125"/>
      <c r="Y1040" s="125"/>
      <c r="Z1040" s="125"/>
      <c r="AA1040" s="125"/>
      <c r="AB1040" s="125"/>
      <c r="AC1040" s="125"/>
      <c r="AD1040" s="125"/>
      <c r="AE1040" s="125"/>
      <c r="AF1040" s="125"/>
      <c r="AG1040" s="125"/>
      <c r="AH1040" s="125"/>
      <c r="AI1040" s="125"/>
      <c r="AJ1040" s="125"/>
      <c r="AK1040" s="125"/>
      <c r="AL1040" s="125"/>
      <c r="AM1040" s="125"/>
      <c r="AN1040" s="125"/>
      <c r="AO1040" s="125"/>
      <c r="AP1040" s="125"/>
      <c r="AQ1040" s="125"/>
      <c r="AR1040" s="125"/>
      <c r="AS1040" s="125"/>
      <c r="AT1040" s="125"/>
      <c r="AU1040" s="125"/>
      <c r="AV1040" s="125"/>
      <c r="AW1040" s="125"/>
      <c r="AX1040" s="125"/>
      <c r="AY1040" s="125"/>
      <c r="AZ1040" s="125"/>
      <c r="BA1040" s="125"/>
      <c r="BB1040" s="125"/>
      <c r="BC1040" s="125"/>
      <c r="BD1040" s="125"/>
      <c r="BE1040" s="125"/>
      <c r="BF1040" s="125"/>
    </row>
    <row r="1041" spans="1:58" ht="15.75" customHeight="1">
      <c r="A1041" s="125"/>
      <c r="B1041" s="125"/>
      <c r="C1041" s="125"/>
      <c r="D1041" s="125"/>
      <c r="E1041" s="125"/>
      <c r="F1041" s="125"/>
      <c r="G1041" s="125"/>
      <c r="H1041" s="125"/>
      <c r="I1041" s="125"/>
      <c r="J1041" s="125"/>
      <c r="K1041" s="125"/>
      <c r="L1041" s="125"/>
      <c r="M1041" s="125"/>
      <c r="N1041" s="125"/>
      <c r="O1041" s="125"/>
      <c r="P1041" s="125"/>
      <c r="Q1041" s="125"/>
      <c r="R1041" s="125"/>
      <c r="S1041" s="125"/>
      <c r="T1041" s="125"/>
      <c r="U1041" s="125"/>
      <c r="V1041" s="125"/>
      <c r="W1041" s="125"/>
      <c r="X1041" s="125"/>
      <c r="Y1041" s="125"/>
      <c r="Z1041" s="125"/>
      <c r="AA1041" s="125"/>
      <c r="AB1041" s="125"/>
      <c r="AC1041" s="125"/>
      <c r="AD1041" s="125"/>
      <c r="AE1041" s="125"/>
      <c r="AF1041" s="125"/>
      <c r="AG1041" s="125"/>
      <c r="AH1041" s="125"/>
      <c r="AI1041" s="125"/>
      <c r="AJ1041" s="125"/>
      <c r="AK1041" s="125"/>
      <c r="AL1041" s="125"/>
      <c r="AM1041" s="125"/>
      <c r="AN1041" s="125"/>
      <c r="AO1041" s="125"/>
      <c r="AP1041" s="125"/>
      <c r="AQ1041" s="125"/>
      <c r="AR1041" s="125"/>
      <c r="AS1041" s="125"/>
      <c r="AT1041" s="125"/>
      <c r="AU1041" s="125"/>
      <c r="AV1041" s="125"/>
      <c r="AW1041" s="125"/>
      <c r="AX1041" s="125"/>
      <c r="AY1041" s="125"/>
      <c r="AZ1041" s="125"/>
      <c r="BA1041" s="125"/>
      <c r="BB1041" s="125"/>
      <c r="BC1041" s="125"/>
      <c r="BD1041" s="125"/>
      <c r="BE1041" s="125"/>
      <c r="BF1041" s="125"/>
    </row>
    <row r="1042" spans="1:58" ht="15.75" customHeight="1">
      <c r="A1042" s="125"/>
      <c r="B1042" s="125"/>
      <c r="C1042" s="125"/>
      <c r="D1042" s="125"/>
      <c r="E1042" s="125"/>
      <c r="F1042" s="125"/>
      <c r="G1042" s="125"/>
      <c r="H1042" s="125"/>
      <c r="I1042" s="125"/>
      <c r="J1042" s="125"/>
      <c r="K1042" s="125"/>
      <c r="L1042" s="125"/>
      <c r="M1042" s="125"/>
      <c r="N1042" s="125"/>
      <c r="O1042" s="125"/>
      <c r="P1042" s="125"/>
      <c r="Q1042" s="125"/>
      <c r="R1042" s="125"/>
      <c r="S1042" s="125"/>
      <c r="T1042" s="125"/>
      <c r="U1042" s="125"/>
      <c r="V1042" s="125"/>
      <c r="W1042" s="125"/>
      <c r="X1042" s="125"/>
      <c r="Y1042" s="125"/>
      <c r="Z1042" s="125"/>
      <c r="AA1042" s="125"/>
      <c r="AB1042" s="125"/>
      <c r="AC1042" s="125"/>
      <c r="AD1042" s="125"/>
      <c r="AE1042" s="125"/>
      <c r="AF1042" s="125"/>
      <c r="AG1042" s="125"/>
      <c r="AH1042" s="125"/>
      <c r="AI1042" s="125"/>
      <c r="AJ1042" s="125"/>
      <c r="AK1042" s="125"/>
      <c r="AL1042" s="125"/>
      <c r="AM1042" s="125"/>
      <c r="AN1042" s="125"/>
      <c r="AO1042" s="125"/>
      <c r="AP1042" s="125"/>
      <c r="AQ1042" s="125"/>
      <c r="AR1042" s="125"/>
      <c r="AS1042" s="125"/>
      <c r="AT1042" s="125"/>
      <c r="AU1042" s="125"/>
      <c r="AV1042" s="125"/>
      <c r="AW1042" s="125"/>
      <c r="AX1042" s="125"/>
      <c r="AY1042" s="125"/>
      <c r="AZ1042" s="125"/>
      <c r="BA1042" s="125"/>
      <c r="BB1042" s="125"/>
      <c r="BC1042" s="125"/>
      <c r="BD1042" s="125"/>
      <c r="BE1042" s="125"/>
      <c r="BF1042" s="125"/>
    </row>
    <row r="1043" spans="1:58" ht="15.75" customHeight="1">
      <c r="A1043" s="125"/>
      <c r="B1043" s="125"/>
      <c r="C1043" s="125"/>
      <c r="D1043" s="125"/>
      <c r="E1043" s="125"/>
      <c r="F1043" s="125"/>
      <c r="G1043" s="125"/>
      <c r="H1043" s="125"/>
      <c r="I1043" s="125"/>
      <c r="J1043" s="125"/>
      <c r="K1043" s="125"/>
      <c r="L1043" s="125"/>
      <c r="M1043" s="125"/>
      <c r="N1043" s="125"/>
      <c r="O1043" s="125"/>
      <c r="P1043" s="125"/>
      <c r="Q1043" s="125"/>
      <c r="R1043" s="125"/>
      <c r="S1043" s="125"/>
      <c r="T1043" s="125"/>
      <c r="U1043" s="125"/>
      <c r="V1043" s="125"/>
      <c r="W1043" s="125"/>
      <c r="X1043" s="125"/>
      <c r="Y1043" s="125"/>
      <c r="Z1043" s="125"/>
      <c r="AA1043" s="125"/>
      <c r="AB1043" s="125"/>
      <c r="AC1043" s="125"/>
      <c r="AD1043" s="125"/>
      <c r="AE1043" s="125"/>
      <c r="AF1043" s="125"/>
      <c r="AG1043" s="125"/>
      <c r="AH1043" s="125"/>
      <c r="AI1043" s="125"/>
      <c r="AJ1043" s="125"/>
      <c r="AK1043" s="125"/>
      <c r="AL1043" s="125"/>
      <c r="AM1043" s="125"/>
      <c r="AN1043" s="125"/>
      <c r="AO1043" s="125"/>
      <c r="AP1043" s="125"/>
      <c r="AQ1043" s="125"/>
      <c r="AR1043" s="125"/>
      <c r="AS1043" s="125"/>
      <c r="AT1043" s="125"/>
      <c r="AU1043" s="125"/>
      <c r="AV1043" s="125"/>
      <c r="AW1043" s="125"/>
      <c r="AX1043" s="125"/>
      <c r="AY1043" s="125"/>
      <c r="AZ1043" s="125"/>
      <c r="BA1043" s="125"/>
      <c r="BB1043" s="125"/>
      <c r="BC1043" s="125"/>
      <c r="BD1043" s="125"/>
      <c r="BE1043" s="125"/>
      <c r="BF1043" s="125"/>
    </row>
    <row r="1044" spans="1:58" ht="15.75" customHeight="1">
      <c r="A1044" s="125"/>
      <c r="B1044" s="125"/>
      <c r="C1044" s="125"/>
      <c r="D1044" s="125"/>
      <c r="E1044" s="125"/>
      <c r="F1044" s="125"/>
      <c r="G1044" s="125"/>
      <c r="H1044" s="125"/>
      <c r="I1044" s="125"/>
      <c r="J1044" s="125"/>
      <c r="K1044" s="125"/>
      <c r="L1044" s="125"/>
      <c r="M1044" s="125"/>
      <c r="N1044" s="125"/>
      <c r="O1044" s="125"/>
      <c r="P1044" s="125"/>
      <c r="Q1044" s="125"/>
      <c r="R1044" s="125"/>
      <c r="S1044" s="125"/>
      <c r="T1044" s="125"/>
      <c r="U1044" s="125"/>
      <c r="V1044" s="125"/>
      <c r="W1044" s="125"/>
      <c r="X1044" s="125"/>
      <c r="Y1044" s="125"/>
      <c r="Z1044" s="125"/>
      <c r="AA1044" s="125"/>
      <c r="AB1044" s="125"/>
      <c r="AC1044" s="125"/>
      <c r="AD1044" s="125"/>
      <c r="AE1044" s="125"/>
      <c r="AF1044" s="125"/>
      <c r="AG1044" s="125"/>
      <c r="AH1044" s="125"/>
      <c r="AI1044" s="125"/>
      <c r="AJ1044" s="125"/>
      <c r="AK1044" s="125"/>
      <c r="AL1044" s="125"/>
      <c r="AM1044" s="125"/>
      <c r="AN1044" s="125"/>
      <c r="AO1044" s="125"/>
      <c r="AP1044" s="125"/>
      <c r="AQ1044" s="125"/>
      <c r="AR1044" s="125"/>
      <c r="AS1044" s="125"/>
      <c r="AT1044" s="125"/>
      <c r="AU1044" s="125"/>
      <c r="AV1044" s="125"/>
      <c r="AW1044" s="125"/>
      <c r="AX1044" s="125"/>
      <c r="AY1044" s="125"/>
      <c r="AZ1044" s="125"/>
      <c r="BA1044" s="125"/>
      <c r="BB1044" s="125"/>
      <c r="BC1044" s="125"/>
      <c r="BD1044" s="125"/>
      <c r="BE1044" s="125"/>
      <c r="BF1044" s="125"/>
    </row>
    <row r="1045" spans="1:58" ht="15.75" customHeight="1">
      <c r="A1045" s="125"/>
      <c r="B1045" s="125"/>
      <c r="C1045" s="125"/>
      <c r="D1045" s="125"/>
      <c r="E1045" s="125"/>
      <c r="F1045" s="125"/>
      <c r="G1045" s="125"/>
      <c r="H1045" s="125"/>
      <c r="I1045" s="125"/>
      <c r="J1045" s="125"/>
      <c r="K1045" s="125"/>
      <c r="L1045" s="125"/>
      <c r="M1045" s="125"/>
      <c r="N1045" s="125"/>
      <c r="O1045" s="125"/>
      <c r="P1045" s="125"/>
      <c r="Q1045" s="125"/>
      <c r="R1045" s="125"/>
      <c r="S1045" s="125"/>
      <c r="T1045" s="125"/>
      <c r="U1045" s="125"/>
      <c r="V1045" s="125"/>
      <c r="W1045" s="125"/>
      <c r="X1045" s="125"/>
      <c r="Y1045" s="125"/>
      <c r="Z1045" s="125"/>
      <c r="AA1045" s="125"/>
      <c r="AB1045" s="125"/>
      <c r="AC1045" s="125"/>
      <c r="AD1045" s="125"/>
      <c r="AE1045" s="125"/>
      <c r="AF1045" s="125"/>
      <c r="AG1045" s="125"/>
      <c r="AH1045" s="125"/>
      <c r="AI1045" s="125"/>
      <c r="AJ1045" s="125"/>
      <c r="AK1045" s="125"/>
      <c r="AL1045" s="125"/>
      <c r="AM1045" s="125"/>
      <c r="AN1045" s="125"/>
      <c r="AO1045" s="125"/>
      <c r="AP1045" s="125"/>
      <c r="AQ1045" s="125"/>
      <c r="AR1045" s="125"/>
      <c r="AS1045" s="125"/>
      <c r="AT1045" s="125"/>
      <c r="AU1045" s="125"/>
      <c r="AV1045" s="125"/>
      <c r="AW1045" s="125"/>
      <c r="AX1045" s="125"/>
      <c r="AY1045" s="125"/>
      <c r="AZ1045" s="125"/>
      <c r="BA1045" s="125"/>
      <c r="BB1045" s="125"/>
      <c r="BC1045" s="125"/>
      <c r="BD1045" s="125"/>
      <c r="BE1045" s="125"/>
      <c r="BF1045" s="125"/>
    </row>
    <row r="1046" spans="1:58" ht="15.75" customHeight="1">
      <c r="A1046" s="125"/>
      <c r="B1046" s="125"/>
      <c r="C1046" s="125"/>
      <c r="D1046" s="125"/>
      <c r="E1046" s="125"/>
      <c r="F1046" s="125"/>
      <c r="G1046" s="125"/>
      <c r="H1046" s="125"/>
      <c r="I1046" s="125"/>
      <c r="J1046" s="125"/>
      <c r="K1046" s="125"/>
      <c r="L1046" s="125"/>
      <c r="M1046" s="125"/>
      <c r="N1046" s="125"/>
      <c r="O1046" s="125"/>
      <c r="P1046" s="125"/>
      <c r="Q1046" s="125"/>
      <c r="R1046" s="125"/>
      <c r="S1046" s="125"/>
      <c r="T1046" s="125"/>
      <c r="U1046" s="125"/>
      <c r="V1046" s="125"/>
      <c r="W1046" s="125"/>
      <c r="X1046" s="125"/>
      <c r="Y1046" s="125"/>
      <c r="Z1046" s="125"/>
      <c r="AA1046" s="125"/>
      <c r="AB1046" s="125"/>
      <c r="AC1046" s="125"/>
      <c r="AD1046" s="125"/>
      <c r="AE1046" s="125"/>
      <c r="AF1046" s="125"/>
      <c r="AG1046" s="125"/>
      <c r="AH1046" s="125"/>
      <c r="AI1046" s="125"/>
      <c r="AJ1046" s="125"/>
      <c r="AK1046" s="125"/>
      <c r="AL1046" s="125"/>
      <c r="AM1046" s="125"/>
      <c r="AN1046" s="125"/>
      <c r="AO1046" s="125"/>
      <c r="AP1046" s="125"/>
      <c r="AQ1046" s="125"/>
      <c r="AR1046" s="125"/>
      <c r="AS1046" s="125"/>
      <c r="AT1046" s="125"/>
      <c r="AU1046" s="125"/>
      <c r="AV1046" s="125"/>
      <c r="AW1046" s="125"/>
      <c r="AX1046" s="125"/>
      <c r="AY1046" s="125"/>
      <c r="AZ1046" s="125"/>
      <c r="BA1046" s="125"/>
      <c r="BB1046" s="125"/>
      <c r="BC1046" s="125"/>
      <c r="BD1046" s="125"/>
      <c r="BE1046" s="125"/>
      <c r="BF1046" s="125"/>
    </row>
    <row r="1047" spans="1:58" ht="15.75" customHeight="1">
      <c r="A1047" s="125"/>
      <c r="B1047" s="125"/>
      <c r="C1047" s="125"/>
      <c r="D1047" s="125"/>
      <c r="E1047" s="125"/>
      <c r="F1047" s="125"/>
      <c r="G1047" s="125"/>
      <c r="H1047" s="125"/>
      <c r="I1047" s="125"/>
      <c r="J1047" s="125"/>
      <c r="K1047" s="125"/>
      <c r="L1047" s="125"/>
      <c r="M1047" s="125"/>
      <c r="N1047" s="125"/>
      <c r="O1047" s="125"/>
      <c r="P1047" s="125"/>
      <c r="Q1047" s="125"/>
      <c r="R1047" s="125"/>
      <c r="S1047" s="125"/>
      <c r="T1047" s="125"/>
      <c r="U1047" s="125"/>
      <c r="V1047" s="125"/>
      <c r="W1047" s="125"/>
      <c r="X1047" s="125"/>
      <c r="Y1047" s="125"/>
      <c r="Z1047" s="125"/>
      <c r="AA1047" s="125"/>
      <c r="AB1047" s="125"/>
      <c r="AC1047" s="125"/>
      <c r="AD1047" s="125"/>
      <c r="AE1047" s="125"/>
      <c r="AF1047" s="125"/>
      <c r="AG1047" s="125"/>
      <c r="AH1047" s="125"/>
      <c r="AI1047" s="125"/>
      <c r="AJ1047" s="125"/>
      <c r="AK1047" s="125"/>
      <c r="AL1047" s="125"/>
      <c r="AM1047" s="125"/>
      <c r="AN1047" s="125"/>
      <c r="AO1047" s="125"/>
      <c r="AP1047" s="125"/>
      <c r="AQ1047" s="125"/>
      <c r="AR1047" s="125"/>
      <c r="AS1047" s="125"/>
      <c r="AT1047" s="125"/>
      <c r="AU1047" s="125"/>
      <c r="AV1047" s="125"/>
      <c r="AW1047" s="125"/>
      <c r="AX1047" s="125"/>
      <c r="AY1047" s="125"/>
      <c r="AZ1047" s="125"/>
      <c r="BA1047" s="125"/>
      <c r="BB1047" s="125"/>
      <c r="BC1047" s="125"/>
      <c r="BD1047" s="125"/>
      <c r="BE1047" s="125"/>
      <c r="BF1047" s="125"/>
    </row>
    <row r="1048" spans="1:58" ht="15.75" customHeight="1">
      <c r="A1048" s="125"/>
      <c r="B1048" s="125"/>
      <c r="C1048" s="125"/>
      <c r="D1048" s="125"/>
      <c r="E1048" s="125"/>
      <c r="F1048" s="125"/>
      <c r="G1048" s="125"/>
      <c r="H1048" s="125"/>
      <c r="I1048" s="125"/>
      <c r="J1048" s="125"/>
      <c r="K1048" s="125"/>
      <c r="L1048" s="125"/>
      <c r="M1048" s="125"/>
      <c r="N1048" s="125"/>
      <c r="O1048" s="125"/>
      <c r="P1048" s="125"/>
      <c r="Q1048" s="125"/>
      <c r="R1048" s="125"/>
      <c r="S1048" s="125"/>
      <c r="T1048" s="125"/>
      <c r="U1048" s="125"/>
      <c r="V1048" s="125"/>
      <c r="W1048" s="125"/>
      <c r="X1048" s="125"/>
      <c r="Y1048" s="125"/>
      <c r="Z1048" s="125"/>
      <c r="AA1048" s="125"/>
      <c r="AB1048" s="125"/>
      <c r="AC1048" s="125"/>
      <c r="AD1048" s="125"/>
      <c r="AE1048" s="125"/>
      <c r="AF1048" s="125"/>
      <c r="AG1048" s="125"/>
      <c r="AH1048" s="125"/>
      <c r="AI1048" s="125"/>
      <c r="AJ1048" s="125"/>
      <c r="AK1048" s="125"/>
      <c r="AL1048" s="125"/>
      <c r="AM1048" s="125"/>
      <c r="AN1048" s="125"/>
      <c r="AO1048" s="125"/>
      <c r="AP1048" s="125"/>
      <c r="AQ1048" s="125"/>
      <c r="AR1048" s="125"/>
      <c r="AS1048" s="125"/>
      <c r="AT1048" s="125"/>
      <c r="AU1048" s="125"/>
      <c r="AV1048" s="125"/>
      <c r="AW1048" s="125"/>
      <c r="AX1048" s="125"/>
      <c r="AY1048" s="125"/>
      <c r="AZ1048" s="125"/>
      <c r="BA1048" s="125"/>
      <c r="BB1048" s="125"/>
      <c r="BC1048" s="125"/>
      <c r="BD1048" s="125"/>
      <c r="BE1048" s="125"/>
      <c r="BF1048" s="125"/>
    </row>
    <row r="1049" spans="1:58" ht="15.75" customHeight="1">
      <c r="A1049" s="125"/>
      <c r="B1049" s="125"/>
      <c r="C1049" s="125"/>
      <c r="D1049" s="125"/>
      <c r="E1049" s="125"/>
      <c r="F1049" s="125"/>
      <c r="G1049" s="125"/>
      <c r="H1049" s="125"/>
      <c r="I1049" s="125"/>
      <c r="J1049" s="125"/>
      <c r="K1049" s="125"/>
      <c r="L1049" s="125"/>
      <c r="M1049" s="125"/>
      <c r="N1049" s="125"/>
      <c r="O1049" s="125"/>
      <c r="P1049" s="125"/>
      <c r="Q1049" s="125"/>
      <c r="R1049" s="125"/>
      <c r="S1049" s="125"/>
      <c r="T1049" s="125"/>
      <c r="U1049" s="125"/>
      <c r="V1049" s="125"/>
      <c r="W1049" s="125"/>
      <c r="X1049" s="125"/>
      <c r="Y1049" s="125"/>
      <c r="Z1049" s="125"/>
      <c r="AA1049" s="125"/>
      <c r="AB1049" s="125"/>
      <c r="AC1049" s="125"/>
      <c r="AD1049" s="125"/>
      <c r="AE1049" s="125"/>
      <c r="AF1049" s="125"/>
      <c r="AG1049" s="125"/>
      <c r="AH1049" s="125"/>
      <c r="AI1049" s="125"/>
      <c r="AJ1049" s="125"/>
      <c r="AK1049" s="125"/>
      <c r="AL1049" s="125"/>
      <c r="AM1049" s="125"/>
      <c r="AN1049" s="125"/>
      <c r="AO1049" s="125"/>
      <c r="AP1049" s="125"/>
      <c r="AQ1049" s="125"/>
      <c r="AR1049" s="125"/>
      <c r="AS1049" s="125"/>
      <c r="AT1049" s="125"/>
      <c r="AU1049" s="125"/>
      <c r="AV1049" s="125"/>
      <c r="AW1049" s="125"/>
      <c r="AX1049" s="125"/>
      <c r="AY1049" s="125"/>
      <c r="AZ1049" s="125"/>
      <c r="BA1049" s="125"/>
      <c r="BB1049" s="125"/>
      <c r="BC1049" s="125"/>
      <c r="BD1049" s="125"/>
      <c r="BE1049" s="125"/>
      <c r="BF1049" s="125"/>
    </row>
    <row r="1050" spans="1:58" ht="15.75" customHeight="1">
      <c r="A1050" s="125"/>
      <c r="B1050" s="125"/>
      <c r="C1050" s="125"/>
      <c r="D1050" s="125"/>
      <c r="E1050" s="125"/>
      <c r="F1050" s="125"/>
      <c r="G1050" s="125"/>
      <c r="H1050" s="125"/>
      <c r="I1050" s="125"/>
      <c r="J1050" s="125"/>
      <c r="K1050" s="125"/>
      <c r="L1050" s="125"/>
      <c r="M1050" s="125"/>
      <c r="N1050" s="125"/>
      <c r="O1050" s="125"/>
      <c r="P1050" s="125"/>
      <c r="Q1050" s="125"/>
      <c r="R1050" s="125"/>
      <c r="S1050" s="125"/>
      <c r="T1050" s="125"/>
      <c r="U1050" s="125"/>
      <c r="V1050" s="125"/>
      <c r="W1050" s="125"/>
      <c r="X1050" s="125"/>
      <c r="Y1050" s="125"/>
      <c r="Z1050" s="125"/>
      <c r="AA1050" s="125"/>
      <c r="AB1050" s="125"/>
      <c r="AC1050" s="125"/>
      <c r="AD1050" s="125"/>
      <c r="AE1050" s="125"/>
      <c r="AF1050" s="125"/>
      <c r="AG1050" s="125"/>
      <c r="AH1050" s="125"/>
      <c r="AI1050" s="125"/>
      <c r="AJ1050" s="125"/>
      <c r="AK1050" s="125"/>
      <c r="AL1050" s="125"/>
      <c r="AM1050" s="125"/>
      <c r="AN1050" s="125"/>
      <c r="AO1050" s="125"/>
      <c r="AP1050" s="125"/>
      <c r="AQ1050" s="125"/>
      <c r="AR1050" s="125"/>
      <c r="AS1050" s="125"/>
      <c r="AT1050" s="125"/>
      <c r="AU1050" s="125"/>
      <c r="AV1050" s="125"/>
      <c r="AW1050" s="125"/>
      <c r="AX1050" s="125"/>
      <c r="AY1050" s="125"/>
      <c r="AZ1050" s="125"/>
      <c r="BA1050" s="125"/>
      <c r="BB1050" s="125"/>
      <c r="BC1050" s="125"/>
      <c r="BD1050" s="125"/>
      <c r="BE1050" s="125"/>
      <c r="BF1050" s="125"/>
    </row>
    <row r="1051" spans="1:58" ht="15.75" customHeight="1">
      <c r="A1051" s="125"/>
      <c r="B1051" s="125"/>
      <c r="C1051" s="125"/>
      <c r="D1051" s="125"/>
      <c r="E1051" s="125"/>
      <c r="F1051" s="125"/>
      <c r="G1051" s="125"/>
      <c r="H1051" s="125"/>
      <c r="I1051" s="125"/>
      <c r="J1051" s="125"/>
      <c r="K1051" s="125"/>
      <c r="L1051" s="125"/>
      <c r="M1051" s="125"/>
      <c r="N1051" s="125"/>
      <c r="O1051" s="125"/>
      <c r="P1051" s="125"/>
      <c r="Q1051" s="125"/>
      <c r="R1051" s="125"/>
      <c r="S1051" s="125"/>
      <c r="T1051" s="125"/>
      <c r="U1051" s="125"/>
      <c r="V1051" s="125"/>
      <c r="W1051" s="125"/>
      <c r="X1051" s="125"/>
      <c r="Y1051" s="125"/>
      <c r="Z1051" s="125"/>
      <c r="AA1051" s="125"/>
      <c r="AB1051" s="125"/>
      <c r="AC1051" s="125"/>
      <c r="AD1051" s="125"/>
      <c r="AE1051" s="125"/>
      <c r="AF1051" s="125"/>
      <c r="AG1051" s="125"/>
      <c r="AH1051" s="125"/>
      <c r="AI1051" s="125"/>
      <c r="AJ1051" s="125"/>
      <c r="AK1051" s="125"/>
      <c r="AL1051" s="125"/>
      <c r="AM1051" s="125"/>
      <c r="AN1051" s="125"/>
      <c r="AO1051" s="125"/>
      <c r="AP1051" s="125"/>
      <c r="AQ1051" s="125"/>
      <c r="AR1051" s="125"/>
      <c r="AS1051" s="125"/>
      <c r="AT1051" s="125"/>
      <c r="AU1051" s="125"/>
      <c r="AV1051" s="125"/>
      <c r="AW1051" s="125"/>
      <c r="AX1051" s="125"/>
      <c r="AY1051" s="125"/>
      <c r="AZ1051" s="125"/>
      <c r="BA1051" s="125"/>
      <c r="BB1051" s="125"/>
      <c r="BC1051" s="125"/>
      <c r="BD1051" s="125"/>
      <c r="BE1051" s="125"/>
      <c r="BF1051" s="125"/>
    </row>
    <row r="1052" spans="1:58" ht="15.75" customHeight="1">
      <c r="A1052" s="125"/>
      <c r="B1052" s="125"/>
      <c r="C1052" s="125"/>
      <c r="D1052" s="125"/>
      <c r="E1052" s="125"/>
      <c r="F1052" s="125"/>
      <c r="G1052" s="125"/>
      <c r="H1052" s="125"/>
      <c r="I1052" s="125"/>
      <c r="J1052" s="125"/>
      <c r="K1052" s="125"/>
      <c r="L1052" s="125"/>
      <c r="M1052" s="125"/>
      <c r="N1052" s="125"/>
      <c r="O1052" s="125"/>
      <c r="P1052" s="125"/>
      <c r="Q1052" s="125"/>
      <c r="R1052" s="125"/>
      <c r="S1052" s="125"/>
      <c r="T1052" s="125"/>
      <c r="U1052" s="125"/>
      <c r="V1052" s="125"/>
      <c r="W1052" s="125"/>
      <c r="X1052" s="125"/>
      <c r="Y1052" s="125"/>
      <c r="Z1052" s="125"/>
      <c r="AA1052" s="125"/>
      <c r="AB1052" s="125"/>
      <c r="AC1052" s="125"/>
      <c r="AD1052" s="125"/>
      <c r="AE1052" s="125"/>
      <c r="AF1052" s="125"/>
      <c r="AG1052" s="125"/>
      <c r="AH1052" s="125"/>
      <c r="AI1052" s="125"/>
      <c r="AJ1052" s="125"/>
      <c r="AK1052" s="125"/>
      <c r="AL1052" s="125"/>
      <c r="AM1052" s="125"/>
      <c r="AN1052" s="125"/>
      <c r="AO1052" s="125"/>
      <c r="AP1052" s="125"/>
      <c r="AQ1052" s="125"/>
      <c r="AR1052" s="125"/>
      <c r="AS1052" s="125"/>
      <c r="AT1052" s="125"/>
      <c r="AU1052" s="125"/>
      <c r="AV1052" s="125"/>
      <c r="AW1052" s="125"/>
      <c r="AX1052" s="125"/>
      <c r="AY1052" s="125"/>
      <c r="AZ1052" s="125"/>
      <c r="BA1052" s="125"/>
      <c r="BB1052" s="125"/>
      <c r="BC1052" s="125"/>
      <c r="BD1052" s="125"/>
      <c r="BE1052" s="125"/>
      <c r="BF1052" s="125"/>
    </row>
    <row r="1053" spans="1:58" ht="15.75" customHeight="1">
      <c r="A1053" s="125"/>
      <c r="B1053" s="125"/>
      <c r="C1053" s="125"/>
      <c r="D1053" s="125"/>
      <c r="E1053" s="125"/>
      <c r="F1053" s="125"/>
      <c r="G1053" s="125"/>
      <c r="H1053" s="125"/>
      <c r="I1053" s="125"/>
      <c r="J1053" s="125"/>
      <c r="K1053" s="125"/>
      <c r="L1053" s="125"/>
      <c r="M1053" s="125"/>
      <c r="N1053" s="125"/>
      <c r="O1053" s="125"/>
      <c r="P1053" s="125"/>
      <c r="Q1053" s="125"/>
      <c r="R1053" s="125"/>
      <c r="S1053" s="125"/>
      <c r="T1053" s="125"/>
      <c r="U1053" s="125"/>
      <c r="V1053" s="125"/>
      <c r="W1053" s="125"/>
      <c r="X1053" s="125"/>
      <c r="Y1053" s="125"/>
      <c r="Z1053" s="125"/>
      <c r="AA1053" s="125"/>
      <c r="AB1053" s="125"/>
      <c r="AC1053" s="125"/>
      <c r="AD1053" s="125"/>
      <c r="AE1053" s="125"/>
      <c r="AF1053" s="125"/>
      <c r="AG1053" s="125"/>
      <c r="AH1053" s="125"/>
      <c r="AI1053" s="125"/>
      <c r="AJ1053" s="125"/>
      <c r="AK1053" s="125"/>
      <c r="AL1053" s="125"/>
      <c r="AM1053" s="125"/>
      <c r="AN1053" s="125"/>
      <c r="AO1053" s="125"/>
      <c r="AP1053" s="125"/>
      <c r="AQ1053" s="125"/>
      <c r="AR1053" s="125"/>
      <c r="AS1053" s="125"/>
      <c r="AT1053" s="125"/>
      <c r="AU1053" s="125"/>
      <c r="AV1053" s="125"/>
      <c r="AW1053" s="125"/>
      <c r="AX1053" s="125"/>
      <c r="AY1053" s="125"/>
      <c r="AZ1053" s="125"/>
      <c r="BA1053" s="125"/>
      <c r="BB1053" s="125"/>
      <c r="BC1053" s="125"/>
      <c r="BD1053" s="125"/>
      <c r="BE1053" s="125"/>
      <c r="BF1053" s="125"/>
    </row>
    <row r="1054" spans="1:58" ht="15.75" customHeight="1">
      <c r="A1054" s="125"/>
      <c r="B1054" s="125"/>
      <c r="C1054" s="125"/>
      <c r="D1054" s="125"/>
      <c r="E1054" s="125"/>
      <c r="F1054" s="125"/>
      <c r="G1054" s="125"/>
      <c r="H1054" s="125"/>
      <c r="I1054" s="125"/>
      <c r="J1054" s="125"/>
      <c r="K1054" s="125"/>
      <c r="L1054" s="125"/>
      <c r="M1054" s="125"/>
      <c r="N1054" s="125"/>
      <c r="O1054" s="125"/>
      <c r="P1054" s="125"/>
      <c r="Q1054" s="125"/>
      <c r="R1054" s="125"/>
      <c r="S1054" s="125"/>
      <c r="T1054" s="125"/>
      <c r="U1054" s="125"/>
      <c r="V1054" s="125"/>
      <c r="W1054" s="125"/>
      <c r="X1054" s="125"/>
      <c r="Y1054" s="125"/>
      <c r="Z1054" s="125"/>
      <c r="AA1054" s="125"/>
      <c r="AB1054" s="125"/>
      <c r="AC1054" s="125"/>
      <c r="AD1054" s="125"/>
      <c r="AE1054" s="125"/>
      <c r="AF1054" s="125"/>
      <c r="AG1054" s="125"/>
      <c r="AH1054" s="125"/>
      <c r="AI1054" s="125"/>
      <c r="AJ1054" s="125"/>
      <c r="AK1054" s="125"/>
      <c r="AL1054" s="125"/>
      <c r="AM1054" s="125"/>
      <c r="AN1054" s="125"/>
      <c r="AO1054" s="125"/>
      <c r="AP1054" s="125"/>
      <c r="AQ1054" s="125"/>
      <c r="AR1054" s="125"/>
      <c r="AS1054" s="125"/>
      <c r="AT1054" s="125"/>
      <c r="AU1054" s="125"/>
      <c r="AV1054" s="125"/>
      <c r="AW1054" s="125"/>
      <c r="AX1054" s="125"/>
      <c r="AY1054" s="125"/>
      <c r="AZ1054" s="125"/>
      <c r="BA1054" s="125"/>
      <c r="BB1054" s="125"/>
      <c r="BC1054" s="125"/>
      <c r="BD1054" s="125"/>
      <c r="BE1054" s="125"/>
      <c r="BF1054" s="125"/>
    </row>
    <row r="1055" spans="1:58" ht="15.75" customHeight="1">
      <c r="A1055" s="125"/>
      <c r="B1055" s="125"/>
      <c r="C1055" s="125"/>
      <c r="D1055" s="125"/>
      <c r="E1055" s="125"/>
      <c r="F1055" s="125"/>
      <c r="G1055" s="125"/>
      <c r="H1055" s="125"/>
      <c r="I1055" s="125"/>
      <c r="J1055" s="125"/>
      <c r="K1055" s="125"/>
      <c r="L1055" s="125"/>
      <c r="M1055" s="125"/>
      <c r="N1055" s="125"/>
      <c r="O1055" s="125"/>
      <c r="P1055" s="125"/>
      <c r="Q1055" s="125"/>
      <c r="R1055" s="125"/>
      <c r="S1055" s="125"/>
      <c r="T1055" s="125"/>
      <c r="U1055" s="125"/>
      <c r="V1055" s="125"/>
      <c r="W1055" s="125"/>
      <c r="X1055" s="125"/>
      <c r="Y1055" s="125"/>
      <c r="Z1055" s="125"/>
      <c r="AA1055" s="125"/>
      <c r="AB1055" s="125"/>
      <c r="AC1055" s="125"/>
      <c r="AD1055" s="125"/>
      <c r="AE1055" s="125"/>
      <c r="AF1055" s="125"/>
      <c r="AG1055" s="125"/>
      <c r="AH1055" s="125"/>
      <c r="AI1055" s="125"/>
      <c r="AJ1055" s="125"/>
      <c r="AK1055" s="125"/>
      <c r="AL1055" s="125"/>
      <c r="AM1055" s="125"/>
      <c r="AN1055" s="125"/>
      <c r="AO1055" s="125"/>
      <c r="AP1055" s="125"/>
      <c r="AQ1055" s="125"/>
      <c r="AR1055" s="125"/>
      <c r="AS1055" s="125"/>
      <c r="AT1055" s="125"/>
      <c r="AU1055" s="125"/>
      <c r="AV1055" s="125"/>
      <c r="AW1055" s="125"/>
      <c r="AX1055" s="125"/>
      <c r="AY1055" s="125"/>
      <c r="AZ1055" s="125"/>
      <c r="BA1055" s="125"/>
      <c r="BB1055" s="125"/>
      <c r="BC1055" s="125"/>
      <c r="BD1055" s="125"/>
      <c r="BE1055" s="125"/>
      <c r="BF1055" s="125"/>
    </row>
    <row r="1056" spans="1:58" ht="15.75" customHeight="1">
      <c r="A1056" s="125"/>
      <c r="B1056" s="125"/>
      <c r="C1056" s="125"/>
      <c r="D1056" s="125"/>
      <c r="E1056" s="125"/>
      <c r="F1056" s="125"/>
      <c r="G1056" s="125"/>
      <c r="H1056" s="125"/>
      <c r="I1056" s="125"/>
      <c r="J1056" s="125"/>
      <c r="K1056" s="125"/>
      <c r="L1056" s="125"/>
      <c r="M1056" s="125"/>
      <c r="N1056" s="125"/>
      <c r="O1056" s="125"/>
      <c r="P1056" s="125"/>
      <c r="Q1056" s="125"/>
      <c r="R1056" s="125"/>
      <c r="S1056" s="125"/>
      <c r="T1056" s="125"/>
      <c r="U1056" s="125"/>
      <c r="V1056" s="125"/>
      <c r="W1056" s="125"/>
      <c r="X1056" s="125"/>
      <c r="Y1056" s="125"/>
      <c r="Z1056" s="125"/>
      <c r="AA1056" s="125"/>
      <c r="AB1056" s="125"/>
      <c r="AC1056" s="125"/>
      <c r="AD1056" s="125"/>
      <c r="AE1056" s="125"/>
      <c r="AF1056" s="125"/>
      <c r="AG1056" s="125"/>
      <c r="AH1056" s="125"/>
      <c r="AI1056" s="125"/>
      <c r="AJ1056" s="125"/>
      <c r="AK1056" s="125"/>
      <c r="AL1056" s="125"/>
      <c r="AM1056" s="125"/>
      <c r="AN1056" s="125"/>
      <c r="AO1056" s="125"/>
      <c r="AP1056" s="125"/>
      <c r="AQ1056" s="125"/>
      <c r="AR1056" s="125"/>
      <c r="AS1056" s="125"/>
      <c r="AT1056" s="125"/>
      <c r="AU1056" s="125"/>
      <c r="AV1056" s="125"/>
      <c r="AW1056" s="125"/>
      <c r="AX1056" s="125"/>
      <c r="AY1056" s="125"/>
      <c r="AZ1056" s="125"/>
      <c r="BA1056" s="125"/>
      <c r="BB1056" s="125"/>
      <c r="BC1056" s="125"/>
      <c r="BD1056" s="125"/>
      <c r="BE1056" s="125"/>
      <c r="BF1056" s="125"/>
    </row>
    <row r="1057" spans="1:58" ht="15.75" customHeight="1">
      <c r="A1057" s="125"/>
      <c r="B1057" s="125"/>
      <c r="C1057" s="125"/>
      <c r="D1057" s="125"/>
      <c r="E1057" s="125"/>
      <c r="F1057" s="125"/>
      <c r="G1057" s="125"/>
      <c r="H1057" s="125"/>
      <c r="I1057" s="125"/>
      <c r="J1057" s="125"/>
      <c r="K1057" s="125"/>
      <c r="L1057" s="125"/>
      <c r="M1057" s="125"/>
      <c r="N1057" s="125"/>
      <c r="O1057" s="125"/>
      <c r="P1057" s="125"/>
      <c r="Q1057" s="125"/>
      <c r="R1057" s="125"/>
      <c r="S1057" s="125"/>
      <c r="T1057" s="125"/>
      <c r="U1057" s="125"/>
      <c r="V1057" s="125"/>
      <c r="W1057" s="125"/>
      <c r="X1057" s="125"/>
      <c r="Y1057" s="125"/>
      <c r="Z1057" s="125"/>
      <c r="AA1057" s="125"/>
      <c r="AB1057" s="125"/>
      <c r="AC1057" s="125"/>
      <c r="AD1057" s="125"/>
      <c r="AE1057" s="125"/>
      <c r="AF1057" s="125"/>
      <c r="AG1057" s="125"/>
      <c r="AH1057" s="125"/>
      <c r="AI1057" s="125"/>
      <c r="AJ1057" s="125"/>
      <c r="AK1057" s="125"/>
      <c r="AL1057" s="125"/>
      <c r="AM1057" s="125"/>
      <c r="AN1057" s="125"/>
      <c r="AO1057" s="125"/>
      <c r="AP1057" s="125"/>
      <c r="AQ1057" s="125"/>
      <c r="AR1057" s="125"/>
      <c r="AS1057" s="125"/>
      <c r="AT1057" s="125"/>
      <c r="AU1057" s="125"/>
      <c r="AV1057" s="125"/>
      <c r="AW1057" s="125"/>
      <c r="AX1057" s="125"/>
      <c r="AY1057" s="125"/>
      <c r="AZ1057" s="125"/>
      <c r="BA1057" s="125"/>
      <c r="BB1057" s="125"/>
      <c r="BC1057" s="125"/>
      <c r="BD1057" s="125"/>
      <c r="BE1057" s="125"/>
      <c r="BF1057" s="125"/>
    </row>
    <row r="1058" spans="1:58" ht="15.75" customHeight="1">
      <c r="A1058" s="125"/>
      <c r="B1058" s="125"/>
      <c r="C1058" s="125"/>
      <c r="D1058" s="125"/>
      <c r="E1058" s="125"/>
      <c r="F1058" s="125"/>
      <c r="G1058" s="125"/>
      <c r="H1058" s="125"/>
      <c r="I1058" s="125"/>
      <c r="J1058" s="125"/>
      <c r="K1058" s="125"/>
      <c r="L1058" s="125"/>
      <c r="M1058" s="125"/>
      <c r="N1058" s="125"/>
      <c r="O1058" s="125"/>
      <c r="P1058" s="125"/>
      <c r="Q1058" s="125"/>
      <c r="R1058" s="125"/>
      <c r="S1058" s="125"/>
      <c r="T1058" s="125"/>
      <c r="U1058" s="125"/>
      <c r="V1058" s="125"/>
      <c r="W1058" s="125"/>
      <c r="X1058" s="125"/>
      <c r="Y1058" s="125"/>
      <c r="Z1058" s="125"/>
      <c r="AA1058" s="125"/>
      <c r="AB1058" s="125"/>
      <c r="AC1058" s="125"/>
      <c r="AD1058" s="125"/>
      <c r="AE1058" s="125"/>
      <c r="AF1058" s="125"/>
      <c r="AG1058" s="125"/>
      <c r="AH1058" s="125"/>
      <c r="AI1058" s="125"/>
      <c r="AJ1058" s="125"/>
      <c r="AK1058" s="125"/>
      <c r="AL1058" s="125"/>
      <c r="AM1058" s="125"/>
      <c r="AN1058" s="125"/>
      <c r="AO1058" s="125"/>
      <c r="AP1058" s="125"/>
      <c r="AQ1058" s="125"/>
      <c r="AR1058" s="125"/>
      <c r="AS1058" s="125"/>
      <c r="AT1058" s="125"/>
      <c r="AU1058" s="125"/>
      <c r="AV1058" s="125"/>
      <c r="AW1058" s="125"/>
      <c r="AX1058" s="125"/>
      <c r="AY1058" s="125"/>
      <c r="AZ1058" s="125"/>
      <c r="BA1058" s="125"/>
      <c r="BB1058" s="125"/>
      <c r="BC1058" s="125"/>
      <c r="BD1058" s="125"/>
      <c r="BE1058" s="125"/>
      <c r="BF1058" s="125"/>
    </row>
    <row r="1059" spans="1:58" ht="15.75" customHeight="1">
      <c r="A1059" s="125"/>
      <c r="B1059" s="125"/>
      <c r="C1059" s="125"/>
      <c r="D1059" s="125"/>
      <c r="E1059" s="125"/>
      <c r="F1059" s="125"/>
      <c r="G1059" s="125"/>
      <c r="H1059" s="125"/>
      <c r="I1059" s="125"/>
      <c r="J1059" s="125"/>
      <c r="K1059" s="125"/>
      <c r="L1059" s="125"/>
      <c r="M1059" s="125"/>
      <c r="N1059" s="125"/>
      <c r="O1059" s="125"/>
      <c r="P1059" s="125"/>
      <c r="Q1059" s="125"/>
      <c r="R1059" s="125"/>
      <c r="S1059" s="125"/>
      <c r="T1059" s="125"/>
      <c r="U1059" s="125"/>
      <c r="V1059" s="125"/>
      <c r="W1059" s="125"/>
      <c r="X1059" s="125"/>
      <c r="Y1059" s="125"/>
      <c r="Z1059" s="125"/>
      <c r="AA1059" s="125"/>
      <c r="AB1059" s="125"/>
      <c r="AC1059" s="125"/>
      <c r="AD1059" s="125"/>
      <c r="AE1059" s="125"/>
      <c r="AF1059" s="125"/>
      <c r="AG1059" s="125"/>
      <c r="AH1059" s="125"/>
      <c r="AI1059" s="125"/>
      <c r="AJ1059" s="125"/>
      <c r="AK1059" s="125"/>
      <c r="AL1059" s="125"/>
      <c r="AM1059" s="125"/>
      <c r="AN1059" s="125"/>
      <c r="AO1059" s="125"/>
      <c r="AP1059" s="125"/>
      <c r="AQ1059" s="125"/>
      <c r="AR1059" s="125"/>
      <c r="AS1059" s="125"/>
      <c r="AT1059" s="125"/>
      <c r="AU1059" s="125"/>
      <c r="AV1059" s="125"/>
      <c r="AW1059" s="125"/>
      <c r="AX1059" s="125"/>
      <c r="AY1059" s="125"/>
      <c r="AZ1059" s="125"/>
      <c r="BA1059" s="125"/>
      <c r="BB1059" s="125"/>
      <c r="BC1059" s="125"/>
      <c r="BD1059" s="125"/>
      <c r="BE1059" s="125"/>
      <c r="BF1059" s="125"/>
    </row>
    <row r="1060" spans="1:58" ht="15.75" customHeight="1">
      <c r="A1060" s="125"/>
      <c r="B1060" s="125"/>
      <c r="C1060" s="125"/>
      <c r="D1060" s="125"/>
      <c r="E1060" s="125"/>
      <c r="F1060" s="125"/>
      <c r="G1060" s="125"/>
      <c r="H1060" s="125"/>
      <c r="I1060" s="125"/>
      <c r="J1060" s="125"/>
      <c r="K1060" s="125"/>
      <c r="L1060" s="125"/>
      <c r="M1060" s="125"/>
      <c r="N1060" s="125"/>
      <c r="O1060" s="125"/>
      <c r="P1060" s="125"/>
      <c r="Q1060" s="125"/>
      <c r="R1060" s="125"/>
      <c r="S1060" s="125"/>
      <c r="T1060" s="125"/>
      <c r="U1060" s="125"/>
      <c r="V1060" s="125"/>
      <c r="W1060" s="125"/>
      <c r="X1060" s="125"/>
      <c r="Y1060" s="125"/>
      <c r="Z1060" s="125"/>
      <c r="AA1060" s="125"/>
      <c r="AB1060" s="125"/>
      <c r="AC1060" s="125"/>
      <c r="AD1060" s="125"/>
      <c r="AE1060" s="125"/>
      <c r="AF1060" s="125"/>
      <c r="AG1060" s="125"/>
      <c r="AH1060" s="125"/>
      <c r="AI1060" s="125"/>
      <c r="AJ1060" s="125"/>
      <c r="AK1060" s="125"/>
      <c r="AL1060" s="125"/>
      <c r="AM1060" s="125"/>
      <c r="AN1060" s="125"/>
      <c r="AO1060" s="125"/>
      <c r="AP1060" s="125"/>
      <c r="AQ1060" s="125"/>
      <c r="AR1060" s="125"/>
      <c r="AS1060" s="125"/>
      <c r="AT1060" s="125"/>
      <c r="AU1060" s="125"/>
      <c r="AV1060" s="125"/>
      <c r="AW1060" s="125"/>
      <c r="AX1060" s="125"/>
      <c r="AY1060" s="125"/>
      <c r="AZ1060" s="125"/>
      <c r="BA1060" s="125"/>
      <c r="BB1060" s="125"/>
      <c r="BC1060" s="125"/>
      <c r="BD1060" s="125"/>
      <c r="BE1060" s="125"/>
      <c r="BF1060" s="125"/>
    </row>
    <row r="1061" spans="1:58" ht="15.75" customHeight="1">
      <c r="A1061" s="125"/>
      <c r="B1061" s="125"/>
      <c r="C1061" s="125"/>
      <c r="D1061" s="125"/>
      <c r="E1061" s="125"/>
      <c r="F1061" s="125"/>
      <c r="G1061" s="125"/>
      <c r="H1061" s="125"/>
      <c r="I1061" s="125"/>
      <c r="J1061" s="125"/>
      <c r="K1061" s="125"/>
      <c r="L1061" s="125"/>
      <c r="M1061" s="125"/>
      <c r="N1061" s="125"/>
      <c r="O1061" s="125"/>
      <c r="P1061" s="125"/>
      <c r="Q1061" s="125"/>
      <c r="R1061" s="125"/>
      <c r="S1061" s="125"/>
      <c r="T1061" s="125"/>
      <c r="U1061" s="125"/>
      <c r="V1061" s="125"/>
      <c r="W1061" s="125"/>
      <c r="X1061" s="125"/>
      <c r="Y1061" s="125"/>
      <c r="Z1061" s="125"/>
      <c r="AA1061" s="125"/>
      <c r="AB1061" s="125"/>
      <c r="AC1061" s="125"/>
      <c r="AD1061" s="125"/>
      <c r="AE1061" s="125"/>
      <c r="AF1061" s="125"/>
      <c r="AG1061" s="125"/>
      <c r="AH1061" s="125"/>
      <c r="AI1061" s="125"/>
      <c r="AJ1061" s="125"/>
      <c r="AK1061" s="125"/>
      <c r="AL1061" s="125"/>
      <c r="AM1061" s="125"/>
      <c r="AN1061" s="125"/>
      <c r="AO1061" s="125"/>
      <c r="AP1061" s="125"/>
      <c r="AQ1061" s="125"/>
      <c r="AR1061" s="125"/>
      <c r="AS1061" s="125"/>
      <c r="AT1061" s="125"/>
      <c r="AU1061" s="125"/>
      <c r="AV1061" s="125"/>
      <c r="AW1061" s="125"/>
      <c r="AX1061" s="125"/>
      <c r="AY1061" s="125"/>
      <c r="AZ1061" s="125"/>
      <c r="BA1061" s="125"/>
      <c r="BB1061" s="125"/>
      <c r="BC1061" s="125"/>
      <c r="BD1061" s="125"/>
      <c r="BE1061" s="125"/>
      <c r="BF1061" s="125"/>
    </row>
    <row r="1062" spans="1:58" ht="15.75" customHeight="1">
      <c r="A1062" s="125"/>
      <c r="B1062" s="125"/>
      <c r="C1062" s="125"/>
      <c r="D1062" s="125"/>
      <c r="E1062" s="125"/>
      <c r="F1062" s="125"/>
      <c r="G1062" s="125"/>
      <c r="H1062" s="125"/>
      <c r="I1062" s="125"/>
      <c r="J1062" s="125"/>
      <c r="K1062" s="125"/>
      <c r="L1062" s="125"/>
      <c r="M1062" s="125"/>
      <c r="N1062" s="125"/>
      <c r="O1062" s="125"/>
      <c r="P1062" s="125"/>
      <c r="Q1062" s="125"/>
      <c r="R1062" s="125"/>
      <c r="S1062" s="125"/>
      <c r="T1062" s="125"/>
      <c r="U1062" s="125"/>
      <c r="V1062" s="125"/>
      <c r="W1062" s="125"/>
      <c r="X1062" s="125"/>
      <c r="Y1062" s="125"/>
      <c r="Z1062" s="125"/>
      <c r="AA1062" s="125"/>
      <c r="AB1062" s="125"/>
      <c r="AC1062" s="125"/>
      <c r="AD1062" s="125"/>
      <c r="AE1062" s="125"/>
      <c r="AF1062" s="125"/>
      <c r="AG1062" s="125"/>
      <c r="AH1062" s="125"/>
      <c r="AI1062" s="125"/>
      <c r="AJ1062" s="125"/>
      <c r="AK1062" s="125"/>
      <c r="AL1062" s="125"/>
      <c r="AM1062" s="125"/>
      <c r="AN1062" s="125"/>
      <c r="AO1062" s="125"/>
      <c r="AP1062" s="125"/>
      <c r="AQ1062" s="125"/>
      <c r="AR1062" s="125"/>
      <c r="AS1062" s="125"/>
      <c r="AT1062" s="125"/>
      <c r="AU1062" s="125"/>
      <c r="AV1062" s="125"/>
      <c r="AW1062" s="125"/>
      <c r="AX1062" s="125"/>
      <c r="AY1062" s="125"/>
      <c r="AZ1062" s="125"/>
      <c r="BA1062" s="125"/>
      <c r="BB1062" s="125"/>
      <c r="BC1062" s="125"/>
      <c r="BD1062" s="125"/>
      <c r="BE1062" s="125"/>
      <c r="BF1062" s="125"/>
    </row>
    <row r="1063" spans="1:58" ht="15.75" customHeight="1">
      <c r="A1063" s="125"/>
      <c r="B1063" s="125"/>
      <c r="C1063" s="125"/>
      <c r="D1063" s="125"/>
      <c r="E1063" s="125"/>
      <c r="F1063" s="125"/>
      <c r="G1063" s="125"/>
      <c r="H1063" s="125"/>
      <c r="I1063" s="125"/>
      <c r="J1063" s="125"/>
      <c r="K1063" s="125"/>
      <c r="L1063" s="125"/>
      <c r="M1063" s="125"/>
      <c r="N1063" s="125"/>
      <c r="O1063" s="125"/>
      <c r="P1063" s="125"/>
      <c r="Q1063" s="125"/>
      <c r="R1063" s="125"/>
      <c r="S1063" s="125"/>
      <c r="T1063" s="125"/>
      <c r="U1063" s="125"/>
      <c r="V1063" s="125"/>
      <c r="W1063" s="125"/>
      <c r="X1063" s="125"/>
      <c r="Y1063" s="125"/>
      <c r="Z1063" s="125"/>
      <c r="AA1063" s="125"/>
      <c r="AB1063" s="125"/>
      <c r="AC1063" s="125"/>
      <c r="AD1063" s="125"/>
      <c r="AE1063" s="125"/>
      <c r="AF1063" s="125"/>
      <c r="AG1063" s="125"/>
      <c r="AH1063" s="125"/>
      <c r="AI1063" s="125"/>
      <c r="AJ1063" s="125"/>
      <c r="AK1063" s="125"/>
      <c r="AL1063" s="125"/>
      <c r="AM1063" s="125"/>
      <c r="AN1063" s="125"/>
      <c r="AO1063" s="125"/>
      <c r="AP1063" s="125"/>
      <c r="AQ1063" s="125"/>
      <c r="AR1063" s="125"/>
      <c r="AS1063" s="125"/>
      <c r="AT1063" s="125"/>
      <c r="AU1063" s="125"/>
      <c r="AV1063" s="125"/>
      <c r="AW1063" s="125"/>
      <c r="AX1063" s="125"/>
      <c r="AY1063" s="125"/>
      <c r="AZ1063" s="125"/>
      <c r="BA1063" s="125"/>
      <c r="BB1063" s="125"/>
      <c r="BC1063" s="125"/>
      <c r="BD1063" s="125"/>
      <c r="BE1063" s="125"/>
      <c r="BF1063" s="125"/>
    </row>
    <row r="1064" spans="1:58" ht="15.75" customHeight="1">
      <c r="A1064" s="125"/>
      <c r="B1064" s="125"/>
      <c r="C1064" s="125"/>
      <c r="D1064" s="125"/>
      <c r="E1064" s="125"/>
      <c r="F1064" s="125"/>
      <c r="G1064" s="125"/>
      <c r="H1064" s="125"/>
      <c r="I1064" s="125"/>
      <c r="J1064" s="125"/>
      <c r="K1064" s="125"/>
      <c r="L1064" s="125"/>
      <c r="M1064" s="125"/>
      <c r="N1064" s="125"/>
      <c r="O1064" s="125"/>
      <c r="P1064" s="125"/>
      <c r="Q1064" s="125"/>
      <c r="R1064" s="125"/>
      <c r="S1064" s="125"/>
      <c r="T1064" s="125"/>
      <c r="U1064" s="125"/>
      <c r="V1064" s="125"/>
      <c r="W1064" s="125"/>
      <c r="X1064" s="125"/>
      <c r="Y1064" s="125"/>
      <c r="Z1064" s="125"/>
      <c r="AA1064" s="125"/>
      <c r="AB1064" s="125"/>
      <c r="AC1064" s="125"/>
      <c r="AD1064" s="125"/>
      <c r="AE1064" s="125"/>
      <c r="AF1064" s="125"/>
      <c r="AG1064" s="125"/>
      <c r="AH1064" s="125"/>
      <c r="AI1064" s="125"/>
      <c r="AJ1064" s="125"/>
      <c r="AK1064" s="125"/>
      <c r="AL1064" s="125"/>
      <c r="AM1064" s="125"/>
      <c r="AN1064" s="125"/>
      <c r="AO1064" s="125"/>
      <c r="AP1064" s="125"/>
      <c r="AQ1064" s="125"/>
      <c r="AR1064" s="125"/>
      <c r="AS1064" s="125"/>
      <c r="AT1064" s="125"/>
      <c r="AU1064" s="125"/>
      <c r="AV1064" s="125"/>
      <c r="AW1064" s="125"/>
      <c r="AX1064" s="125"/>
      <c r="AY1064" s="125"/>
      <c r="AZ1064" s="125"/>
      <c r="BA1064" s="125"/>
      <c r="BB1064" s="125"/>
      <c r="BC1064" s="125"/>
      <c r="BD1064" s="125"/>
      <c r="BE1064" s="125"/>
      <c r="BF1064" s="125"/>
    </row>
    <row r="1065" spans="1:58" ht="15.75" customHeight="1">
      <c r="A1065" s="125"/>
      <c r="B1065" s="125"/>
      <c r="C1065" s="125"/>
      <c r="D1065" s="125"/>
      <c r="E1065" s="125"/>
      <c r="F1065" s="125"/>
      <c r="G1065" s="125"/>
      <c r="H1065" s="125"/>
      <c r="I1065" s="125"/>
      <c r="J1065" s="125"/>
      <c r="K1065" s="125"/>
      <c r="L1065" s="125"/>
      <c r="M1065" s="125"/>
      <c r="N1065" s="125"/>
      <c r="O1065" s="125"/>
      <c r="P1065" s="125"/>
      <c r="Q1065" s="125"/>
      <c r="R1065" s="125"/>
      <c r="S1065" s="125"/>
      <c r="T1065" s="125"/>
      <c r="U1065" s="125"/>
      <c r="V1065" s="125"/>
      <c r="W1065" s="125"/>
      <c r="X1065" s="125"/>
      <c r="Y1065" s="125"/>
      <c r="Z1065" s="125"/>
      <c r="AA1065" s="125"/>
      <c r="AB1065" s="125"/>
      <c r="AC1065" s="125"/>
      <c r="AD1065" s="125"/>
      <c r="AE1065" s="125"/>
      <c r="AF1065" s="125"/>
      <c r="AG1065" s="125"/>
      <c r="AH1065" s="125"/>
      <c r="AI1065" s="125"/>
      <c r="AJ1065" s="125"/>
      <c r="AK1065" s="125"/>
      <c r="AL1065" s="125"/>
      <c r="AM1065" s="125"/>
      <c r="AN1065" s="125"/>
      <c r="AO1065" s="125"/>
      <c r="AP1065" s="125"/>
      <c r="AQ1065" s="125"/>
      <c r="AR1065" s="125"/>
      <c r="AS1065" s="125"/>
      <c r="AT1065" s="125"/>
      <c r="AU1065" s="125"/>
      <c r="AV1065" s="125"/>
      <c r="AW1065" s="125"/>
      <c r="AX1065" s="125"/>
      <c r="AY1065" s="125"/>
      <c r="AZ1065" s="125"/>
      <c r="BA1065" s="125"/>
      <c r="BB1065" s="125"/>
      <c r="BC1065" s="125"/>
      <c r="BD1065" s="125"/>
      <c r="BE1065" s="125"/>
      <c r="BF1065" s="125"/>
    </row>
    <row r="1066" spans="1:58" ht="15.75" customHeight="1">
      <c r="A1066" s="125"/>
      <c r="B1066" s="125"/>
      <c r="C1066" s="125"/>
      <c r="D1066" s="125"/>
      <c r="E1066" s="125"/>
      <c r="F1066" s="125"/>
      <c r="G1066" s="125"/>
      <c r="H1066" s="125"/>
      <c r="I1066" s="125"/>
      <c r="J1066" s="125"/>
      <c r="K1066" s="125"/>
      <c r="L1066" s="125"/>
      <c r="M1066" s="125"/>
      <c r="N1066" s="125"/>
      <c r="O1066" s="125"/>
      <c r="P1066" s="125"/>
      <c r="Q1066" s="125"/>
      <c r="R1066" s="125"/>
      <c r="S1066" s="125"/>
      <c r="T1066" s="125"/>
      <c r="U1066" s="125"/>
      <c r="V1066" s="125"/>
      <c r="W1066" s="125"/>
      <c r="X1066" s="125"/>
      <c r="Y1066" s="125"/>
      <c r="Z1066" s="125"/>
      <c r="AA1066" s="125"/>
      <c r="AB1066" s="125"/>
      <c r="AC1066" s="125"/>
      <c r="AD1066" s="125"/>
      <c r="AE1066" s="125"/>
      <c r="AF1066" s="125"/>
      <c r="AG1066" s="125"/>
      <c r="AH1066" s="125"/>
      <c r="AI1066" s="125"/>
      <c r="AJ1066" s="125"/>
      <c r="AK1066" s="125"/>
      <c r="AL1066" s="125"/>
      <c r="AM1066" s="125"/>
      <c r="AN1066" s="125"/>
      <c r="AO1066" s="125"/>
      <c r="AP1066" s="125"/>
      <c r="AQ1066" s="125"/>
      <c r="AR1066" s="125"/>
      <c r="AS1066" s="125"/>
      <c r="AT1066" s="125"/>
      <c r="AU1066" s="125"/>
      <c r="AV1066" s="125"/>
      <c r="AW1066" s="125"/>
      <c r="AX1066" s="125"/>
      <c r="AY1066" s="125"/>
      <c r="AZ1066" s="125"/>
      <c r="BA1066" s="125"/>
      <c r="BB1066" s="125"/>
      <c r="BC1066" s="125"/>
      <c r="BD1066" s="125"/>
      <c r="BE1066" s="125"/>
      <c r="BF1066" s="125"/>
    </row>
    <row r="1067" spans="1:58" ht="15.75" customHeight="1">
      <c r="A1067" s="125"/>
      <c r="B1067" s="125"/>
      <c r="C1067" s="125"/>
      <c r="D1067" s="125"/>
      <c r="E1067" s="125"/>
      <c r="F1067" s="125"/>
      <c r="G1067" s="125"/>
      <c r="H1067" s="125"/>
      <c r="I1067" s="125"/>
      <c r="J1067" s="125"/>
      <c r="K1067" s="125"/>
      <c r="L1067" s="125"/>
      <c r="M1067" s="125"/>
      <c r="N1067" s="125"/>
      <c r="O1067" s="125"/>
      <c r="P1067" s="125"/>
      <c r="Q1067" s="125"/>
      <c r="R1067" s="125"/>
      <c r="S1067" s="125"/>
      <c r="T1067" s="125"/>
      <c r="U1067" s="125"/>
      <c r="V1067" s="125"/>
      <c r="W1067" s="125"/>
      <c r="X1067" s="125"/>
      <c r="Y1067" s="125"/>
      <c r="Z1067" s="125"/>
      <c r="AA1067" s="125"/>
      <c r="AB1067" s="125"/>
      <c r="AC1067" s="125"/>
      <c r="AD1067" s="125"/>
      <c r="AE1067" s="125"/>
      <c r="AF1067" s="125"/>
      <c r="AG1067" s="125"/>
      <c r="AH1067" s="125"/>
      <c r="AI1067" s="125"/>
      <c r="AJ1067" s="125"/>
      <c r="AK1067" s="125"/>
      <c r="AL1067" s="125"/>
      <c r="AM1067" s="125"/>
      <c r="AN1067" s="125"/>
      <c r="AO1067" s="125"/>
      <c r="AP1067" s="125"/>
      <c r="AQ1067" s="125"/>
      <c r="AR1067" s="125"/>
      <c r="AS1067" s="125"/>
      <c r="AT1067" s="125"/>
      <c r="AU1067" s="125"/>
      <c r="AV1067" s="125"/>
      <c r="AW1067" s="125"/>
      <c r="AX1067" s="125"/>
      <c r="AY1067" s="125"/>
      <c r="AZ1067" s="125"/>
      <c r="BA1067" s="125"/>
      <c r="BB1067" s="125"/>
      <c r="BC1067" s="125"/>
      <c r="BD1067" s="125"/>
      <c r="BE1067" s="125"/>
      <c r="BF1067" s="125"/>
    </row>
    <row r="1068" spans="1:58" ht="15.75" customHeight="1">
      <c r="A1068" s="125"/>
      <c r="B1068" s="125"/>
      <c r="C1068" s="125"/>
      <c r="D1068" s="125"/>
      <c r="E1068" s="125"/>
      <c r="F1068" s="125"/>
      <c r="G1068" s="125"/>
      <c r="H1068" s="125"/>
      <c r="I1068" s="125"/>
      <c r="J1068" s="125"/>
      <c r="K1068" s="125"/>
      <c r="L1068" s="125"/>
      <c r="M1068" s="125"/>
      <c r="N1068" s="125"/>
      <c r="O1068" s="125"/>
      <c r="P1068" s="125"/>
      <c r="Q1068" s="125"/>
      <c r="R1068" s="125"/>
      <c r="S1068" s="125"/>
      <c r="T1068" s="125"/>
      <c r="U1068" s="125"/>
      <c r="V1068" s="125"/>
      <c r="W1068" s="125"/>
      <c r="X1068" s="125"/>
      <c r="Y1068" s="125"/>
      <c r="Z1068" s="125"/>
      <c r="AA1068" s="125"/>
      <c r="AB1068" s="125"/>
      <c r="AC1068" s="125"/>
      <c r="AD1068" s="125"/>
      <c r="AE1068" s="125"/>
      <c r="AF1068" s="125"/>
      <c r="AG1068" s="125"/>
      <c r="AH1068" s="125"/>
      <c r="AI1068" s="125"/>
      <c r="AJ1068" s="125"/>
      <c r="AK1068" s="125"/>
      <c r="AL1068" s="125"/>
      <c r="AM1068" s="125"/>
      <c r="AN1068" s="125"/>
      <c r="AO1068" s="125"/>
      <c r="AP1068" s="125"/>
      <c r="AQ1068" s="125"/>
      <c r="AR1068" s="125"/>
      <c r="AS1068" s="125"/>
      <c r="AT1068" s="125"/>
      <c r="AU1068" s="125"/>
      <c r="AV1068" s="125"/>
      <c r="AW1068" s="125"/>
      <c r="AX1068" s="125"/>
      <c r="AY1068" s="125"/>
      <c r="AZ1068" s="125"/>
      <c r="BA1068" s="125"/>
      <c r="BB1068" s="125"/>
      <c r="BC1068" s="125"/>
      <c r="BD1068" s="125"/>
      <c r="BE1068" s="125"/>
      <c r="BF1068" s="125"/>
    </row>
    <row r="1069" spans="1:58" ht="15.75" customHeight="1">
      <c r="A1069" s="125"/>
      <c r="B1069" s="125"/>
      <c r="C1069" s="125"/>
      <c r="D1069" s="125"/>
      <c r="E1069" s="125"/>
      <c r="F1069" s="125"/>
      <c r="G1069" s="125"/>
      <c r="H1069" s="125"/>
      <c r="I1069" s="125"/>
      <c r="J1069" s="125"/>
      <c r="K1069" s="125"/>
      <c r="L1069" s="125"/>
      <c r="M1069" s="125"/>
      <c r="N1069" s="125"/>
      <c r="O1069" s="125"/>
      <c r="P1069" s="125"/>
      <c r="Q1069" s="125"/>
      <c r="R1069" s="125"/>
      <c r="S1069" s="125"/>
      <c r="T1069" s="125"/>
      <c r="U1069" s="125"/>
      <c r="V1069" s="125"/>
      <c r="W1069" s="125"/>
      <c r="X1069" s="125"/>
      <c r="Y1069" s="125"/>
      <c r="Z1069" s="125"/>
      <c r="AA1069" s="125"/>
      <c r="AB1069" s="125"/>
      <c r="AC1069" s="125"/>
      <c r="AD1069" s="125"/>
      <c r="AE1069" s="125"/>
      <c r="AF1069" s="125"/>
      <c r="AG1069" s="125"/>
      <c r="AH1069" s="125"/>
      <c r="AI1069" s="125"/>
      <c r="AJ1069" s="125"/>
      <c r="AK1069" s="125"/>
      <c r="AL1069" s="125"/>
      <c r="AM1069" s="125"/>
      <c r="AN1069" s="125"/>
      <c r="AO1069" s="125"/>
      <c r="AP1069" s="125"/>
      <c r="AQ1069" s="125"/>
      <c r="AR1069" s="125"/>
      <c r="AS1069" s="125"/>
      <c r="AT1069" s="125"/>
      <c r="AU1069" s="125"/>
      <c r="AV1069" s="125"/>
      <c r="AW1069" s="125"/>
      <c r="AX1069" s="125"/>
      <c r="AY1069" s="125"/>
      <c r="AZ1069" s="125"/>
      <c r="BA1069" s="125"/>
      <c r="BB1069" s="125"/>
      <c r="BC1069" s="125"/>
      <c r="BD1069" s="125"/>
      <c r="BE1069" s="125"/>
      <c r="BF1069" s="125"/>
    </row>
    <row r="1070" spans="1:58" ht="15.75" customHeight="1">
      <c r="A1070" s="125"/>
      <c r="B1070" s="125"/>
      <c r="C1070" s="125"/>
      <c r="D1070" s="125"/>
      <c r="E1070" s="125"/>
      <c r="F1070" s="125"/>
      <c r="G1070" s="125"/>
      <c r="H1070" s="125"/>
      <c r="I1070" s="125"/>
      <c r="J1070" s="125"/>
      <c r="K1070" s="125"/>
      <c r="L1070" s="125"/>
      <c r="M1070" s="125"/>
      <c r="N1070" s="125"/>
      <c r="O1070" s="125"/>
      <c r="P1070" s="125"/>
      <c r="Q1070" s="125"/>
      <c r="R1070" s="125"/>
      <c r="S1070" s="125"/>
      <c r="T1070" s="125"/>
      <c r="U1070" s="125"/>
      <c r="V1070" s="125"/>
      <c r="W1070" s="125"/>
      <c r="X1070" s="125"/>
      <c r="Y1070" s="125"/>
      <c r="Z1070" s="125"/>
      <c r="AA1070" s="125"/>
      <c r="AB1070" s="125"/>
      <c r="AC1070" s="125"/>
      <c r="AD1070" s="125"/>
      <c r="AE1070" s="125"/>
      <c r="AF1070" s="125"/>
      <c r="AG1070" s="125"/>
      <c r="AH1070" s="125"/>
      <c r="AI1070" s="125"/>
      <c r="AJ1070" s="125"/>
      <c r="AK1070" s="125"/>
      <c r="AL1070" s="125"/>
      <c r="AM1070" s="125"/>
      <c r="AN1070" s="125"/>
      <c r="AO1070" s="125"/>
      <c r="AP1070" s="125"/>
      <c r="AQ1070" s="125"/>
      <c r="AR1070" s="125"/>
      <c r="AS1070" s="125"/>
      <c r="AT1070" s="125"/>
      <c r="AU1070" s="125"/>
      <c r="AV1070" s="125"/>
      <c r="AW1070" s="125"/>
      <c r="AX1070" s="125"/>
      <c r="AY1070" s="125"/>
      <c r="AZ1070" s="125"/>
      <c r="BA1070" s="125"/>
      <c r="BB1070" s="125"/>
      <c r="BC1070" s="125"/>
      <c r="BD1070" s="125"/>
      <c r="BE1070" s="125"/>
      <c r="BF1070" s="125"/>
    </row>
    <row r="1071" spans="1:58" ht="15.75" customHeight="1">
      <c r="A1071" s="125"/>
      <c r="B1071" s="125"/>
      <c r="C1071" s="125"/>
      <c r="D1071" s="125"/>
      <c r="E1071" s="125"/>
      <c r="F1071" s="125"/>
      <c r="G1071" s="125"/>
      <c r="H1071" s="125"/>
      <c r="I1071" s="125"/>
      <c r="J1071" s="125"/>
      <c r="K1071" s="125"/>
      <c r="L1071" s="125"/>
      <c r="M1071" s="125"/>
      <c r="N1071" s="125"/>
      <c r="O1071" s="125"/>
      <c r="P1071" s="125"/>
      <c r="Q1071" s="125"/>
      <c r="R1071" s="125"/>
      <c r="S1071" s="125"/>
      <c r="T1071" s="125"/>
      <c r="U1071" s="125"/>
      <c r="V1071" s="125"/>
      <c r="W1071" s="125"/>
      <c r="X1071" s="125"/>
      <c r="Y1071" s="125"/>
      <c r="Z1071" s="125"/>
      <c r="AA1071" s="125"/>
      <c r="AB1071" s="125"/>
      <c r="AC1071" s="125"/>
      <c r="AD1071" s="125"/>
      <c r="AE1071" s="125"/>
      <c r="AF1071" s="125"/>
      <c r="AG1071" s="125"/>
      <c r="AH1071" s="125"/>
      <c r="AI1071" s="125"/>
      <c r="AJ1071" s="125"/>
      <c r="AK1071" s="125"/>
      <c r="AL1071" s="125"/>
      <c r="AM1071" s="125"/>
      <c r="AN1071" s="125"/>
      <c r="AO1071" s="125"/>
      <c r="AP1071" s="125"/>
      <c r="AQ1071" s="125"/>
      <c r="AR1071" s="125"/>
      <c r="AS1071" s="125"/>
      <c r="AT1071" s="125"/>
      <c r="AU1071" s="125"/>
      <c r="AV1071" s="125"/>
      <c r="AW1071" s="125"/>
      <c r="AX1071" s="125"/>
      <c r="AY1071" s="125"/>
      <c r="AZ1071" s="125"/>
      <c r="BA1071" s="125"/>
      <c r="BB1071" s="125"/>
      <c r="BC1071" s="125"/>
      <c r="BD1071" s="125"/>
      <c r="BE1071" s="125"/>
      <c r="BF1071" s="125"/>
    </row>
    <row r="1072" spans="1:58" ht="15.75" customHeight="1">
      <c r="A1072" s="125"/>
      <c r="B1072" s="125"/>
      <c r="C1072" s="125"/>
      <c r="D1072" s="125"/>
      <c r="E1072" s="125"/>
      <c r="F1072" s="125"/>
      <c r="G1072" s="125"/>
      <c r="H1072" s="125"/>
      <c r="I1072" s="125"/>
      <c r="J1072" s="125"/>
      <c r="K1072" s="125"/>
      <c r="L1072" s="125"/>
      <c r="M1072" s="125"/>
      <c r="N1072" s="125"/>
      <c r="O1072" s="125"/>
      <c r="P1072" s="125"/>
      <c r="Q1072" s="125"/>
      <c r="R1072" s="125"/>
      <c r="S1072" s="125"/>
      <c r="T1072" s="125"/>
      <c r="U1072" s="125"/>
      <c r="V1072" s="125"/>
      <c r="W1072" s="125"/>
      <c r="X1072" s="125"/>
      <c r="Y1072" s="125"/>
      <c r="Z1072" s="125"/>
      <c r="AA1072" s="125"/>
      <c r="AB1072" s="125"/>
      <c r="AC1072" s="125"/>
      <c r="AD1072" s="125"/>
      <c r="AE1072" s="125"/>
      <c r="AF1072" s="125"/>
      <c r="AG1072" s="125"/>
      <c r="AH1072" s="125"/>
      <c r="AI1072" s="125"/>
      <c r="AJ1072" s="125"/>
      <c r="AK1072" s="125"/>
      <c r="AL1072" s="125"/>
      <c r="AM1072" s="125"/>
      <c r="AN1072" s="125"/>
      <c r="AO1072" s="125"/>
      <c r="AP1072" s="125"/>
      <c r="AQ1072" s="125"/>
      <c r="AR1072" s="125"/>
      <c r="AS1072" s="125"/>
      <c r="AT1072" s="125"/>
      <c r="AU1072" s="125"/>
      <c r="AV1072" s="125"/>
      <c r="AW1072" s="125"/>
      <c r="AX1072" s="125"/>
      <c r="AY1072" s="125"/>
      <c r="AZ1072" s="125"/>
      <c r="BA1072" s="125"/>
      <c r="BB1072" s="125"/>
      <c r="BC1072" s="125"/>
      <c r="BD1072" s="125"/>
      <c r="BE1072" s="125"/>
      <c r="BF1072" s="125"/>
    </row>
    <row r="1073" spans="1:58" ht="15.75" customHeight="1">
      <c r="A1073" s="125"/>
      <c r="B1073" s="125"/>
      <c r="C1073" s="125"/>
      <c r="D1073" s="125"/>
      <c r="E1073" s="125"/>
      <c r="F1073" s="125"/>
      <c r="G1073" s="125"/>
      <c r="H1073" s="125"/>
      <c r="I1073" s="125"/>
      <c r="J1073" s="125"/>
      <c r="K1073" s="125"/>
      <c r="L1073" s="125"/>
      <c r="M1073" s="125"/>
      <c r="N1073" s="125"/>
      <c r="O1073" s="125"/>
      <c r="P1073" s="125"/>
      <c r="Q1073" s="125"/>
      <c r="R1073" s="125"/>
      <c r="S1073" s="125"/>
      <c r="T1073" s="125"/>
      <c r="U1073" s="125"/>
      <c r="V1073" s="125"/>
      <c r="W1073" s="125"/>
      <c r="X1073" s="125"/>
      <c r="Y1073" s="125"/>
      <c r="Z1073" s="125"/>
      <c r="AA1073" s="125"/>
      <c r="AB1073" s="125"/>
      <c r="AC1073" s="125"/>
      <c r="AD1073" s="125"/>
      <c r="AE1073" s="125"/>
      <c r="AF1073" s="125"/>
      <c r="AG1073" s="125"/>
      <c r="AH1073" s="125"/>
      <c r="AI1073" s="125"/>
      <c r="AJ1073" s="125"/>
      <c r="AK1073" s="125"/>
      <c r="AL1073" s="125"/>
      <c r="AM1073" s="125"/>
      <c r="AN1073" s="125"/>
      <c r="AO1073" s="125"/>
      <c r="AP1073" s="125"/>
      <c r="AQ1073" s="125"/>
      <c r="AR1073" s="125"/>
      <c r="AS1073" s="125"/>
      <c r="AT1073" s="125"/>
      <c r="AU1073" s="125"/>
      <c r="AV1073" s="125"/>
      <c r="AW1073" s="125"/>
      <c r="AX1073" s="125"/>
      <c r="AY1073" s="125"/>
      <c r="AZ1073" s="125"/>
      <c r="BA1073" s="125"/>
      <c r="BB1073" s="125"/>
      <c r="BC1073" s="125"/>
      <c r="BD1073" s="125"/>
      <c r="BE1073" s="125"/>
      <c r="BF1073" s="125"/>
    </row>
    <row r="1074" spans="1:58" ht="15.75" customHeight="1">
      <c r="A1074" s="125"/>
      <c r="B1074" s="125"/>
      <c r="C1074" s="125"/>
      <c r="D1074" s="125"/>
      <c r="E1074" s="125"/>
      <c r="F1074" s="125"/>
      <c r="G1074" s="125"/>
      <c r="H1074" s="125"/>
      <c r="I1074" s="125"/>
      <c r="J1074" s="125"/>
      <c r="K1074" s="125"/>
      <c r="L1074" s="125"/>
      <c r="M1074" s="125"/>
      <c r="N1074" s="125"/>
      <c r="O1074" s="125"/>
      <c r="P1074" s="125"/>
      <c r="Q1074" s="125"/>
      <c r="R1074" s="125"/>
      <c r="S1074" s="125"/>
      <c r="T1074" s="125"/>
      <c r="U1074" s="125"/>
      <c r="V1074" s="125"/>
      <c r="W1074" s="125"/>
      <c r="X1074" s="125"/>
      <c r="Y1074" s="125"/>
      <c r="Z1074" s="125"/>
      <c r="AA1074" s="125"/>
      <c r="AB1074" s="125"/>
      <c r="AC1074" s="125"/>
      <c r="AD1074" s="125"/>
      <c r="AE1074" s="125"/>
      <c r="AF1074" s="125"/>
      <c r="AG1074" s="125"/>
      <c r="AH1074" s="125"/>
      <c r="AI1074" s="125"/>
      <c r="AJ1074" s="125"/>
      <c r="AK1074" s="125"/>
      <c r="AL1074" s="125"/>
      <c r="AM1074" s="125"/>
      <c r="AN1074" s="125"/>
      <c r="AO1074" s="125"/>
      <c r="AP1074" s="125"/>
      <c r="AQ1074" s="125"/>
      <c r="AR1074" s="125"/>
      <c r="AS1074" s="125"/>
      <c r="AT1074" s="125"/>
      <c r="AU1074" s="125"/>
      <c r="AV1074" s="125"/>
      <c r="AW1074" s="125"/>
      <c r="AX1074" s="125"/>
      <c r="AY1074" s="125"/>
      <c r="AZ1074" s="125"/>
      <c r="BA1074" s="125"/>
      <c r="BB1074" s="125"/>
      <c r="BC1074" s="125"/>
      <c r="BD1074" s="125"/>
      <c r="BE1074" s="125"/>
      <c r="BF1074" s="125"/>
    </row>
    <row r="1075" spans="1:58">
      <c r="A1075" s="125"/>
      <c r="B1075" s="125"/>
      <c r="C1075" s="125"/>
      <c r="D1075" s="125"/>
      <c r="E1075" s="125"/>
      <c r="F1075" s="125"/>
      <c r="G1075" s="125"/>
      <c r="H1075" s="125"/>
      <c r="I1075" s="125"/>
      <c r="J1075" s="125"/>
      <c r="K1075" s="125"/>
      <c r="L1075" s="125"/>
      <c r="M1075" s="125"/>
      <c r="N1075" s="125"/>
      <c r="O1075" s="125"/>
      <c r="P1075" s="125"/>
      <c r="Q1075" s="125"/>
      <c r="R1075" s="125"/>
      <c r="S1075" s="125"/>
      <c r="T1075" s="125"/>
      <c r="U1075" s="125"/>
      <c r="V1075" s="125"/>
      <c r="W1075" s="125"/>
      <c r="X1075" s="125"/>
      <c r="Y1075" s="125"/>
      <c r="Z1075" s="125"/>
      <c r="AA1075" s="125"/>
      <c r="AB1075" s="125"/>
      <c r="AC1075" s="125"/>
      <c r="AD1075" s="125"/>
      <c r="AE1075" s="125"/>
      <c r="AF1075" s="125"/>
      <c r="AG1075" s="125"/>
      <c r="AH1075" s="125"/>
      <c r="AI1075" s="125"/>
      <c r="AJ1075" s="125"/>
      <c r="AK1075" s="125"/>
      <c r="AL1075" s="125"/>
      <c r="AM1075" s="125"/>
      <c r="AN1075" s="125"/>
      <c r="AO1075" s="125"/>
      <c r="AP1075" s="125"/>
      <c r="AQ1075" s="125"/>
      <c r="AR1075" s="125"/>
      <c r="AS1075" s="125"/>
      <c r="AT1075" s="125"/>
      <c r="AU1075" s="125"/>
      <c r="AV1075" s="125"/>
      <c r="AW1075" s="125"/>
      <c r="AX1075" s="125"/>
      <c r="AY1075" s="125"/>
      <c r="AZ1075" s="125"/>
      <c r="BA1075" s="125"/>
      <c r="BB1075" s="125"/>
      <c r="BC1075" s="125"/>
      <c r="BD1075" s="125"/>
      <c r="BE1075" s="125"/>
      <c r="BF1075" s="125"/>
    </row>
  </sheetData>
  <phoneticPr fontId="9" type="noConversion"/>
  <printOptions horizontalCentered="1" verticalCentered="1"/>
  <pageMargins left="0" right="0" top="0" bottom="0" header="0" footer="0"/>
  <pageSetup paperSize="5" scale="48" orientation="landscape" r:id="rId1"/>
  <headerFooter alignWithMargins="0"/>
  <ignoredErrors>
    <ignoredError sqref="AK75 AU11 AP21 AU78 AZ11:BE11" formula="1"/>
    <ignoredError sqref="AP70 AP77 AP79 AP20" formulaRange="1"/>
    <ignoredError sqref="AP78" formula="1" formulaRange="1"/>
  </ignoredError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2:DH61"/>
  <sheetViews>
    <sheetView showGridLines="0" zoomScaleNormal="100" workbookViewId="0">
      <pane xSplit="6" ySplit="2" topLeftCell="AK3" activePane="bottomRight" state="frozen"/>
      <selection pane="topRight" activeCell="G1" sqref="G1"/>
      <selection pane="bottomLeft" activeCell="A3" sqref="A3"/>
      <selection pane="bottomRight" activeCell="AW4" sqref="AW4"/>
    </sheetView>
  </sheetViews>
  <sheetFormatPr defaultRowHeight="12.75" outlineLevelCol="1"/>
  <cols>
    <col min="1" max="1" width="2.375" style="125" customWidth="1"/>
    <col min="2" max="2" width="62.5" style="125" bestFit="1" customWidth="1"/>
    <col min="3" max="6" width="9" style="125" hidden="1" customWidth="1" outlineLevel="1"/>
    <col min="7" max="7" width="0" style="125" hidden="1" customWidth="1" collapsed="1"/>
    <col min="8" max="11" width="9" style="125" hidden="1" customWidth="1" outlineLevel="1"/>
    <col min="12" max="12" width="0" style="125" hidden="1" customWidth="1" collapsed="1"/>
    <col min="13" max="16" width="9" style="125" hidden="1" customWidth="1" outlineLevel="1"/>
    <col min="17" max="17" width="0" style="125" hidden="1" customWidth="1" collapsed="1"/>
    <col min="18" max="21" width="9" style="125" hidden="1" customWidth="1" outlineLevel="1"/>
    <col min="22" max="22" width="0" style="125" hidden="1" customWidth="1" collapsed="1"/>
    <col min="23" max="26" width="9" style="125" hidden="1" customWidth="1" outlineLevel="1"/>
    <col min="27" max="27" width="0" style="125" hidden="1" customWidth="1" collapsed="1"/>
    <col min="28" max="31" width="9" style="125" hidden="1" customWidth="1" outlineLevel="1"/>
    <col min="32" max="32" width="0" style="125" hidden="1" customWidth="1" collapsed="1"/>
    <col min="33" max="36" width="9" style="125" hidden="1" customWidth="1" outlineLevel="1"/>
    <col min="37" max="37" width="9" style="125" collapsed="1"/>
    <col min="38" max="41" width="9" style="125" hidden="1" customWidth="1" outlineLevel="1"/>
    <col min="42" max="42" width="9" style="125" customWidth="1" collapsed="1"/>
    <col min="43" max="46" width="9" style="125" customWidth="1" outlineLevel="1"/>
    <col min="47" max="47" width="9" style="125"/>
    <col min="48" max="51" width="9" style="125" customWidth="1" outlineLevel="1"/>
    <col min="52" max="52" width="9" style="125"/>
    <col min="53" max="56" width="9" style="125" hidden="1" customWidth="1" outlineLevel="1"/>
    <col min="57" max="57" width="9" style="125" collapsed="1"/>
    <col min="58" max="61" width="9" style="125" hidden="1" customWidth="1" outlineLevel="1"/>
    <col min="62" max="62" width="9" style="125" customWidth="1" collapsed="1"/>
    <col min="63" max="66" width="9" style="125" hidden="1" customWidth="1" outlineLevel="1"/>
    <col min="67" max="67" width="9" style="125" collapsed="1"/>
    <col min="68" max="71" width="0" style="125" hidden="1" customWidth="1" outlineLevel="1"/>
    <col min="72" max="72" width="9" style="125" collapsed="1"/>
    <col min="73" max="76" width="0" style="125" hidden="1" customWidth="1" outlineLevel="1"/>
    <col min="77" max="77" width="9" style="125" collapsed="1"/>
    <col min="78" max="81" width="0" style="125" hidden="1" customWidth="1" outlineLevel="1"/>
    <col min="82" max="82" width="9" style="125" collapsed="1"/>
    <col min="83" max="86" width="0" style="125" hidden="1" customWidth="1" outlineLevel="1"/>
    <col min="87" max="87" width="9" style="125" collapsed="1"/>
    <col min="88" max="91" width="0" style="125" hidden="1" customWidth="1" outlineLevel="1"/>
    <col min="92" max="92" width="9" style="125" collapsed="1"/>
    <col min="93" max="96" width="0" style="125" hidden="1" customWidth="1" outlineLevel="1"/>
    <col min="97" max="97" width="9" style="125" collapsed="1"/>
    <col min="98" max="101" width="0" style="125" hidden="1" customWidth="1" outlineLevel="1"/>
    <col min="102" max="102" width="9" style="125" collapsed="1"/>
    <col min="103" max="106" width="0" style="125" hidden="1" customWidth="1" outlineLevel="1"/>
    <col min="107" max="107" width="9" style="125" collapsed="1"/>
    <col min="108" max="111" width="0" style="125" hidden="1" customWidth="1" outlineLevel="1"/>
    <col min="112" max="112" width="9" style="125" collapsed="1"/>
    <col min="113" max="16384" width="9" style="125"/>
  </cols>
  <sheetData>
    <row r="2" spans="1:112" s="147" customFormat="1" ht="12.75" customHeight="1">
      <c r="A2" s="144"/>
      <c r="B2" s="190"/>
      <c r="C2" s="425" t="s">
        <v>94</v>
      </c>
      <c r="D2" s="425" t="s">
        <v>95</v>
      </c>
      <c r="E2" s="425" t="s">
        <v>96</v>
      </c>
      <c r="F2" s="425" t="s">
        <v>97</v>
      </c>
      <c r="G2" s="141">
        <v>2009</v>
      </c>
      <c r="H2" s="425" t="s">
        <v>98</v>
      </c>
      <c r="I2" s="425" t="s">
        <v>99</v>
      </c>
      <c r="J2" s="425" t="s">
        <v>100</v>
      </c>
      <c r="K2" s="425" t="s">
        <v>101</v>
      </c>
      <c r="L2" s="141">
        <v>2010</v>
      </c>
      <c r="M2" s="425" t="s">
        <v>102</v>
      </c>
      <c r="N2" s="425" t="s">
        <v>103</v>
      </c>
      <c r="O2" s="425" t="s">
        <v>104</v>
      </c>
      <c r="P2" s="425" t="s">
        <v>105</v>
      </c>
      <c r="Q2" s="141">
        <v>2011</v>
      </c>
      <c r="R2" s="426" t="s">
        <v>181</v>
      </c>
      <c r="S2" s="426" t="s">
        <v>185</v>
      </c>
      <c r="T2" s="426" t="s">
        <v>189</v>
      </c>
      <c r="U2" s="426" t="s">
        <v>220</v>
      </c>
      <c r="V2" s="142">
        <v>2012</v>
      </c>
      <c r="W2" s="426" t="s">
        <v>231</v>
      </c>
      <c r="X2" s="425" t="s">
        <v>273</v>
      </c>
      <c r="Y2" s="425" t="s">
        <v>495</v>
      </c>
      <c r="Z2" s="425" t="s">
        <v>496</v>
      </c>
      <c r="AA2" s="141">
        <v>2013</v>
      </c>
      <c r="AB2" s="425" t="s">
        <v>497</v>
      </c>
      <c r="AC2" s="425" t="s">
        <v>498</v>
      </c>
      <c r="AD2" s="425" t="s">
        <v>499</v>
      </c>
      <c r="AE2" s="425" t="s">
        <v>500</v>
      </c>
      <c r="AF2" s="141">
        <v>2014</v>
      </c>
      <c r="AG2" s="426" t="s">
        <v>501</v>
      </c>
      <c r="AH2" s="425" t="s">
        <v>502</v>
      </c>
      <c r="AI2" s="425" t="s">
        <v>503</v>
      </c>
      <c r="AJ2" s="425" t="s">
        <v>504</v>
      </c>
      <c r="AK2" s="141">
        <v>2015</v>
      </c>
      <c r="AL2" s="425" t="s">
        <v>813</v>
      </c>
      <c r="AM2" s="425" t="s">
        <v>814</v>
      </c>
      <c r="AN2" s="425" t="s">
        <v>816</v>
      </c>
      <c r="AO2" s="425" t="s">
        <v>820</v>
      </c>
      <c r="AP2" s="141" t="s">
        <v>821</v>
      </c>
      <c r="AQ2" s="916" t="s">
        <v>823</v>
      </c>
      <c r="AR2" s="916" t="s">
        <v>851</v>
      </c>
      <c r="AS2" s="916" t="s">
        <v>871</v>
      </c>
      <c r="AT2" s="916" t="s">
        <v>894</v>
      </c>
      <c r="AU2" s="141" t="s">
        <v>895</v>
      </c>
      <c r="AV2" s="916" t="s">
        <v>126</v>
      </c>
      <c r="AW2" s="916" t="s">
        <v>127</v>
      </c>
      <c r="AX2" s="916" t="s">
        <v>128</v>
      </c>
      <c r="AY2" s="916" t="s">
        <v>129</v>
      </c>
      <c r="AZ2" s="141" t="s">
        <v>130</v>
      </c>
      <c r="BA2" s="140" t="s">
        <v>131</v>
      </c>
      <c r="BB2" s="140" t="s">
        <v>132</v>
      </c>
      <c r="BC2" s="140" t="s">
        <v>133</v>
      </c>
      <c r="BD2" s="140" t="s">
        <v>134</v>
      </c>
      <c r="BE2" s="141" t="s">
        <v>135</v>
      </c>
      <c r="BF2" s="140" t="s">
        <v>136</v>
      </c>
      <c r="BG2" s="140" t="s">
        <v>137</v>
      </c>
      <c r="BH2" s="140" t="s">
        <v>138</v>
      </c>
      <c r="BI2" s="140" t="s">
        <v>139</v>
      </c>
      <c r="BJ2" s="141" t="s">
        <v>140</v>
      </c>
      <c r="BK2" s="142"/>
      <c r="BL2" s="142"/>
      <c r="BM2" s="142"/>
      <c r="BN2" s="142"/>
      <c r="BO2" s="141" t="s">
        <v>145</v>
      </c>
      <c r="BP2" s="141"/>
      <c r="BQ2" s="141"/>
      <c r="BR2" s="141"/>
      <c r="BS2" s="141"/>
      <c r="BT2" s="141" t="s">
        <v>150</v>
      </c>
      <c r="BU2" s="141"/>
      <c r="BV2" s="141"/>
      <c r="BW2" s="141"/>
      <c r="BX2" s="141"/>
      <c r="BY2" s="141" t="s">
        <v>155</v>
      </c>
      <c r="BZ2" s="141"/>
      <c r="CA2" s="141"/>
      <c r="CB2" s="141"/>
      <c r="CC2" s="141"/>
      <c r="CD2" s="141" t="s">
        <v>160</v>
      </c>
      <c r="CE2" s="141"/>
      <c r="CF2" s="141"/>
      <c r="CG2" s="141"/>
      <c r="CH2" s="141"/>
      <c r="CI2" s="141" t="s">
        <v>165</v>
      </c>
      <c r="CJ2" s="141"/>
      <c r="CK2" s="141"/>
      <c r="CL2" s="141"/>
      <c r="CM2" s="141"/>
      <c r="CN2" s="141" t="s">
        <v>170</v>
      </c>
      <c r="CO2" s="141"/>
      <c r="CP2" s="141"/>
      <c r="CQ2" s="141"/>
      <c r="CR2" s="141"/>
      <c r="CS2" s="141" t="s">
        <v>171</v>
      </c>
      <c r="CT2" s="141"/>
      <c r="CU2" s="141"/>
      <c r="CV2" s="141"/>
      <c r="CW2" s="141"/>
      <c r="CX2" s="141" t="s">
        <v>172</v>
      </c>
      <c r="CY2" s="141"/>
      <c r="CZ2" s="141"/>
      <c r="DA2" s="141"/>
      <c r="DB2" s="141"/>
      <c r="DC2" s="141" t="s">
        <v>173</v>
      </c>
      <c r="DD2" s="141"/>
      <c r="DE2" s="141"/>
      <c r="DF2" s="141"/>
      <c r="DG2" s="141"/>
      <c r="DH2" s="141" t="s">
        <v>671</v>
      </c>
    </row>
    <row r="3" spans="1:112">
      <c r="C3" s="427"/>
      <c r="D3" s="427"/>
      <c r="E3" s="427"/>
      <c r="F3" s="427"/>
      <c r="H3" s="427"/>
      <c r="I3" s="427"/>
      <c r="J3" s="427"/>
      <c r="K3" s="427"/>
      <c r="L3" s="133"/>
      <c r="M3" s="427"/>
      <c r="N3" s="427"/>
      <c r="O3" s="427"/>
      <c r="P3" s="427"/>
      <c r="R3" s="427"/>
      <c r="S3" s="427"/>
      <c r="T3" s="427"/>
      <c r="U3" s="427"/>
      <c r="W3" s="427"/>
      <c r="X3" s="427"/>
      <c r="Y3" s="427"/>
      <c r="Z3" s="427"/>
      <c r="AB3" s="427"/>
      <c r="AC3" s="427"/>
      <c r="AD3" s="427"/>
      <c r="AE3" s="427"/>
      <c r="AG3" s="427"/>
      <c r="AH3" s="427"/>
      <c r="AI3" s="427"/>
      <c r="AJ3" s="598"/>
      <c r="AL3" s="427"/>
      <c r="AM3" s="520"/>
      <c r="AN3" s="598"/>
      <c r="AO3" s="598"/>
      <c r="AP3" s="966"/>
      <c r="AQ3" s="899"/>
      <c r="AR3" s="899"/>
      <c r="AS3" s="899"/>
      <c r="AT3" s="899"/>
      <c r="AU3" s="972"/>
      <c r="AV3" s="899"/>
      <c r="AW3" s="899"/>
      <c r="AX3" s="899"/>
      <c r="AY3" s="899"/>
      <c r="AZ3" s="972"/>
      <c r="BA3" s="972"/>
      <c r="BB3" s="972"/>
      <c r="BC3" s="972"/>
      <c r="BD3" s="972"/>
      <c r="BE3" s="972"/>
      <c r="BF3" s="972"/>
      <c r="BG3" s="972"/>
      <c r="BH3" s="972"/>
      <c r="BI3" s="972"/>
      <c r="BJ3" s="972"/>
    </row>
    <row r="4" spans="1:112">
      <c r="B4" s="176" t="s">
        <v>190</v>
      </c>
      <c r="C4" s="427"/>
      <c r="D4" s="427"/>
      <c r="E4" s="427"/>
      <c r="F4" s="427"/>
      <c r="G4" s="428">
        <v>0</v>
      </c>
      <c r="H4" s="429"/>
      <c r="I4" s="429"/>
      <c r="J4" s="429"/>
      <c r="K4" s="429"/>
      <c r="L4" s="428">
        <v>0</v>
      </c>
      <c r="M4" s="392">
        <v>0</v>
      </c>
      <c r="N4" s="392">
        <v>0</v>
      </c>
      <c r="O4" s="392">
        <v>0</v>
      </c>
      <c r="P4" s="392">
        <v>25</v>
      </c>
      <c r="Q4" s="179">
        <f>SUM(M4:P4)</f>
        <v>25</v>
      </c>
      <c r="R4" s="430">
        <v>124</v>
      </c>
      <c r="S4" s="430">
        <v>194</v>
      </c>
      <c r="T4" s="430">
        <v>244</v>
      </c>
      <c r="U4" s="430">
        <v>276</v>
      </c>
      <c r="V4" s="179">
        <f>SUM(R4:U4)</f>
        <v>838</v>
      </c>
      <c r="W4" s="431">
        <v>313.7</v>
      </c>
      <c r="X4" s="431">
        <f>333.893-X6</f>
        <v>329.89299999999997</v>
      </c>
      <c r="Y4" s="431">
        <f>367.118-Y6</f>
        <v>363.11799999999999</v>
      </c>
      <c r="Z4" s="431">
        <f>406.088-Z6</f>
        <v>401.988</v>
      </c>
      <c r="AA4" s="177">
        <f>SUM(W4:Z4)</f>
        <v>1408.6990000000001</v>
      </c>
      <c r="AB4" s="440">
        <f>362.378-AB6</f>
        <v>358.97800000000001</v>
      </c>
      <c r="AC4" s="440">
        <f>418.022-AC6</f>
        <v>414.822</v>
      </c>
      <c r="AD4" s="440">
        <f>448.844-AD6</f>
        <v>445.04399999999998</v>
      </c>
      <c r="AE4" s="440">
        <f>521.518-AE6</f>
        <v>517.51800000000003</v>
      </c>
      <c r="AF4" s="180">
        <f>SUM(AB4:AE4)</f>
        <v>1736.3620000000001</v>
      </c>
      <c r="AG4" s="431">
        <v>541</v>
      </c>
      <c r="AH4" s="431">
        <v>655</v>
      </c>
      <c r="AI4" s="431">
        <v>734</v>
      </c>
      <c r="AJ4" s="431">
        <v>746</v>
      </c>
      <c r="AK4" s="177">
        <f>SUM(AG4:AJ4)</f>
        <v>2676</v>
      </c>
      <c r="AL4" s="431">
        <v>781</v>
      </c>
      <c r="AM4" s="431">
        <v>830.9</v>
      </c>
      <c r="AN4" s="431">
        <v>853.6</v>
      </c>
      <c r="AO4" s="431">
        <v>858</v>
      </c>
      <c r="AP4" s="177">
        <f>SUM(AL4:AO4)</f>
        <v>3323.5</v>
      </c>
      <c r="AQ4" s="975">
        <v>854.4</v>
      </c>
      <c r="AR4" s="975">
        <v>919.46600000000001</v>
      </c>
      <c r="AS4" s="975">
        <v>953</v>
      </c>
      <c r="AT4" s="975">
        <v>975</v>
      </c>
      <c r="AU4" s="177">
        <f>SUM(AQ4:AT4)</f>
        <v>3701.866</v>
      </c>
      <c r="AV4" s="900">
        <v>915</v>
      </c>
      <c r="AW4" s="900">
        <f t="shared" ref="AW4:AX4" si="0">($AZ$4/$AU$4)*AR4</f>
        <v>980.65830446961957</v>
      </c>
      <c r="AX4" s="900">
        <f t="shared" si="0"/>
        <v>1016.4240593556993</v>
      </c>
      <c r="AY4" s="900">
        <f>AZ4-AV4-AW4-AX4</f>
        <v>1036.1502352416751</v>
      </c>
      <c r="AZ4" s="177">
        <f>Eylea!AP8</f>
        <v>3948.2325990669938</v>
      </c>
      <c r="BE4" s="177">
        <f>Eylea!AU8</f>
        <v>3881.7246444619586</v>
      </c>
      <c r="BJ4" s="177">
        <f>Eylea!AZ8</f>
        <v>3789.8893730272107</v>
      </c>
      <c r="BO4" s="177">
        <f>Eylea!BE8</f>
        <v>3790.1208027266271</v>
      </c>
      <c r="BT4" s="177">
        <f>Eylea!BJ8</f>
        <v>3808.8473736544433</v>
      </c>
      <c r="BY4" s="177">
        <f>Eylea!BO8</f>
        <v>3756.2333464040989</v>
      </c>
      <c r="CD4" s="177">
        <f>Eylea!BT8</f>
        <v>3781.3084826025879</v>
      </c>
      <c r="CI4" s="177">
        <f>Eylea!BY8</f>
        <v>3793.7733006183239</v>
      </c>
      <c r="CN4" s="177">
        <f>Eylea!CD8</f>
        <v>3501.9729302713736</v>
      </c>
      <c r="CO4" s="177"/>
      <c r="CP4" s="177"/>
      <c r="CQ4" s="177"/>
      <c r="CR4" s="177"/>
      <c r="CS4" s="177">
        <f>Eylea!CI8</f>
        <v>3226.3745929237066</v>
      </c>
      <c r="CT4" s="177"/>
      <c r="CU4" s="177"/>
      <c r="CV4" s="177"/>
      <c r="CW4" s="177"/>
      <c r="CX4" s="177">
        <f>Eylea!CN8</f>
        <v>2900.1526360904463</v>
      </c>
      <c r="CY4" s="177"/>
      <c r="CZ4" s="177"/>
      <c r="DA4" s="177"/>
      <c r="DB4" s="177"/>
      <c r="DC4" s="177">
        <f>Eylea!CS8</f>
        <v>2517.8903922137602</v>
      </c>
      <c r="DD4" s="177"/>
      <c r="DE4" s="177"/>
      <c r="DF4" s="177"/>
      <c r="DG4" s="177"/>
      <c r="DH4" s="177">
        <f>Eylea!CX8</f>
        <v>2807.7853754296857</v>
      </c>
    </row>
    <row r="5" spans="1:112">
      <c r="B5" s="176" t="s">
        <v>896</v>
      </c>
      <c r="C5" s="427"/>
      <c r="D5" s="427"/>
      <c r="E5" s="427"/>
      <c r="F5" s="427"/>
      <c r="G5" s="428"/>
      <c r="H5" s="429"/>
      <c r="I5" s="429"/>
      <c r="J5" s="429"/>
      <c r="K5" s="429"/>
      <c r="L5" s="428"/>
      <c r="M5" s="392"/>
      <c r="N5" s="392"/>
      <c r="O5" s="392"/>
      <c r="P5" s="392"/>
      <c r="Q5" s="179"/>
      <c r="R5" s="430"/>
      <c r="S5" s="430"/>
      <c r="T5" s="430"/>
      <c r="U5" s="430"/>
      <c r="V5" s="179"/>
      <c r="W5" s="431"/>
      <c r="X5" s="431"/>
      <c r="Y5" s="431"/>
      <c r="Z5" s="431"/>
      <c r="AA5" s="177"/>
      <c r="AB5" s="440"/>
      <c r="AC5" s="440"/>
      <c r="AD5" s="440"/>
      <c r="AE5" s="440"/>
      <c r="AF5" s="180"/>
      <c r="AG5" s="431"/>
      <c r="AH5" s="431"/>
      <c r="AI5" s="431"/>
      <c r="AJ5" s="431"/>
      <c r="AK5" s="177"/>
      <c r="AL5" s="431"/>
      <c r="AM5" s="431"/>
      <c r="AN5" s="431"/>
      <c r="AO5" s="431"/>
      <c r="AP5" s="177"/>
      <c r="AQ5" s="975"/>
      <c r="AR5" s="975"/>
      <c r="AS5" s="975"/>
      <c r="AT5" s="975"/>
      <c r="AU5" s="177"/>
      <c r="AV5" s="900">
        <f>IO_Antibodies!M31</f>
        <v>0</v>
      </c>
      <c r="AW5" s="900">
        <f>IO_Antibodies!N31</f>
        <v>0</v>
      </c>
      <c r="AX5" s="900">
        <f>IO_Antibodies!O31</f>
        <v>10</v>
      </c>
      <c r="AY5" s="900">
        <f>IO_Antibodies!P31</f>
        <v>83.75</v>
      </c>
      <c r="AZ5" s="177">
        <f>IO_Antibodies!Q31</f>
        <v>93.75</v>
      </c>
      <c r="BA5" s="125">
        <f>IO_Antibodies!R31</f>
        <v>0</v>
      </c>
      <c r="BB5" s="125">
        <f>IO_Antibodies!S31</f>
        <v>0</v>
      </c>
      <c r="BC5" s="125">
        <f>IO_Antibodies!T31</f>
        <v>0</v>
      </c>
      <c r="BD5" s="125">
        <f>IO_Antibodies!U31</f>
        <v>0</v>
      </c>
      <c r="BE5" s="177">
        <f>IO_Antibodies!V31</f>
        <v>239.0625</v>
      </c>
      <c r="BF5" s="125">
        <f>IO_Antibodies!W31</f>
        <v>0</v>
      </c>
      <c r="BG5" s="125">
        <f>IO_Antibodies!X31</f>
        <v>0</v>
      </c>
      <c r="BH5" s="125">
        <f>IO_Antibodies!Y31</f>
        <v>0</v>
      </c>
      <c r="BI5" s="125">
        <f>IO_Antibodies!Z31</f>
        <v>0</v>
      </c>
      <c r="BJ5" s="177">
        <f>IO_Antibodies!AA31</f>
        <v>585.22500000000002</v>
      </c>
      <c r="BK5" s="125">
        <f>IO_Antibodies!AB31</f>
        <v>0</v>
      </c>
      <c r="BL5" s="125">
        <f>IO_Antibodies!AC31</f>
        <v>0</v>
      </c>
      <c r="BM5" s="125">
        <f>IO_Antibodies!AD31</f>
        <v>0</v>
      </c>
      <c r="BN5" s="125">
        <f>IO_Antibodies!AE31</f>
        <v>0</v>
      </c>
      <c r="BO5" s="177">
        <f>IO_Antibodies!AF31</f>
        <v>663.255</v>
      </c>
      <c r="BP5" s="125">
        <f>IO_Antibodies!AG31</f>
        <v>0</v>
      </c>
      <c r="BQ5" s="125">
        <f>IO_Antibodies!AH31</f>
        <v>0</v>
      </c>
      <c r="BR5" s="125">
        <f>IO_Antibodies!AI31</f>
        <v>0</v>
      </c>
      <c r="BS5" s="125">
        <f>IO_Antibodies!AJ31</f>
        <v>0</v>
      </c>
      <c r="BT5" s="177">
        <f>IO_Antibodies!AK31</f>
        <v>676.52009999999996</v>
      </c>
      <c r="BU5" s="125">
        <f>IO_Antibodies!AL31</f>
        <v>0</v>
      </c>
      <c r="BV5" s="125">
        <f>IO_Antibodies!AM31</f>
        <v>0</v>
      </c>
      <c r="BW5" s="125">
        <f>IO_Antibodies!AN31</f>
        <v>0</v>
      </c>
      <c r="BX5" s="125">
        <f>IO_Antibodies!AO31</f>
        <v>0</v>
      </c>
      <c r="BY5" s="177">
        <f>IO_Antibodies!AP31</f>
        <v>690.05050200000005</v>
      </c>
      <c r="BZ5" s="125">
        <f>IO_Antibodies!AQ31</f>
        <v>0</v>
      </c>
      <c r="CA5" s="125">
        <f>IO_Antibodies!AR31</f>
        <v>0</v>
      </c>
      <c r="CB5" s="125">
        <f>IO_Antibodies!AS31</f>
        <v>0</v>
      </c>
      <c r="CC5" s="125">
        <f>IO_Antibodies!AT31</f>
        <v>0</v>
      </c>
      <c r="CD5" s="177">
        <f>IO_Antibodies!AU31</f>
        <v>703.85151203999999</v>
      </c>
      <c r="CE5" s="125">
        <f>IO_Antibodies!AV31</f>
        <v>0</v>
      </c>
      <c r="CF5" s="125">
        <f>IO_Antibodies!AW31</f>
        <v>0</v>
      </c>
      <c r="CG5" s="125">
        <f>IO_Antibodies!AX31</f>
        <v>0</v>
      </c>
      <c r="CH5" s="125">
        <f>IO_Antibodies!AY31</f>
        <v>0</v>
      </c>
      <c r="CI5" s="177">
        <f>IO_Antibodies!AZ31</f>
        <v>717.92854228079989</v>
      </c>
      <c r="CJ5" s="125">
        <f>IO_Antibodies!BA31</f>
        <v>0</v>
      </c>
      <c r="CK5" s="125">
        <f>IO_Antibodies!BB31</f>
        <v>0</v>
      </c>
      <c r="CL5" s="125">
        <f>IO_Antibodies!BC31</f>
        <v>0</v>
      </c>
      <c r="CM5" s="125">
        <f>IO_Antibodies!BD31</f>
        <v>0</v>
      </c>
      <c r="CN5" s="177">
        <f>IO_Antibodies!BE31</f>
        <v>732.28711312641599</v>
      </c>
      <c r="CO5" s="177">
        <f>IO_Antibodies!BF31</f>
        <v>0</v>
      </c>
      <c r="CP5" s="177">
        <f>IO_Antibodies!BG31</f>
        <v>0</v>
      </c>
      <c r="CQ5" s="177">
        <f>IO_Antibodies!BH31</f>
        <v>0</v>
      </c>
      <c r="CR5" s="177">
        <f>IO_Antibodies!BI31</f>
        <v>0</v>
      </c>
      <c r="CS5" s="177">
        <f>IO_Antibodies!BJ31</f>
        <v>746.93285538894429</v>
      </c>
      <c r="CT5" s="177">
        <f>IO_Antibodies!BK31</f>
        <v>0</v>
      </c>
      <c r="CU5" s="177">
        <f>IO_Antibodies!BL31</f>
        <v>0</v>
      </c>
      <c r="CV5" s="177">
        <f>IO_Antibodies!BM31</f>
        <v>0</v>
      </c>
      <c r="CW5" s="177">
        <f>IO_Antibodies!BN31</f>
        <v>0</v>
      </c>
      <c r="CX5" s="177">
        <f>IO_Antibodies!BO31</f>
        <v>761.8715124967232</v>
      </c>
      <c r="CY5" s="177">
        <f>IO_Antibodies!BP31</f>
        <v>0</v>
      </c>
      <c r="CZ5" s="177">
        <f>IO_Antibodies!BQ31</f>
        <v>0</v>
      </c>
      <c r="DA5" s="177">
        <f>IO_Antibodies!BR31</f>
        <v>0</v>
      </c>
      <c r="DB5" s="177">
        <f>IO_Antibodies!BS31</f>
        <v>0</v>
      </c>
      <c r="DC5" s="177">
        <f>IO_Antibodies!BT31</f>
        <v>777.10894274665759</v>
      </c>
      <c r="DD5" s="177">
        <f>IO_Antibodies!BU31</f>
        <v>0</v>
      </c>
      <c r="DE5" s="177">
        <f>IO_Antibodies!BV31</f>
        <v>0</v>
      </c>
      <c r="DF5" s="177">
        <f>IO_Antibodies!BW31</f>
        <v>0</v>
      </c>
      <c r="DG5" s="177">
        <f>IO_Antibodies!BX31</f>
        <v>0</v>
      </c>
      <c r="DH5" s="177">
        <f>IO_Antibodies!BY31</f>
        <v>792.65112160159072</v>
      </c>
    </row>
    <row r="6" spans="1:112">
      <c r="B6" s="176" t="s">
        <v>191</v>
      </c>
      <c r="C6" s="392">
        <v>3.891</v>
      </c>
      <c r="D6" s="429">
        <v>4.5</v>
      </c>
      <c r="E6" s="392">
        <v>4.9729999999999999</v>
      </c>
      <c r="F6" s="392">
        <v>5</v>
      </c>
      <c r="G6" s="428">
        <v>18.399999999999999</v>
      </c>
      <c r="H6" s="427"/>
      <c r="I6" s="427"/>
      <c r="J6" s="427"/>
      <c r="K6" s="427"/>
      <c r="L6" s="178">
        <v>25.3</v>
      </c>
      <c r="M6" s="392">
        <v>4</v>
      </c>
      <c r="N6" s="392">
        <v>5</v>
      </c>
      <c r="O6" s="392">
        <v>5</v>
      </c>
      <c r="P6" s="392">
        <v>5</v>
      </c>
      <c r="Q6" s="179">
        <f>SUM(M6:P6)</f>
        <v>19</v>
      </c>
      <c r="R6" s="430">
        <v>4</v>
      </c>
      <c r="S6" s="430">
        <v>6</v>
      </c>
      <c r="T6" s="430">
        <v>5</v>
      </c>
      <c r="U6" s="430">
        <v>5</v>
      </c>
      <c r="V6" s="179">
        <f>SUM(R6:U6)</f>
        <v>20</v>
      </c>
      <c r="W6" s="392">
        <v>5</v>
      </c>
      <c r="X6" s="392">
        <v>4</v>
      </c>
      <c r="Y6" s="392">
        <v>4</v>
      </c>
      <c r="Z6" s="392">
        <v>4.0999999999999996</v>
      </c>
      <c r="AA6" s="177">
        <f>SUM(W6:Z6)</f>
        <v>17.100000000000001</v>
      </c>
      <c r="AB6" s="392">
        <v>3.4</v>
      </c>
      <c r="AC6" s="392">
        <v>3.2</v>
      </c>
      <c r="AD6" s="392">
        <v>3.8</v>
      </c>
      <c r="AE6" s="392">
        <v>4</v>
      </c>
      <c r="AF6" s="269">
        <f>SUM(AB6:AE6)</f>
        <v>14.399999999999999</v>
      </c>
      <c r="AG6" s="392">
        <f>544.573-AG4</f>
        <v>3.5729999999999791</v>
      </c>
      <c r="AH6" s="392">
        <f>657.819-AH4</f>
        <v>2.81899999999996</v>
      </c>
      <c r="AI6" s="392">
        <f>AI7-AI4</f>
        <v>3.5620000000000118</v>
      </c>
      <c r="AJ6" s="440">
        <f>AJ7-AJ4</f>
        <v>3.5240000000000009</v>
      </c>
      <c r="AK6" s="179">
        <f>SUM(AG6:AJ6)</f>
        <v>13.477999999999952</v>
      </c>
      <c r="AL6" s="431">
        <f>784.182-AL4</f>
        <v>3.1820000000000164</v>
      </c>
      <c r="AM6" s="431">
        <f>834.219-AM4</f>
        <v>3.3190000000000737</v>
      </c>
      <c r="AN6" s="392">
        <f>857.468-AN4</f>
        <v>3.8679999999999382</v>
      </c>
      <c r="AO6" s="392">
        <f>862.521-AO4</f>
        <v>4.5209999999999582</v>
      </c>
      <c r="AP6" s="179">
        <f>SUM(AL6:AO6)</f>
        <v>14.889999999999986</v>
      </c>
      <c r="AQ6" s="975">
        <f>858.245-AQ4</f>
        <v>3.8450000000000273</v>
      </c>
      <c r="AR6" s="975">
        <v>4.6669999999999998</v>
      </c>
      <c r="AS6" s="975">
        <f>957.367-AS4</f>
        <v>4.3669999999999618</v>
      </c>
      <c r="AT6" s="975">
        <v>4</v>
      </c>
      <c r="AU6" s="179">
        <f>SUM(AQ6:AT6)</f>
        <v>16.878999999999991</v>
      </c>
      <c r="AV6" s="906">
        <v>3.5</v>
      </c>
      <c r="AW6" s="906">
        <f>AV6*1.025</f>
        <v>3.5874999999999995</v>
      </c>
      <c r="AX6" s="906">
        <f>AW6*1.025</f>
        <v>3.6771874999999992</v>
      </c>
      <c r="AY6" s="906">
        <f>AZ6-SUM(AV6:AX6)</f>
        <v>4.4264124999999925</v>
      </c>
      <c r="AZ6" s="179">
        <f>AU6*0.9</f>
        <v>15.191099999999992</v>
      </c>
      <c r="BA6" s="179"/>
      <c r="BB6" s="179"/>
      <c r="BC6" s="179"/>
      <c r="BD6" s="179"/>
      <c r="BE6" s="179">
        <f>AZ6*0.9</f>
        <v>13.671989999999992</v>
      </c>
      <c r="BF6" s="179"/>
      <c r="BG6" s="179"/>
      <c r="BH6" s="179"/>
      <c r="BI6" s="179"/>
      <c r="BJ6" s="179">
        <f>BE6*0.9</f>
        <v>12.304790999999993</v>
      </c>
      <c r="BK6" s="179"/>
      <c r="BL6" s="179"/>
      <c r="BM6" s="179"/>
      <c r="BN6" s="179"/>
      <c r="BO6" s="179">
        <f>BJ6*0.9</f>
        <v>11.074311899999994</v>
      </c>
      <c r="BT6" s="179">
        <f>BO6*0.9</f>
        <v>9.9668807099999945</v>
      </c>
      <c r="BY6" s="179">
        <f>BT6*0.9</f>
        <v>8.9701926389999951</v>
      </c>
      <c r="CD6" s="179">
        <f>BY6*0.9</f>
        <v>8.0731733750999961</v>
      </c>
      <c r="CI6" s="179">
        <f>CD6*0.9</f>
        <v>7.2658560375899963</v>
      </c>
      <c r="CN6" s="179">
        <f>CI6*0.9</f>
        <v>6.539270433830997</v>
      </c>
      <c r="CO6" s="179"/>
      <c r="CP6" s="179"/>
      <c r="CQ6" s="179"/>
      <c r="CR6" s="179"/>
      <c r="CS6" s="179">
        <f>CN6*0.9</f>
        <v>5.8853433904478978</v>
      </c>
      <c r="CT6" s="179"/>
      <c r="CU6" s="179"/>
      <c r="CV6" s="179"/>
      <c r="CW6" s="179"/>
      <c r="CX6" s="179">
        <f>CS6*0.9</f>
        <v>5.2968090514031081</v>
      </c>
      <c r="CY6" s="179"/>
      <c r="CZ6" s="179"/>
      <c r="DA6" s="179"/>
      <c r="DB6" s="179"/>
      <c r="DC6" s="179">
        <f>CX6*0.9</f>
        <v>4.767128146262797</v>
      </c>
      <c r="DD6" s="179"/>
      <c r="DE6" s="179"/>
      <c r="DF6" s="179"/>
      <c r="DG6" s="179"/>
      <c r="DH6" s="179">
        <f>DC6*0.9</f>
        <v>4.2904153316365177</v>
      </c>
    </row>
    <row r="7" spans="1:112">
      <c r="B7" s="191" t="s">
        <v>192</v>
      </c>
      <c r="C7" s="434">
        <f>C6+C4</f>
        <v>3.891</v>
      </c>
      <c r="D7" s="434">
        <f>D6+D4</f>
        <v>4.5</v>
      </c>
      <c r="E7" s="434">
        <f>E6+E4</f>
        <v>4.9729999999999999</v>
      </c>
      <c r="F7" s="434">
        <f>F6+F4</f>
        <v>5</v>
      </c>
      <c r="G7" s="409">
        <f>G6+G4</f>
        <v>18.399999999999999</v>
      </c>
      <c r="H7" s="435"/>
      <c r="I7" s="435"/>
      <c r="J7" s="435"/>
      <c r="K7" s="435"/>
      <c r="L7" s="409">
        <f t="shared" ref="L7:AH7" si="1">L6+L4</f>
        <v>25.3</v>
      </c>
      <c r="M7" s="434">
        <f t="shared" si="1"/>
        <v>4</v>
      </c>
      <c r="N7" s="434">
        <f t="shared" si="1"/>
        <v>5</v>
      </c>
      <c r="O7" s="434">
        <f t="shared" si="1"/>
        <v>5</v>
      </c>
      <c r="P7" s="434">
        <f t="shared" si="1"/>
        <v>30</v>
      </c>
      <c r="Q7" s="409">
        <f t="shared" si="1"/>
        <v>44</v>
      </c>
      <c r="R7" s="434">
        <f t="shared" si="1"/>
        <v>128</v>
      </c>
      <c r="S7" s="434">
        <f t="shared" si="1"/>
        <v>200</v>
      </c>
      <c r="T7" s="434">
        <f t="shared" si="1"/>
        <v>249</v>
      </c>
      <c r="U7" s="434">
        <f t="shared" si="1"/>
        <v>281</v>
      </c>
      <c r="V7" s="409">
        <f t="shared" si="1"/>
        <v>858</v>
      </c>
      <c r="W7" s="434">
        <f t="shared" si="1"/>
        <v>318.7</v>
      </c>
      <c r="X7" s="434">
        <f t="shared" si="1"/>
        <v>333.89299999999997</v>
      </c>
      <c r="Y7" s="434">
        <f t="shared" si="1"/>
        <v>367.11799999999999</v>
      </c>
      <c r="Z7" s="434">
        <f t="shared" si="1"/>
        <v>406.08800000000002</v>
      </c>
      <c r="AA7" s="409">
        <f t="shared" si="1"/>
        <v>1425.799</v>
      </c>
      <c r="AB7" s="434">
        <f t="shared" si="1"/>
        <v>362.37799999999999</v>
      </c>
      <c r="AC7" s="434">
        <f t="shared" si="1"/>
        <v>418.02199999999999</v>
      </c>
      <c r="AD7" s="434">
        <f t="shared" si="1"/>
        <v>448.84399999999999</v>
      </c>
      <c r="AE7" s="434">
        <f t="shared" si="1"/>
        <v>521.51800000000003</v>
      </c>
      <c r="AF7" s="409">
        <f t="shared" si="1"/>
        <v>1750.7620000000002</v>
      </c>
      <c r="AG7" s="434">
        <f t="shared" si="1"/>
        <v>544.57299999999998</v>
      </c>
      <c r="AH7" s="434">
        <f t="shared" si="1"/>
        <v>657.81899999999996</v>
      </c>
      <c r="AI7" s="434">
        <v>737.56200000000001</v>
      </c>
      <c r="AJ7" s="434">
        <v>749.524</v>
      </c>
      <c r="AK7" s="409">
        <f t="shared" ref="AK7:AU7" si="2">AK6+AK4</f>
        <v>2689.4780000000001</v>
      </c>
      <c r="AL7" s="434">
        <f t="shared" si="2"/>
        <v>784.18200000000002</v>
      </c>
      <c r="AM7" s="434">
        <f t="shared" si="2"/>
        <v>834.21900000000005</v>
      </c>
      <c r="AN7" s="434">
        <f t="shared" si="2"/>
        <v>857.46799999999996</v>
      </c>
      <c r="AO7" s="434">
        <f t="shared" si="2"/>
        <v>862.52099999999996</v>
      </c>
      <c r="AP7" s="409">
        <f t="shared" si="2"/>
        <v>3338.39</v>
      </c>
      <c r="AQ7" s="917">
        <f t="shared" si="2"/>
        <v>858.245</v>
      </c>
      <c r="AR7" s="917">
        <f t="shared" si="2"/>
        <v>924.13300000000004</v>
      </c>
      <c r="AS7" s="917">
        <f t="shared" si="2"/>
        <v>957.36699999999996</v>
      </c>
      <c r="AT7" s="917">
        <f t="shared" si="2"/>
        <v>979</v>
      </c>
      <c r="AU7" s="409">
        <f t="shared" si="2"/>
        <v>3718.7449999999999</v>
      </c>
      <c r="AV7" s="917">
        <f>AV6+AV4+AV5</f>
        <v>918.5</v>
      </c>
      <c r="AW7" s="917">
        <f t="shared" ref="AW7:AY7" si="3">AW6+AW4+AW5</f>
        <v>984.24580446961954</v>
      </c>
      <c r="AX7" s="917">
        <f t="shared" si="3"/>
        <v>1030.1012468556992</v>
      </c>
      <c r="AY7" s="917">
        <f t="shared" si="3"/>
        <v>1124.3266477416751</v>
      </c>
      <c r="AZ7" s="409">
        <f t="shared" ref="AZ7" si="4">AZ6+AZ4+AZ5</f>
        <v>4057.1736990669938</v>
      </c>
      <c r="BA7" s="409">
        <f t="shared" ref="BA7" si="5">BA6+BA4+BA5</f>
        <v>0</v>
      </c>
      <c r="BB7" s="409">
        <f t="shared" ref="BB7" si="6">BB6+BB4+BB5</f>
        <v>0</v>
      </c>
      <c r="BC7" s="409">
        <f t="shared" ref="BC7" si="7">BC6+BC4+BC5</f>
        <v>0</v>
      </c>
      <c r="BD7" s="409">
        <f t="shared" ref="BD7" si="8">BD6+BD4+BD5</f>
        <v>0</v>
      </c>
      <c r="BE7" s="409">
        <f t="shared" ref="BE7" si="9">BE6+BE4+BE5</f>
        <v>4134.4591344619585</v>
      </c>
      <c r="BF7" s="409">
        <f t="shared" ref="BF7" si="10">BF6+BF4+BF5</f>
        <v>0</v>
      </c>
      <c r="BG7" s="409">
        <f t="shared" ref="BG7" si="11">BG6+BG4+BG5</f>
        <v>0</v>
      </c>
      <c r="BH7" s="409">
        <f t="shared" ref="BH7" si="12">BH6+BH4+BH5</f>
        <v>0</v>
      </c>
      <c r="BI7" s="409">
        <f t="shared" ref="BI7" si="13">BI6+BI4+BI5</f>
        <v>0</v>
      </c>
      <c r="BJ7" s="409">
        <f t="shared" ref="BJ7" si="14">BJ6+BJ4+BJ5</f>
        <v>4387.4191640272111</v>
      </c>
      <c r="BK7" s="836">
        <f t="shared" ref="BK7" si="15">BK6+BK4+BK5</f>
        <v>0</v>
      </c>
      <c r="BL7" s="836">
        <f t="shared" ref="BL7" si="16">BL6+BL4+BL5</f>
        <v>0</v>
      </c>
      <c r="BM7" s="836">
        <f t="shared" ref="BM7" si="17">BM6+BM4+BM5</f>
        <v>0</v>
      </c>
      <c r="BN7" s="836">
        <f t="shared" ref="BN7" si="18">BN6+BN4+BN5</f>
        <v>0</v>
      </c>
      <c r="BO7" s="409">
        <f t="shared" ref="BO7" si="19">BO6+BO4+BO5</f>
        <v>4464.4501146266266</v>
      </c>
      <c r="BP7" s="125">
        <f t="shared" ref="BP7" si="20">BP6+BP4+BP5</f>
        <v>0</v>
      </c>
      <c r="BQ7" s="125">
        <f t="shared" ref="BQ7" si="21">BQ6+BQ4+BQ5</f>
        <v>0</v>
      </c>
      <c r="BR7" s="125">
        <f t="shared" ref="BR7" si="22">BR6+BR4+BR5</f>
        <v>0</v>
      </c>
      <c r="BS7" s="125">
        <f t="shared" ref="BS7" si="23">BS6+BS4+BS5</f>
        <v>0</v>
      </c>
      <c r="BT7" s="409">
        <f t="shared" ref="BT7" si="24">BT6+BT4+BT5</f>
        <v>4495.3343543644432</v>
      </c>
      <c r="BU7" s="125">
        <f t="shared" ref="BU7" si="25">BU6+BU4+BU5</f>
        <v>0</v>
      </c>
      <c r="BV7" s="125">
        <f t="shared" ref="BV7" si="26">BV6+BV4+BV5</f>
        <v>0</v>
      </c>
      <c r="BW7" s="125">
        <f t="shared" ref="BW7" si="27">BW6+BW4+BW5</f>
        <v>0</v>
      </c>
      <c r="BX7" s="125">
        <f t="shared" ref="BX7" si="28">BX6+BX4+BX5</f>
        <v>0</v>
      </c>
      <c r="BY7" s="409">
        <f t="shared" ref="BY7" si="29">BY6+BY4+BY5</f>
        <v>4455.2540410430993</v>
      </c>
      <c r="BZ7" s="125">
        <f t="shared" ref="BZ7" si="30">BZ6+BZ4+BZ5</f>
        <v>0</v>
      </c>
      <c r="CA7" s="125">
        <f t="shared" ref="CA7" si="31">CA6+CA4+CA5</f>
        <v>0</v>
      </c>
      <c r="CB7" s="125">
        <f t="shared" ref="CB7" si="32">CB6+CB4+CB5</f>
        <v>0</v>
      </c>
      <c r="CC7" s="125">
        <f t="shared" ref="CC7" si="33">CC6+CC4+CC5</f>
        <v>0</v>
      </c>
      <c r="CD7" s="409">
        <f t="shared" ref="CD7" si="34">CD6+CD4+CD5</f>
        <v>4493.2331680176876</v>
      </c>
      <c r="CE7" s="125">
        <f t="shared" ref="CE7" si="35">CE6+CE4+CE5</f>
        <v>0</v>
      </c>
      <c r="CF7" s="125">
        <f t="shared" ref="CF7" si="36">CF6+CF4+CF5</f>
        <v>0</v>
      </c>
      <c r="CG7" s="125">
        <f t="shared" ref="CG7" si="37">CG6+CG4+CG5</f>
        <v>0</v>
      </c>
      <c r="CH7" s="125">
        <f t="shared" ref="CH7" si="38">CH6+CH4+CH5</f>
        <v>0</v>
      </c>
      <c r="CI7" s="409">
        <f t="shared" ref="CI7" si="39">CI6+CI4+CI5</f>
        <v>4518.9676989367135</v>
      </c>
      <c r="CJ7" s="125">
        <f t="shared" ref="CJ7" si="40">CJ6+CJ4+CJ5</f>
        <v>0</v>
      </c>
      <c r="CK7" s="125">
        <f t="shared" ref="CK7" si="41">CK6+CK4+CK5</f>
        <v>0</v>
      </c>
      <c r="CL7" s="125">
        <f t="shared" ref="CL7" si="42">CL6+CL4+CL5</f>
        <v>0</v>
      </c>
      <c r="CM7" s="125">
        <f t="shared" ref="CM7" si="43">CM6+CM4+CM5</f>
        <v>0</v>
      </c>
      <c r="CN7" s="409">
        <f t="shared" ref="CN7" si="44">CN6+CN4+CN5</f>
        <v>4240.7993138316206</v>
      </c>
      <c r="CO7" s="409">
        <f t="shared" ref="CO7" si="45">CO6+CO4+CO5</f>
        <v>0</v>
      </c>
      <c r="CP7" s="409">
        <f t="shared" ref="CP7" si="46">CP6+CP4+CP5</f>
        <v>0</v>
      </c>
      <c r="CQ7" s="409">
        <f t="shared" ref="CQ7" si="47">CQ6+CQ4+CQ5</f>
        <v>0</v>
      </c>
      <c r="CR7" s="409">
        <f t="shared" ref="CR7" si="48">CR6+CR4+CR5</f>
        <v>0</v>
      </c>
      <c r="CS7" s="409">
        <f t="shared" ref="CS7" si="49">CS6+CS4+CS5</f>
        <v>3979.1927917030989</v>
      </c>
      <c r="CT7" s="409">
        <f t="shared" ref="CT7" si="50">CT6+CT4+CT5</f>
        <v>0</v>
      </c>
      <c r="CU7" s="409">
        <f t="shared" ref="CU7" si="51">CU6+CU4+CU5</f>
        <v>0</v>
      </c>
      <c r="CV7" s="409">
        <f t="shared" ref="CV7" si="52">CV6+CV4+CV5</f>
        <v>0</v>
      </c>
      <c r="CW7" s="409">
        <f t="shared" ref="CW7" si="53">CW6+CW4+CW5</f>
        <v>0</v>
      </c>
      <c r="CX7" s="409">
        <f t="shared" ref="CX7" si="54">CX6+CX4+CX5</f>
        <v>3667.3209576385725</v>
      </c>
      <c r="CY7" s="409">
        <f t="shared" ref="CY7" si="55">CY6+CY4+CY5</f>
        <v>0</v>
      </c>
      <c r="CZ7" s="409">
        <f t="shared" ref="CZ7" si="56">CZ6+CZ4+CZ5</f>
        <v>0</v>
      </c>
      <c r="DA7" s="409">
        <f t="shared" ref="DA7" si="57">DA6+DA4+DA5</f>
        <v>0</v>
      </c>
      <c r="DB7" s="409">
        <f t="shared" ref="DB7" si="58">DB6+DB4+DB5</f>
        <v>0</v>
      </c>
      <c r="DC7" s="409">
        <f t="shared" ref="DC7" si="59">DC6+DC4+DC5</f>
        <v>3299.7664631066805</v>
      </c>
      <c r="DD7" s="409">
        <f t="shared" ref="DD7" si="60">DD6+DD4+DD5</f>
        <v>0</v>
      </c>
      <c r="DE7" s="409">
        <f t="shared" ref="DE7" si="61">DE6+DE4+DE5</f>
        <v>0</v>
      </c>
      <c r="DF7" s="409">
        <f t="shared" ref="DF7" si="62">DF6+DF4+DF5</f>
        <v>0</v>
      </c>
      <c r="DG7" s="409">
        <f t="shared" ref="DG7" si="63">DG6+DG4+DG5</f>
        <v>0</v>
      </c>
      <c r="DH7" s="409">
        <f t="shared" ref="DH7" si="64">DH6+DH4+DH5</f>
        <v>3604.726912362913</v>
      </c>
    </row>
    <row r="8" spans="1:112">
      <c r="C8" s="427"/>
      <c r="D8" s="427"/>
      <c r="E8" s="427"/>
      <c r="F8" s="427"/>
      <c r="H8" s="427"/>
      <c r="I8" s="427"/>
      <c r="J8" s="427"/>
      <c r="K8" s="427"/>
      <c r="M8" s="427"/>
      <c r="N8" s="427"/>
      <c r="O8" s="427"/>
      <c r="P8" s="427"/>
      <c r="R8" s="427"/>
      <c r="S8" s="427"/>
      <c r="T8" s="427"/>
      <c r="U8" s="427"/>
      <c r="V8" s="179"/>
      <c r="W8" s="433"/>
      <c r="X8" s="433"/>
      <c r="Y8" s="433"/>
      <c r="Z8" s="433"/>
      <c r="AA8" s="179"/>
      <c r="AB8" s="436"/>
      <c r="AC8" s="436"/>
      <c r="AD8" s="436"/>
      <c r="AE8" s="436"/>
      <c r="AF8" s="179"/>
      <c r="AG8" s="513"/>
      <c r="AH8" s="513"/>
      <c r="AI8" s="513"/>
      <c r="AJ8" s="513"/>
      <c r="AK8" s="179"/>
      <c r="AL8" s="433"/>
      <c r="AM8" s="433"/>
      <c r="AN8" s="433"/>
      <c r="AO8" s="433"/>
      <c r="AP8" s="179"/>
      <c r="AQ8" s="902"/>
      <c r="AR8" s="902"/>
      <c r="AS8" s="902"/>
      <c r="AT8" s="902"/>
      <c r="AU8" s="185"/>
      <c r="AV8" s="1100"/>
      <c r="AW8" s="1100"/>
      <c r="AX8" s="1100"/>
      <c r="AY8" s="1100"/>
      <c r="AZ8" s="179"/>
      <c r="BA8" s="179"/>
      <c r="BB8" s="179"/>
      <c r="BC8" s="179"/>
      <c r="BD8" s="179"/>
      <c r="BE8" s="179"/>
      <c r="BF8" s="179"/>
      <c r="BG8" s="179"/>
      <c r="BH8" s="179"/>
      <c r="BI8" s="179"/>
      <c r="BJ8" s="179"/>
      <c r="BK8" s="179"/>
      <c r="BL8" s="179"/>
      <c r="BM8" s="179"/>
      <c r="BN8" s="179"/>
      <c r="BO8" s="179"/>
      <c r="BT8" s="179"/>
      <c r="BY8" s="179"/>
      <c r="CD8" s="179"/>
      <c r="CI8" s="179"/>
      <c r="CN8" s="179"/>
      <c r="CO8" s="179"/>
      <c r="CP8" s="179"/>
      <c r="CQ8" s="179"/>
      <c r="CR8" s="179"/>
      <c r="CS8" s="179"/>
      <c r="CT8" s="179"/>
      <c r="CU8" s="179"/>
      <c r="CV8" s="179"/>
      <c r="CW8" s="179"/>
      <c r="CX8" s="179"/>
      <c r="CY8" s="179"/>
      <c r="CZ8" s="179"/>
      <c r="DA8" s="179"/>
      <c r="DB8" s="179"/>
      <c r="DC8" s="179"/>
      <c r="DD8" s="179"/>
      <c r="DE8" s="179"/>
      <c r="DF8" s="179"/>
      <c r="DG8" s="179"/>
      <c r="DH8" s="179"/>
    </row>
    <row r="9" spans="1:112">
      <c r="B9" s="176" t="s">
        <v>193</v>
      </c>
      <c r="C9" s="427"/>
      <c r="D9" s="427"/>
      <c r="E9" s="427"/>
      <c r="F9" s="427"/>
      <c r="H9" s="427"/>
      <c r="I9" s="427"/>
      <c r="J9" s="427"/>
      <c r="K9" s="427"/>
      <c r="M9" s="427"/>
      <c r="N9" s="427"/>
      <c r="O9" s="427"/>
      <c r="P9" s="427"/>
      <c r="R9" s="427"/>
      <c r="S9" s="427"/>
      <c r="T9" s="427"/>
      <c r="U9" s="427"/>
      <c r="V9" s="181"/>
      <c r="W9" s="437"/>
      <c r="X9" s="437"/>
      <c r="Y9" s="437"/>
      <c r="Z9" s="437"/>
      <c r="AA9" s="181"/>
      <c r="AB9" s="437"/>
      <c r="AC9" s="437"/>
      <c r="AD9" s="437"/>
      <c r="AE9" s="437"/>
      <c r="AF9" s="181"/>
      <c r="AG9" s="810"/>
      <c r="AH9" s="810"/>
      <c r="AI9" s="810"/>
      <c r="AJ9" s="810"/>
      <c r="AK9" s="181"/>
      <c r="AL9" s="437"/>
      <c r="AM9" s="437"/>
      <c r="AN9" s="437"/>
      <c r="AO9" s="437"/>
      <c r="AP9" s="881"/>
      <c r="AQ9" s="901"/>
      <c r="AR9" s="901"/>
      <c r="AS9" s="901"/>
      <c r="AT9" s="901"/>
      <c r="AU9" s="192"/>
      <c r="AV9" s="1100"/>
      <c r="AW9" s="901"/>
      <c r="AX9" s="901"/>
      <c r="AY9" s="901"/>
      <c r="AZ9" s="181"/>
      <c r="BA9" s="181"/>
      <c r="BB9" s="181"/>
      <c r="BC9" s="181"/>
      <c r="BD9" s="181"/>
      <c r="BE9" s="181"/>
      <c r="BF9" s="181"/>
      <c r="BG9" s="181"/>
      <c r="BH9" s="181"/>
      <c r="BI9" s="181"/>
      <c r="BJ9" s="181"/>
      <c r="BK9" s="181"/>
      <c r="BL9" s="181"/>
      <c r="BM9" s="181"/>
      <c r="BN9" s="181"/>
      <c r="BO9" s="181"/>
      <c r="BT9" s="181"/>
      <c r="BY9" s="181"/>
      <c r="CD9" s="181"/>
      <c r="CI9" s="181"/>
      <c r="CN9" s="181"/>
      <c r="CO9" s="181"/>
      <c r="CP9" s="181"/>
      <c r="CQ9" s="181"/>
      <c r="CR9" s="181"/>
      <c r="CS9" s="181"/>
      <c r="CT9" s="181"/>
      <c r="CU9" s="181"/>
      <c r="CV9" s="181"/>
      <c r="CW9" s="181"/>
      <c r="CX9" s="181"/>
      <c r="CY9" s="181"/>
      <c r="CZ9" s="181"/>
      <c r="DA9" s="181"/>
      <c r="DB9" s="181"/>
      <c r="DC9" s="181"/>
      <c r="DD9" s="181"/>
      <c r="DE9" s="181"/>
      <c r="DF9" s="181"/>
      <c r="DG9" s="181"/>
      <c r="DH9" s="181"/>
    </row>
    <row r="10" spans="1:112">
      <c r="B10" s="184" t="s">
        <v>194</v>
      </c>
      <c r="C10" s="427"/>
      <c r="D10" s="427"/>
      <c r="E10" s="427"/>
      <c r="F10" s="427"/>
      <c r="H10" s="427"/>
      <c r="I10" s="427"/>
      <c r="J10" s="427"/>
      <c r="K10" s="427"/>
      <c r="M10" s="427"/>
      <c r="N10" s="427"/>
      <c r="O10" s="427"/>
      <c r="P10" s="427"/>
      <c r="R10" s="427"/>
      <c r="S10" s="427"/>
      <c r="T10" s="427"/>
      <c r="U10" s="427"/>
      <c r="V10" s="179"/>
      <c r="W10" s="433"/>
      <c r="X10" s="433"/>
      <c r="Y10" s="433"/>
      <c r="Z10" s="433"/>
      <c r="AA10" s="179"/>
      <c r="AB10" s="433"/>
      <c r="AC10" s="433"/>
      <c r="AD10" s="433"/>
      <c r="AE10" s="433"/>
      <c r="AF10" s="179"/>
      <c r="AG10" s="513"/>
      <c r="AH10" s="513"/>
      <c r="AI10" s="513"/>
      <c r="AJ10" s="513"/>
      <c r="AK10" s="179"/>
      <c r="AL10" s="433"/>
      <c r="AM10" s="433"/>
      <c r="AN10" s="433"/>
      <c r="AO10" s="433"/>
      <c r="AP10" s="179"/>
      <c r="AQ10" s="902"/>
      <c r="AR10" s="902"/>
      <c r="AS10" s="902"/>
      <c r="AT10" s="902"/>
      <c r="AU10" s="179"/>
      <c r="AV10" s="902"/>
      <c r="AW10" s="902"/>
      <c r="AX10" s="902"/>
      <c r="AY10" s="902"/>
      <c r="AZ10" s="179"/>
      <c r="BA10" s="179"/>
      <c r="BB10" s="179"/>
      <c r="BC10" s="179"/>
      <c r="BD10" s="179"/>
      <c r="BE10" s="179"/>
      <c r="BF10" s="179"/>
      <c r="BG10" s="179"/>
      <c r="BH10" s="179"/>
      <c r="BI10" s="179"/>
      <c r="BJ10" s="179"/>
      <c r="BK10" s="179"/>
      <c r="BL10" s="179"/>
      <c r="BM10" s="179"/>
      <c r="BN10" s="179"/>
      <c r="BO10" s="179"/>
      <c r="BT10" s="179"/>
      <c r="BY10" s="179"/>
      <c r="CD10" s="179"/>
      <c r="CI10" s="179"/>
      <c r="CN10" s="179"/>
      <c r="CO10" s="179"/>
      <c r="CP10" s="179"/>
      <c r="CQ10" s="179"/>
      <c r="CR10" s="179"/>
      <c r="CS10" s="179"/>
      <c r="CT10" s="179"/>
      <c r="CU10" s="179"/>
      <c r="CV10" s="179"/>
      <c r="CW10" s="179"/>
      <c r="CX10" s="179"/>
      <c r="CY10" s="179"/>
      <c r="CZ10" s="179"/>
      <c r="DA10" s="179"/>
      <c r="DB10" s="179"/>
      <c r="DC10" s="179"/>
      <c r="DD10" s="179"/>
      <c r="DE10" s="179"/>
      <c r="DF10" s="179"/>
      <c r="DG10" s="179"/>
      <c r="DH10" s="179"/>
    </row>
    <row r="11" spans="1:112">
      <c r="B11" s="193" t="s">
        <v>207</v>
      </c>
      <c r="C11" s="427"/>
      <c r="D11" s="427"/>
      <c r="E11" s="427"/>
      <c r="F11" s="427"/>
      <c r="H11" s="427"/>
      <c r="I11" s="427"/>
      <c r="J11" s="427"/>
      <c r="K11" s="427"/>
      <c r="M11" s="427"/>
      <c r="N11" s="427"/>
      <c r="O11" s="427"/>
      <c r="P11" s="427"/>
      <c r="R11" s="427"/>
      <c r="S11" s="427"/>
      <c r="T11" s="427"/>
      <c r="U11" s="427"/>
      <c r="V11" s="179"/>
      <c r="W11" s="433"/>
      <c r="X11" s="433"/>
      <c r="Y11" s="433"/>
      <c r="Z11" s="433"/>
      <c r="AA11" s="179"/>
      <c r="AB11" s="433"/>
      <c r="AC11" s="433"/>
      <c r="AD11" s="433"/>
      <c r="AE11" s="433"/>
      <c r="AF11" s="179"/>
      <c r="AG11" s="513"/>
      <c r="AH11" s="513"/>
      <c r="AI11" s="513"/>
      <c r="AJ11" s="513"/>
      <c r="AK11" s="179"/>
      <c r="AL11" s="433"/>
      <c r="AM11" s="433"/>
      <c r="AN11" s="433"/>
      <c r="AO11" s="433"/>
      <c r="AP11" s="179"/>
      <c r="AQ11" s="902"/>
      <c r="AR11" s="902"/>
      <c r="AS11" s="902"/>
      <c r="AT11" s="902"/>
      <c r="AU11" s="179"/>
      <c r="AV11" s="902"/>
      <c r="AW11" s="902"/>
      <c r="AX11" s="902"/>
      <c r="AY11" s="902"/>
      <c r="AZ11" s="179"/>
      <c r="BA11" s="179"/>
      <c r="BB11" s="179"/>
      <c r="BC11" s="179"/>
      <c r="BD11" s="179"/>
      <c r="BE11" s="179"/>
      <c r="BF11" s="179"/>
      <c r="BG11" s="179"/>
      <c r="BH11" s="179"/>
      <c r="BI11" s="179"/>
      <c r="BJ11" s="179"/>
      <c r="BK11" s="179"/>
      <c r="BL11" s="179"/>
      <c r="BM11" s="179"/>
      <c r="BN11" s="179"/>
      <c r="BO11" s="179"/>
      <c r="BT11" s="179"/>
      <c r="BY11" s="179"/>
      <c r="CD11" s="179"/>
      <c r="CI11" s="179"/>
      <c r="CN11" s="179"/>
      <c r="CO11" s="179"/>
      <c r="CP11" s="179"/>
      <c r="CQ11" s="179"/>
      <c r="CR11" s="179"/>
      <c r="CS11" s="179"/>
      <c r="CT11" s="179"/>
      <c r="CU11" s="179"/>
      <c r="CV11" s="179"/>
      <c r="CW11" s="179"/>
      <c r="CX11" s="179"/>
      <c r="CY11" s="179"/>
      <c r="CZ11" s="179"/>
      <c r="DA11" s="179"/>
      <c r="DB11" s="179"/>
      <c r="DC11" s="179"/>
      <c r="DD11" s="179"/>
      <c r="DE11" s="179"/>
      <c r="DF11" s="179"/>
      <c r="DG11" s="179"/>
      <c r="DH11" s="179"/>
    </row>
    <row r="12" spans="1:112" ht="12.75" customHeight="1">
      <c r="B12" s="194" t="s">
        <v>203</v>
      </c>
      <c r="C12" s="427"/>
      <c r="D12" s="427"/>
      <c r="E12" s="427"/>
      <c r="F12" s="427"/>
      <c r="G12" s="438">
        <v>0</v>
      </c>
      <c r="H12" s="429"/>
      <c r="I12" s="429"/>
      <c r="J12" s="429"/>
      <c r="K12" s="429"/>
      <c r="L12" s="438">
        <v>0</v>
      </c>
      <c r="M12" s="429"/>
      <c r="N12" s="429"/>
      <c r="O12" s="429"/>
      <c r="P12" s="429"/>
      <c r="Q12" s="438">
        <v>-9.3000000000000007</v>
      </c>
      <c r="R12" s="429"/>
      <c r="S12" s="429"/>
      <c r="T12" s="429"/>
      <c r="U12" s="429"/>
      <c r="V12" s="428">
        <v>-25.6</v>
      </c>
      <c r="W12" s="392">
        <v>-7.7889999999999997</v>
      </c>
      <c r="X12" s="439">
        <v>-8.2159999999999993</v>
      </c>
      <c r="Y12" s="392">
        <v>-6.5750000000000002</v>
      </c>
      <c r="Z12" s="433">
        <f>AA12-W12-X12-Y12</f>
        <v>-8.2200000000000024</v>
      </c>
      <c r="AA12" s="428">
        <v>-30.8</v>
      </c>
      <c r="AB12" s="392">
        <v>-3.2120000000000002</v>
      </c>
      <c r="AC12" s="392">
        <v>-0.69199999999999995</v>
      </c>
      <c r="AD12" s="392">
        <v>-1.008</v>
      </c>
      <c r="AE12" s="392">
        <v>0</v>
      </c>
      <c r="AF12" s="269">
        <f>SUM(AB12:AE12)</f>
        <v>-4.9119999999999999</v>
      </c>
      <c r="AG12" s="392">
        <v>0</v>
      </c>
      <c r="AH12" s="392">
        <v>0</v>
      </c>
      <c r="AI12" s="392">
        <v>0</v>
      </c>
      <c r="AJ12" s="440">
        <v>0</v>
      </c>
      <c r="AK12" s="179">
        <f>SUM(AG12:AJ12)</f>
        <v>0</v>
      </c>
      <c r="AL12" s="392">
        <v>0</v>
      </c>
      <c r="AM12" s="392">
        <v>0</v>
      </c>
      <c r="AN12" s="392">
        <v>0</v>
      </c>
      <c r="AO12" s="392">
        <v>0</v>
      </c>
      <c r="AP12" s="179">
        <f>SUM(AL12:AO12)</f>
        <v>0</v>
      </c>
      <c r="AQ12" s="975">
        <v>0</v>
      </c>
      <c r="AR12" s="975">
        <v>0</v>
      </c>
      <c r="AS12" s="975">
        <v>0</v>
      </c>
      <c r="AT12" s="975">
        <v>0</v>
      </c>
      <c r="AU12" s="179">
        <f>SUM(AQ12:AT12)</f>
        <v>0</v>
      </c>
      <c r="AV12" s="975">
        <v>0</v>
      </c>
      <c r="AW12" s="975">
        <f>AV12</f>
        <v>0</v>
      </c>
      <c r="AX12" s="975">
        <f t="shared" ref="AX12:AY12" si="65">AW12</f>
        <v>0</v>
      </c>
      <c r="AY12" s="975">
        <f t="shared" si="65"/>
        <v>0</v>
      </c>
      <c r="AZ12" s="179">
        <f>Zaltrap!AK23</f>
        <v>0</v>
      </c>
      <c r="BA12" s="179"/>
      <c r="BB12" s="179"/>
      <c r="BC12" s="179"/>
      <c r="BD12" s="179"/>
      <c r="BE12" s="179">
        <f>Zaltrap!AP23</f>
        <v>0</v>
      </c>
      <c r="BF12" s="179"/>
      <c r="BG12" s="179"/>
      <c r="BH12" s="179"/>
      <c r="BI12" s="179"/>
      <c r="BJ12" s="179">
        <f>Zaltrap!AU23</f>
        <v>0</v>
      </c>
      <c r="BK12" s="179"/>
      <c r="BL12" s="179"/>
      <c r="BM12" s="179"/>
      <c r="BN12" s="179"/>
      <c r="BO12" s="179">
        <f>BJ12</f>
        <v>0</v>
      </c>
      <c r="BT12" s="179">
        <f>BO12</f>
        <v>0</v>
      </c>
      <c r="BY12" s="179">
        <f>BT12</f>
        <v>0</v>
      </c>
      <c r="CD12" s="179">
        <f>BY12</f>
        <v>0</v>
      </c>
      <c r="CI12" s="179">
        <f>CD12</f>
        <v>0</v>
      </c>
      <c r="CN12" s="179">
        <f>CI12</f>
        <v>0</v>
      </c>
      <c r="CO12" s="179"/>
      <c r="CP12" s="179"/>
      <c r="CQ12" s="179"/>
      <c r="CR12" s="179"/>
      <c r="CS12" s="179">
        <f>CN12</f>
        <v>0</v>
      </c>
      <c r="CT12" s="179"/>
      <c r="CU12" s="179"/>
      <c r="CV12" s="179"/>
      <c r="CW12" s="179"/>
      <c r="CX12" s="179">
        <f>CS12</f>
        <v>0</v>
      </c>
      <c r="CY12" s="179"/>
      <c r="CZ12" s="179"/>
      <c r="DA12" s="179"/>
      <c r="DB12" s="179"/>
      <c r="DC12" s="179">
        <f>CX12</f>
        <v>0</v>
      </c>
      <c r="DD12" s="179"/>
      <c r="DE12" s="179"/>
      <c r="DF12" s="179"/>
      <c r="DG12" s="179"/>
      <c r="DH12" s="179">
        <f>DC12</f>
        <v>0</v>
      </c>
    </row>
    <row r="13" spans="1:112">
      <c r="B13" s="194" t="s">
        <v>204</v>
      </c>
      <c r="C13" s="427"/>
      <c r="D13" s="427"/>
      <c r="E13" s="427"/>
      <c r="F13" s="427"/>
      <c r="G13" s="438">
        <v>0</v>
      </c>
      <c r="H13" s="429"/>
      <c r="I13" s="429"/>
      <c r="J13" s="429"/>
      <c r="K13" s="429"/>
      <c r="L13" s="438">
        <v>0</v>
      </c>
      <c r="M13" s="429"/>
      <c r="N13" s="429"/>
      <c r="O13" s="429"/>
      <c r="P13" s="429"/>
      <c r="Q13" s="438">
        <v>0</v>
      </c>
      <c r="R13" s="429"/>
      <c r="S13" s="429"/>
      <c r="T13" s="429"/>
      <c r="U13" s="429"/>
      <c r="V13" s="428">
        <v>50</v>
      </c>
      <c r="W13" s="392">
        <v>0</v>
      </c>
      <c r="X13" s="392">
        <v>0</v>
      </c>
      <c r="Y13" s="392">
        <v>0</v>
      </c>
      <c r="Z13" s="392">
        <v>0</v>
      </c>
      <c r="AA13" s="428">
        <v>0</v>
      </c>
      <c r="AB13" s="392">
        <v>0</v>
      </c>
      <c r="AC13" s="392">
        <v>0</v>
      </c>
      <c r="AD13" s="392">
        <v>0</v>
      </c>
      <c r="AE13" s="392">
        <v>0</v>
      </c>
      <c r="AF13" s="269">
        <f>SUM(AB13:AE13)</f>
        <v>0</v>
      </c>
      <c r="AG13" s="392">
        <v>0</v>
      </c>
      <c r="AH13" s="392">
        <v>0</v>
      </c>
      <c r="AI13" s="392">
        <v>0</v>
      </c>
      <c r="AJ13" s="440">
        <v>0</v>
      </c>
      <c r="AK13" s="179">
        <f t="shared" ref="AK13:AK15" si="66">SUM(AG13:AJ13)</f>
        <v>0</v>
      </c>
      <c r="AL13" s="392">
        <v>0</v>
      </c>
      <c r="AM13" s="392">
        <v>0</v>
      </c>
      <c r="AN13" s="392">
        <v>0</v>
      </c>
      <c r="AO13" s="392">
        <v>0</v>
      </c>
      <c r="AP13" s="179">
        <f t="shared" ref="AP13:AP15" si="67">SUM(AL13:AO13)</f>
        <v>0</v>
      </c>
      <c r="AQ13" s="975">
        <v>0</v>
      </c>
      <c r="AR13" s="975">
        <v>0</v>
      </c>
      <c r="AS13" s="975">
        <v>0</v>
      </c>
      <c r="AT13" s="975">
        <v>0</v>
      </c>
      <c r="AU13" s="179">
        <f t="shared" ref="AU13:AU15" si="68">SUM(AQ13:AT13)</f>
        <v>0</v>
      </c>
      <c r="AV13" s="975">
        <v>0</v>
      </c>
      <c r="AW13" s="975">
        <f t="shared" ref="AW13:AY15" si="69">AV13</f>
        <v>0</v>
      </c>
      <c r="AX13" s="975">
        <f t="shared" si="69"/>
        <v>0</v>
      </c>
      <c r="AY13" s="975">
        <f t="shared" si="69"/>
        <v>0</v>
      </c>
      <c r="AZ13" s="179">
        <f>AU13</f>
        <v>0</v>
      </c>
      <c r="BA13" s="179"/>
      <c r="BB13" s="179"/>
      <c r="BC13" s="179"/>
      <c r="BD13" s="179"/>
      <c r="BE13" s="179">
        <f>AZ13</f>
        <v>0</v>
      </c>
      <c r="BF13" s="179"/>
      <c r="BG13" s="179"/>
      <c r="BH13" s="179"/>
      <c r="BI13" s="179"/>
      <c r="BJ13" s="179">
        <f>BE13</f>
        <v>0</v>
      </c>
      <c r="BK13" s="179"/>
      <c r="BL13" s="179"/>
      <c r="BM13" s="179"/>
      <c r="BN13" s="179"/>
      <c r="BO13" s="179">
        <f>BJ13</f>
        <v>0</v>
      </c>
      <c r="BP13" s="179"/>
      <c r="BQ13" s="179"/>
      <c r="BR13" s="179"/>
      <c r="BS13" s="179"/>
      <c r="BT13" s="179">
        <f>BO13</f>
        <v>0</v>
      </c>
      <c r="BY13" s="179">
        <f>BT13</f>
        <v>0</v>
      </c>
      <c r="CD13" s="179">
        <f>BY13</f>
        <v>0</v>
      </c>
      <c r="CI13" s="179">
        <f>CD13</f>
        <v>0</v>
      </c>
      <c r="CN13" s="179">
        <f>CI13</f>
        <v>0</v>
      </c>
      <c r="CO13" s="179"/>
      <c r="CP13" s="179"/>
      <c r="CQ13" s="179"/>
      <c r="CR13" s="179"/>
      <c r="CS13" s="179">
        <f>CN13</f>
        <v>0</v>
      </c>
      <c r="CT13" s="179"/>
      <c r="CU13" s="179"/>
      <c r="CV13" s="179"/>
      <c r="CW13" s="179"/>
      <c r="CX13" s="179">
        <f>CS13</f>
        <v>0</v>
      </c>
      <c r="CY13" s="179"/>
      <c r="CZ13" s="179"/>
      <c r="DA13" s="179"/>
      <c r="DB13" s="179"/>
      <c r="DC13" s="179">
        <f>CX13</f>
        <v>0</v>
      </c>
      <c r="DD13" s="179"/>
      <c r="DE13" s="179"/>
      <c r="DF13" s="179"/>
      <c r="DG13" s="179"/>
      <c r="DH13" s="179">
        <f>DC13</f>
        <v>0</v>
      </c>
    </row>
    <row r="14" spans="1:112">
      <c r="A14" s="125" t="s">
        <v>1</v>
      </c>
      <c r="B14" s="194" t="s">
        <v>208</v>
      </c>
      <c r="C14" s="429">
        <v>5.4</v>
      </c>
      <c r="D14" s="429">
        <v>9.1999999999999993</v>
      </c>
      <c r="E14" s="392">
        <v>7</v>
      </c>
      <c r="F14" s="392">
        <v>5</v>
      </c>
      <c r="G14" s="438">
        <v>26.6</v>
      </c>
      <c r="H14" s="429"/>
      <c r="I14" s="429"/>
      <c r="J14" s="429"/>
      <c r="K14" s="429"/>
      <c r="L14" s="438">
        <v>16.5</v>
      </c>
      <c r="M14" s="429"/>
      <c r="N14" s="429"/>
      <c r="O14" s="429"/>
      <c r="P14" s="429"/>
      <c r="Q14" s="438">
        <v>16.899999999999999</v>
      </c>
      <c r="R14" s="429"/>
      <c r="S14" s="429"/>
      <c r="T14" s="429"/>
      <c r="U14" s="429"/>
      <c r="V14" s="428">
        <v>10.6</v>
      </c>
      <c r="W14" s="440">
        <f>2.563-1.3</f>
        <v>1.2630000000000001</v>
      </c>
      <c r="X14" s="440">
        <f>2.835-1.3</f>
        <v>1.5349999999999999</v>
      </c>
      <c r="Y14" s="440">
        <f>2.557-1.3</f>
        <v>1.2569999999999999</v>
      </c>
      <c r="Z14" s="441">
        <f>AA14-W14-X14-Y14</f>
        <v>1.5449999999999997</v>
      </c>
      <c r="AA14" s="428">
        <v>5.6</v>
      </c>
      <c r="AB14" s="392">
        <v>1.0920000000000001</v>
      </c>
      <c r="AC14" s="440">
        <v>1.3380000000000001</v>
      </c>
      <c r="AD14" s="440">
        <v>1.2609999999999999</v>
      </c>
      <c r="AE14" s="440">
        <v>0</v>
      </c>
      <c r="AF14" s="179">
        <f>SUM(AB14:AE14)</f>
        <v>3.6909999999999998</v>
      </c>
      <c r="AG14" s="440">
        <v>0.68600000000000005</v>
      </c>
      <c r="AH14" s="440">
        <v>0</v>
      </c>
      <c r="AI14" s="440">
        <v>0</v>
      </c>
      <c r="AJ14" s="440">
        <v>0</v>
      </c>
      <c r="AK14" s="239">
        <f t="shared" si="66"/>
        <v>0.68600000000000005</v>
      </c>
      <c r="AL14" s="392">
        <v>0</v>
      </c>
      <c r="AM14" s="392">
        <v>0</v>
      </c>
      <c r="AN14" s="392">
        <v>0</v>
      </c>
      <c r="AO14" s="392">
        <v>0</v>
      </c>
      <c r="AP14" s="239">
        <f t="shared" si="67"/>
        <v>0</v>
      </c>
      <c r="AQ14" s="975">
        <v>0</v>
      </c>
      <c r="AR14" s="975">
        <v>0</v>
      </c>
      <c r="AS14" s="975">
        <v>0</v>
      </c>
      <c r="AT14" s="975">
        <v>0</v>
      </c>
      <c r="AU14" s="239">
        <f t="shared" si="68"/>
        <v>0</v>
      </c>
      <c r="AV14" s="975">
        <v>0</v>
      </c>
      <c r="AW14" s="975">
        <f t="shared" si="69"/>
        <v>0</v>
      </c>
      <c r="AX14" s="975">
        <f t="shared" si="69"/>
        <v>0</v>
      </c>
      <c r="AY14" s="975">
        <f t="shared" si="69"/>
        <v>0</v>
      </c>
      <c r="AZ14" s="239">
        <f>AU14</f>
        <v>0</v>
      </c>
      <c r="BA14" s="179"/>
      <c r="BB14" s="179"/>
      <c r="BC14" s="179"/>
      <c r="BD14" s="179"/>
      <c r="BE14" s="239">
        <f>AZ14</f>
        <v>0</v>
      </c>
      <c r="BF14" s="179"/>
      <c r="BG14" s="179"/>
      <c r="BH14" s="179"/>
      <c r="BI14" s="179"/>
      <c r="BJ14" s="239">
        <f>BE14</f>
        <v>0</v>
      </c>
      <c r="BK14" s="179"/>
      <c r="BL14" s="179"/>
      <c r="BM14" s="179"/>
      <c r="BN14" s="179"/>
      <c r="BO14" s="239">
        <f>BJ14</f>
        <v>0</v>
      </c>
      <c r="BP14" s="179"/>
      <c r="BQ14" s="179"/>
      <c r="BR14" s="179"/>
      <c r="BS14" s="179"/>
      <c r="BT14" s="239">
        <f>BO14</f>
        <v>0</v>
      </c>
      <c r="BY14" s="239">
        <f>BT14</f>
        <v>0</v>
      </c>
      <c r="CD14" s="239">
        <f>BY14</f>
        <v>0</v>
      </c>
      <c r="CI14" s="239">
        <f>CD14</f>
        <v>0</v>
      </c>
      <c r="CN14" s="239">
        <f>CI14</f>
        <v>0</v>
      </c>
      <c r="CO14" s="239"/>
      <c r="CP14" s="239"/>
      <c r="CQ14" s="239"/>
      <c r="CR14" s="239"/>
      <c r="CS14" s="239">
        <f>CN14</f>
        <v>0</v>
      </c>
      <c r="CT14" s="239"/>
      <c r="CU14" s="239"/>
      <c r="CV14" s="239"/>
      <c r="CW14" s="239"/>
      <c r="CX14" s="239">
        <f>CS14</f>
        <v>0</v>
      </c>
      <c r="CY14" s="239"/>
      <c r="CZ14" s="239"/>
      <c r="DA14" s="239"/>
      <c r="DB14" s="239"/>
      <c r="DC14" s="239">
        <f>CX14</f>
        <v>0</v>
      </c>
      <c r="DD14" s="239"/>
      <c r="DE14" s="239"/>
      <c r="DF14" s="239"/>
      <c r="DG14" s="239"/>
      <c r="DH14" s="239">
        <f>DC14</f>
        <v>0</v>
      </c>
    </row>
    <row r="15" spans="1:112">
      <c r="B15" s="194" t="s">
        <v>751</v>
      </c>
      <c r="C15" s="429">
        <v>2.5</v>
      </c>
      <c r="D15" s="429">
        <v>2.5</v>
      </c>
      <c r="E15" s="392">
        <v>2.5</v>
      </c>
      <c r="F15" s="392">
        <v>2.5</v>
      </c>
      <c r="G15" s="438">
        <v>9.9</v>
      </c>
      <c r="H15" s="429"/>
      <c r="I15" s="429"/>
      <c r="J15" s="429"/>
      <c r="K15" s="429"/>
      <c r="L15" s="438">
        <v>9.9</v>
      </c>
      <c r="M15" s="429"/>
      <c r="N15" s="429"/>
      <c r="O15" s="429"/>
      <c r="P15" s="429"/>
      <c r="Q15" s="438">
        <v>9.9</v>
      </c>
      <c r="R15" s="429"/>
      <c r="S15" s="429"/>
      <c r="T15" s="429"/>
      <c r="U15" s="429"/>
      <c r="V15" s="428">
        <v>13.3</v>
      </c>
      <c r="W15" s="440">
        <f>1.384+1.3</f>
        <v>2.6840000000000002</v>
      </c>
      <c r="X15" s="440">
        <f>1.384+1.3</f>
        <v>2.6840000000000002</v>
      </c>
      <c r="Y15" s="440">
        <f>1.384+1.3</f>
        <v>2.6840000000000002</v>
      </c>
      <c r="Z15" s="441">
        <f>AA15-W15-X15-Y15</f>
        <v>1.6479999999999988</v>
      </c>
      <c r="AA15" s="428">
        <v>9.6999999999999993</v>
      </c>
      <c r="AB15" s="392">
        <v>2.177</v>
      </c>
      <c r="AC15" s="392">
        <v>1.484</v>
      </c>
      <c r="AD15" s="392">
        <v>0.75600000000000001</v>
      </c>
      <c r="AE15" s="392">
        <v>0</v>
      </c>
      <c r="AF15" s="178">
        <f>SUM(AB15:AE15)</f>
        <v>4.4169999999999998</v>
      </c>
      <c r="AG15" s="440">
        <v>15.236000000000001</v>
      </c>
      <c r="AH15" s="440">
        <v>0</v>
      </c>
      <c r="AI15" s="440">
        <v>0</v>
      </c>
      <c r="AJ15" s="440">
        <v>0</v>
      </c>
      <c r="AK15" s="179">
        <f t="shared" si="66"/>
        <v>15.236000000000001</v>
      </c>
      <c r="AL15" s="392">
        <v>0</v>
      </c>
      <c r="AM15" s="392">
        <v>0</v>
      </c>
      <c r="AN15" s="392">
        <v>0</v>
      </c>
      <c r="AO15" s="392">
        <v>0</v>
      </c>
      <c r="AP15" s="179">
        <f t="shared" si="67"/>
        <v>0</v>
      </c>
      <c r="AQ15" s="975">
        <v>0</v>
      </c>
      <c r="AR15" s="975">
        <v>0</v>
      </c>
      <c r="AS15" s="975">
        <v>0</v>
      </c>
      <c r="AT15" s="975">
        <v>0</v>
      </c>
      <c r="AU15" s="179">
        <f t="shared" si="68"/>
        <v>0</v>
      </c>
      <c r="AV15" s="975">
        <v>0</v>
      </c>
      <c r="AW15" s="975">
        <f t="shared" si="69"/>
        <v>0</v>
      </c>
      <c r="AX15" s="975">
        <f t="shared" si="69"/>
        <v>0</v>
      </c>
      <c r="AY15" s="975">
        <f t="shared" si="69"/>
        <v>0</v>
      </c>
      <c r="AZ15" s="179">
        <f>AU15</f>
        <v>0</v>
      </c>
      <c r="BA15" s="179"/>
      <c r="BB15" s="179"/>
      <c r="BC15" s="179"/>
      <c r="BD15" s="179"/>
      <c r="BE15" s="179">
        <f>AZ15</f>
        <v>0</v>
      </c>
      <c r="BF15" s="179"/>
      <c r="BG15" s="179"/>
      <c r="BH15" s="179"/>
      <c r="BI15" s="179"/>
      <c r="BJ15" s="179">
        <f>BE15</f>
        <v>0</v>
      </c>
      <c r="BK15" s="179"/>
      <c r="BL15" s="179"/>
      <c r="BM15" s="179"/>
      <c r="BN15" s="179"/>
      <c r="BO15" s="179">
        <f>BJ15</f>
        <v>0</v>
      </c>
      <c r="BT15" s="179">
        <f>BO15</f>
        <v>0</v>
      </c>
      <c r="BY15" s="179">
        <f>BT15</f>
        <v>0</v>
      </c>
      <c r="CD15" s="179">
        <f>BY15</f>
        <v>0</v>
      </c>
      <c r="CI15" s="179">
        <f>CD15</f>
        <v>0</v>
      </c>
      <c r="CN15" s="179">
        <f>CI15</f>
        <v>0</v>
      </c>
      <c r="CO15" s="179"/>
      <c r="CP15" s="179"/>
      <c r="CQ15" s="179"/>
      <c r="CR15" s="179"/>
      <c r="CS15" s="179">
        <f>CN15</f>
        <v>0</v>
      </c>
      <c r="CT15" s="179"/>
      <c r="CU15" s="179"/>
      <c r="CV15" s="179"/>
      <c r="CW15" s="179"/>
      <c r="CX15" s="179">
        <f>CS15</f>
        <v>0</v>
      </c>
      <c r="CY15" s="179"/>
      <c r="CZ15" s="179"/>
      <c r="DA15" s="179"/>
      <c r="DB15" s="179"/>
      <c r="DC15" s="179">
        <f>CX15</f>
        <v>0</v>
      </c>
      <c r="DD15" s="179"/>
      <c r="DE15" s="179"/>
      <c r="DF15" s="179"/>
      <c r="DG15" s="179"/>
      <c r="DH15" s="179">
        <f>DC15</f>
        <v>0</v>
      </c>
    </row>
    <row r="16" spans="1:112" s="132" customFormat="1">
      <c r="B16" s="195" t="s">
        <v>205</v>
      </c>
      <c r="C16" s="442">
        <f>SUM(C12:C15)</f>
        <v>7.9</v>
      </c>
      <c r="D16" s="442">
        <f>SUM(D12:D15)</f>
        <v>11.7</v>
      </c>
      <c r="E16" s="442">
        <f>SUM(E12:E15)</f>
        <v>9.5</v>
      </c>
      <c r="F16" s="442">
        <f>SUM(F12:F15)</f>
        <v>7.5</v>
      </c>
      <c r="G16" s="443">
        <f>SUM(G12:G15)</f>
        <v>36.5</v>
      </c>
      <c r="H16" s="435"/>
      <c r="I16" s="435"/>
      <c r="J16" s="435"/>
      <c r="K16" s="435"/>
      <c r="L16" s="443">
        <f>SUM(L12:L15)</f>
        <v>26.4</v>
      </c>
      <c r="M16" s="435"/>
      <c r="N16" s="435"/>
      <c r="O16" s="435"/>
      <c r="P16" s="435"/>
      <c r="Q16" s="443">
        <f>SUM(Q12:Q15)</f>
        <v>17.5</v>
      </c>
      <c r="R16" s="435"/>
      <c r="S16" s="435"/>
      <c r="T16" s="435"/>
      <c r="U16" s="435"/>
      <c r="V16" s="443">
        <f t="shared" ref="V16:AY16" si="70">SUM(V12:V15)</f>
        <v>48.3</v>
      </c>
      <c r="W16" s="444">
        <f t="shared" si="70"/>
        <v>-3.8419999999999996</v>
      </c>
      <c r="X16" s="444">
        <f t="shared" si="70"/>
        <v>-3.996999999999999</v>
      </c>
      <c r="Y16" s="444">
        <f t="shared" si="70"/>
        <v>-2.6340000000000003</v>
      </c>
      <c r="Z16" s="444">
        <f t="shared" si="70"/>
        <v>-5.0270000000000037</v>
      </c>
      <c r="AA16" s="445">
        <f t="shared" si="70"/>
        <v>-15.500000000000004</v>
      </c>
      <c r="AB16" s="444">
        <f t="shared" si="70"/>
        <v>5.699999999999994E-2</v>
      </c>
      <c r="AC16" s="444">
        <f t="shared" si="70"/>
        <v>2.13</v>
      </c>
      <c r="AD16" s="825">
        <f>SUM(AD12:AD15)</f>
        <v>1.0089999999999999</v>
      </c>
      <c r="AE16" s="444">
        <f t="shared" si="70"/>
        <v>0</v>
      </c>
      <c r="AF16" s="445">
        <f>SUM(AF12:AF15)</f>
        <v>3.1959999999999997</v>
      </c>
      <c r="AG16" s="533">
        <f t="shared" si="70"/>
        <v>15.922000000000001</v>
      </c>
      <c r="AH16" s="444">
        <f>SUM(AH12:AH15)</f>
        <v>0</v>
      </c>
      <c r="AI16" s="444">
        <f>SUM(AI12:AI15)</f>
        <v>0</v>
      </c>
      <c r="AJ16" s="444">
        <f t="shared" si="70"/>
        <v>0</v>
      </c>
      <c r="AK16" s="445">
        <f>SUM(AK12:AK15)</f>
        <v>15.922000000000001</v>
      </c>
      <c r="AL16" s="444">
        <f t="shared" si="70"/>
        <v>0</v>
      </c>
      <c r="AM16" s="444">
        <f t="shared" si="70"/>
        <v>0</v>
      </c>
      <c r="AN16" s="444">
        <f t="shared" si="70"/>
        <v>0</v>
      </c>
      <c r="AO16" s="444">
        <f t="shared" si="70"/>
        <v>0</v>
      </c>
      <c r="AP16" s="445">
        <f>SUM(AP12:AP15)</f>
        <v>0</v>
      </c>
      <c r="AQ16" s="918">
        <f t="shared" si="70"/>
        <v>0</v>
      </c>
      <c r="AR16" s="918">
        <f t="shared" si="70"/>
        <v>0</v>
      </c>
      <c r="AS16" s="918">
        <f t="shared" si="70"/>
        <v>0</v>
      </c>
      <c r="AT16" s="918">
        <f t="shared" si="70"/>
        <v>0</v>
      </c>
      <c r="AU16" s="445">
        <f>SUM(AU12:AU15)</f>
        <v>0</v>
      </c>
      <c r="AV16" s="918">
        <f t="shared" si="70"/>
        <v>0</v>
      </c>
      <c r="AW16" s="918">
        <f t="shared" si="70"/>
        <v>0</v>
      </c>
      <c r="AX16" s="918">
        <f t="shared" si="70"/>
        <v>0</v>
      </c>
      <c r="AY16" s="918">
        <f t="shared" si="70"/>
        <v>0</v>
      </c>
      <c r="AZ16" s="445">
        <f>SUM(AZ12:AZ15)</f>
        <v>0</v>
      </c>
      <c r="BA16" s="445"/>
      <c r="BB16" s="445"/>
      <c r="BC16" s="445"/>
      <c r="BD16" s="445"/>
      <c r="BE16" s="445">
        <f>SUM(BE12:BE15)</f>
        <v>0</v>
      </c>
      <c r="BF16" s="445"/>
      <c r="BG16" s="445"/>
      <c r="BH16" s="445"/>
      <c r="BI16" s="445"/>
      <c r="BJ16" s="445">
        <f>SUM(BJ12:BJ15)</f>
        <v>0</v>
      </c>
      <c r="BK16" s="1004"/>
      <c r="BL16" s="1004"/>
      <c r="BM16" s="1004"/>
      <c r="BN16" s="1004"/>
      <c r="BO16" s="445">
        <f>SUM(BO12:BO15)</f>
        <v>0</v>
      </c>
      <c r="BT16" s="445">
        <f>SUM(BT12:BT15)</f>
        <v>0</v>
      </c>
      <c r="BY16" s="445">
        <f>SUM(BY12:BY15)</f>
        <v>0</v>
      </c>
      <c r="CD16" s="445">
        <f>SUM(CD12:CD15)</f>
        <v>0</v>
      </c>
      <c r="CI16" s="445">
        <f>SUM(CI12:CI15)</f>
        <v>0</v>
      </c>
      <c r="CN16" s="445">
        <f>SUM(CN12:CN15)</f>
        <v>0</v>
      </c>
      <c r="CO16" s="445"/>
      <c r="CP16" s="445"/>
      <c r="CQ16" s="445"/>
      <c r="CR16" s="445"/>
      <c r="CS16" s="445">
        <f>SUM(CS12:CS15)</f>
        <v>0</v>
      </c>
      <c r="CT16" s="445"/>
      <c r="CU16" s="445"/>
      <c r="CV16" s="445"/>
      <c r="CW16" s="445"/>
      <c r="CX16" s="445">
        <f>SUM(CX12:CX15)</f>
        <v>0</v>
      </c>
      <c r="CY16" s="445"/>
      <c r="CZ16" s="445"/>
      <c r="DA16" s="445"/>
      <c r="DB16" s="445"/>
      <c r="DC16" s="445">
        <f>SUM(DC12:DC15)</f>
        <v>0</v>
      </c>
      <c r="DD16" s="445"/>
      <c r="DE16" s="445"/>
      <c r="DF16" s="445"/>
      <c r="DG16" s="445"/>
      <c r="DH16" s="445">
        <f>SUM(DH12:DH15)</f>
        <v>0</v>
      </c>
    </row>
    <row r="17" spans="1:112" ht="3.75" customHeight="1">
      <c r="B17" s="176"/>
      <c r="C17" s="427"/>
      <c r="D17" s="427"/>
      <c r="E17" s="427"/>
      <c r="F17" s="427"/>
      <c r="H17" s="427"/>
      <c r="I17" s="427"/>
      <c r="J17" s="427"/>
      <c r="K17" s="427"/>
      <c r="M17" s="427"/>
      <c r="N17" s="427"/>
      <c r="O17" s="427"/>
      <c r="P17" s="427"/>
      <c r="R17" s="427"/>
      <c r="S17" s="427"/>
      <c r="T17" s="427"/>
      <c r="U17" s="427"/>
      <c r="V17" s="179"/>
      <c r="W17" s="433"/>
      <c r="X17" s="433"/>
      <c r="Y17" s="433"/>
      <c r="Z17" s="433"/>
      <c r="AA17" s="179"/>
      <c r="AB17" s="433"/>
      <c r="AC17" s="433"/>
      <c r="AD17" s="433"/>
      <c r="AE17" s="433"/>
      <c r="AF17" s="179"/>
      <c r="AG17" s="513"/>
      <c r="AH17" s="513"/>
      <c r="AI17" s="513"/>
      <c r="AJ17" s="513"/>
      <c r="AK17" s="179"/>
      <c r="AL17" s="433"/>
      <c r="AM17" s="433"/>
      <c r="AN17" s="433"/>
      <c r="AO17" s="433"/>
      <c r="AP17" s="179"/>
      <c r="AQ17" s="902"/>
      <c r="AR17" s="902"/>
      <c r="AS17" s="902"/>
      <c r="AT17" s="902"/>
      <c r="AU17" s="179"/>
      <c r="AV17" s="902"/>
      <c r="AW17" s="902"/>
      <c r="AX17" s="902"/>
      <c r="AY17" s="902"/>
      <c r="AZ17" s="179"/>
      <c r="BA17" s="179"/>
      <c r="BB17" s="179"/>
      <c r="BC17" s="179"/>
      <c r="BD17" s="179"/>
      <c r="BE17" s="179"/>
      <c r="BF17" s="179"/>
      <c r="BG17" s="179"/>
      <c r="BH17" s="179"/>
      <c r="BI17" s="179"/>
      <c r="BJ17" s="179"/>
      <c r="BK17" s="179"/>
      <c r="BL17" s="179"/>
      <c r="BM17" s="179"/>
      <c r="BN17" s="179"/>
      <c r="BO17" s="179"/>
      <c r="BT17" s="179"/>
      <c r="BY17" s="179"/>
      <c r="CD17" s="179"/>
      <c r="CI17" s="179"/>
      <c r="CN17" s="179"/>
      <c r="CO17" s="179"/>
      <c r="CP17" s="179"/>
      <c r="CQ17" s="179"/>
      <c r="CR17" s="179"/>
      <c r="CS17" s="179"/>
      <c r="CT17" s="179"/>
      <c r="CU17" s="179"/>
      <c r="CV17" s="179"/>
      <c r="CW17" s="179"/>
      <c r="CX17" s="179"/>
      <c r="CY17" s="179"/>
      <c r="CZ17" s="179"/>
      <c r="DA17" s="179"/>
      <c r="DB17" s="179"/>
      <c r="DC17" s="179"/>
      <c r="DD17" s="179"/>
      <c r="DE17" s="179"/>
      <c r="DF17" s="179"/>
      <c r="DG17" s="179"/>
      <c r="DH17" s="179"/>
    </row>
    <row r="18" spans="1:112">
      <c r="B18" s="193" t="s">
        <v>206</v>
      </c>
      <c r="C18" s="427"/>
      <c r="D18" s="427"/>
      <c r="E18" s="427"/>
      <c r="F18" s="427"/>
      <c r="H18" s="427"/>
      <c r="I18" s="427"/>
      <c r="J18" s="427"/>
      <c r="K18" s="427"/>
      <c r="M18" s="427"/>
      <c r="N18" s="427"/>
      <c r="O18" s="427"/>
      <c r="P18" s="427"/>
      <c r="R18" s="427"/>
      <c r="S18" s="427"/>
      <c r="T18" s="427"/>
      <c r="U18" s="427"/>
      <c r="V18" s="179"/>
      <c r="W18" s="433"/>
      <c r="X18" s="433"/>
      <c r="Y18" s="433"/>
      <c r="Z18" s="433"/>
      <c r="AA18" s="179"/>
      <c r="AB18" s="433"/>
      <c r="AC18" s="433"/>
      <c r="AD18" s="433"/>
      <c r="AE18" s="433"/>
      <c r="AF18" s="179"/>
      <c r="AG18" s="513"/>
      <c r="AH18" s="513"/>
      <c r="AI18" s="513"/>
      <c r="AJ18" s="513"/>
      <c r="AK18" s="179"/>
      <c r="AL18" s="433"/>
      <c r="AM18" s="433"/>
      <c r="AN18" s="433"/>
      <c r="AO18" s="433"/>
      <c r="AP18" s="179"/>
      <c r="AQ18" s="902"/>
      <c r="AR18" s="902"/>
      <c r="AS18" s="902"/>
      <c r="AT18" s="902"/>
      <c r="AU18" s="179"/>
      <c r="AV18" s="902"/>
      <c r="AW18" s="902"/>
      <c r="AX18" s="902"/>
      <c r="AY18" s="902"/>
      <c r="AZ18" s="179"/>
      <c r="BA18" s="179"/>
      <c r="BB18" s="179"/>
      <c r="BC18" s="179"/>
      <c r="BD18" s="179"/>
      <c r="BE18" s="179"/>
      <c r="BF18" s="179"/>
      <c r="BG18" s="179"/>
      <c r="BH18" s="179"/>
      <c r="BI18" s="179"/>
      <c r="BJ18" s="881"/>
      <c r="BK18" s="881"/>
      <c r="BL18" s="881"/>
      <c r="BM18" s="881"/>
      <c r="BN18" s="881"/>
      <c r="BO18" s="881"/>
      <c r="BP18" s="1056"/>
      <c r="BQ18" s="1056"/>
      <c r="BR18" s="1056"/>
      <c r="BS18" s="1056"/>
      <c r="BT18" s="881"/>
      <c r="BU18" s="1056"/>
      <c r="BV18" s="1056"/>
      <c r="BW18" s="1056"/>
      <c r="BX18" s="1056"/>
      <c r="BY18" s="881"/>
      <c r="BZ18" s="1056"/>
      <c r="CA18" s="1056"/>
      <c r="CB18" s="1056"/>
      <c r="CC18" s="1056"/>
      <c r="CD18" s="881"/>
      <c r="CE18" s="1056"/>
      <c r="CF18" s="1056"/>
      <c r="CG18" s="1056"/>
      <c r="CH18" s="1056"/>
      <c r="CI18" s="881"/>
      <c r="CJ18" s="1056"/>
      <c r="CK18" s="1056"/>
      <c r="CL18" s="1056"/>
      <c r="CM18" s="1056"/>
      <c r="CN18" s="881"/>
      <c r="CO18" s="881"/>
      <c r="CP18" s="881"/>
      <c r="CQ18" s="881"/>
      <c r="CR18" s="881"/>
      <c r="CS18" s="881"/>
      <c r="CT18" s="881"/>
      <c r="CU18" s="881"/>
      <c r="CV18" s="881"/>
      <c r="CW18" s="881"/>
      <c r="CX18" s="881"/>
      <c r="CY18" s="881"/>
      <c r="CZ18" s="881"/>
      <c r="DA18" s="881"/>
      <c r="DB18" s="881"/>
      <c r="DC18" s="881"/>
      <c r="DD18" s="881"/>
      <c r="DE18" s="881"/>
      <c r="DF18" s="881"/>
      <c r="DG18" s="881"/>
      <c r="DH18" s="881"/>
    </row>
    <row r="19" spans="1:112">
      <c r="B19" s="194" t="s">
        <v>852</v>
      </c>
      <c r="C19" s="427"/>
      <c r="D19" s="427"/>
      <c r="E19" s="427"/>
      <c r="F19" s="427"/>
      <c r="G19" s="182">
        <v>0</v>
      </c>
      <c r="H19" s="432"/>
      <c r="I19" s="432"/>
      <c r="J19" s="432"/>
      <c r="K19" s="432"/>
      <c r="L19" s="182">
        <v>0</v>
      </c>
      <c r="M19" s="432"/>
      <c r="N19" s="432"/>
      <c r="O19" s="432"/>
      <c r="P19" s="432"/>
      <c r="Q19" s="182">
        <v>0</v>
      </c>
      <c r="R19" s="432"/>
      <c r="S19" s="432"/>
      <c r="T19" s="432"/>
      <c r="U19" s="432"/>
      <c r="V19" s="182">
        <v>0</v>
      </c>
      <c r="W19" s="440">
        <v>0</v>
      </c>
      <c r="X19" s="441">
        <v>0</v>
      </c>
      <c r="Y19" s="441">
        <v>0</v>
      </c>
      <c r="Z19" s="441">
        <v>0</v>
      </c>
      <c r="AA19" s="410">
        <v>0</v>
      </c>
      <c r="AB19" s="392">
        <v>0</v>
      </c>
      <c r="AC19" s="392">
        <v>-4.2949999999999999</v>
      </c>
      <c r="AD19" s="392">
        <v>-12.83</v>
      </c>
      <c r="AE19" s="392">
        <v>-24.253</v>
      </c>
      <c r="AF19" s="239">
        <f>SUM(AB19:AE19)</f>
        <v>-41.378</v>
      </c>
      <c r="AG19" s="440">
        <v>-22.405000000000001</v>
      </c>
      <c r="AH19" s="440">
        <v>-46.313000000000002</v>
      </c>
      <c r="AI19" s="440">
        <v>-74.864999999999995</v>
      </c>
      <c r="AJ19" s="440">
        <v>-96.459000000000003</v>
      </c>
      <c r="AK19" s="182">
        <f>SUM(AG19:AJ19)</f>
        <v>-240.042</v>
      </c>
      <c r="AL19" s="440">
        <v>-99.421999999999997</v>
      </c>
      <c r="AM19" s="440">
        <f>-122.107</f>
        <v>-122.107</v>
      </c>
      <c r="AN19" s="440">
        <v>-112.001</v>
      </c>
      <c r="AO19" s="440">
        <v>-125.52800000000001</v>
      </c>
      <c r="AP19" s="182">
        <f>SUM(AL19:AO19)</f>
        <v>-459.05799999999999</v>
      </c>
      <c r="AQ19" s="976">
        <v>-108.402</v>
      </c>
      <c r="AR19" s="976">
        <f>-122.281</f>
        <v>-122.28100000000001</v>
      </c>
      <c r="AS19" s="976">
        <v>-98.314999999999998</v>
      </c>
      <c r="AT19" s="976">
        <f>AU19-SUM(AQ19:AS19)</f>
        <v>-113.60200000000003</v>
      </c>
      <c r="AU19" s="410">
        <v>-442.6</v>
      </c>
      <c r="AV19" s="900">
        <f>Antibodies!X34+Antibodies!X102+Antibodies!X72</f>
        <v>-51.96809645811895</v>
      </c>
      <c r="AW19" s="900">
        <f>Antibodies!Y34+Antibodies!Y102+Antibodies!Y72</f>
        <v>-51.424353206287257</v>
      </c>
      <c r="AX19" s="900">
        <f>Antibodies!Z34+Antibodies!Z102+Antibodies!Z72</f>
        <v>-50.295726986363086</v>
      </c>
      <c r="AY19" s="900">
        <f>Antibodies!AA34+Antibodies!AA102+Antibodies!AA72</f>
        <v>-84.511899021789063</v>
      </c>
      <c r="AZ19" s="182">
        <f>Antibodies!AB34+Antibodies!AB102+Antibodies!AB72</f>
        <v>-238.20007567255837</v>
      </c>
      <c r="BA19" s="182"/>
      <c r="BB19" s="182"/>
      <c r="BC19" s="182"/>
      <c r="BD19" s="182"/>
      <c r="BE19" s="182">
        <f>Antibodies!AG34+Antibodies!AG102+Antibodies!AG72</f>
        <v>63.268047790453238</v>
      </c>
      <c r="BF19" s="182"/>
      <c r="BG19" s="182"/>
      <c r="BH19" s="182"/>
      <c r="BI19" s="182"/>
      <c r="BJ19" s="182">
        <f>Antibodies!AL34+Antibodies!AL102+Antibodies!AL72</f>
        <v>731.29643278387164</v>
      </c>
      <c r="BK19" s="182"/>
      <c r="BL19" s="182"/>
      <c r="BM19" s="182"/>
      <c r="BN19" s="182"/>
      <c r="BO19" s="182">
        <f>Antibodies!AQ34+Antibodies!AQ102+Antibodies!AQ72</f>
        <v>1460.2530681299336</v>
      </c>
      <c r="BT19" s="182">
        <f>Antibodies!AV34+Antibodies!AV102+Antibodies!AV72</f>
        <v>2196.6366867478314</v>
      </c>
      <c r="BY19" s="182">
        <f>Antibodies!BA34+Antibodies!BA102+Antibodies!BA72</f>
        <v>2816.1637486488698</v>
      </c>
      <c r="CD19" s="182">
        <f>Antibodies!BF34+Antibodies!BF102+Antibodies!BF72</f>
        <v>3380.4658836009062</v>
      </c>
      <c r="CI19" s="182">
        <f>Antibodies!BK34+Antibodies!BK102+Antibodies!BK72</f>
        <v>3849.150043692654</v>
      </c>
      <c r="CN19" s="182">
        <f>Antibodies!BP34+Antibodies!BP102+Antibodies!BP72</f>
        <v>4165.7768984989571</v>
      </c>
      <c r="CO19" s="182"/>
      <c r="CP19" s="182"/>
      <c r="CQ19" s="182"/>
      <c r="CR19" s="182"/>
      <c r="CS19" s="182">
        <f>Antibodies!BU34+Antibodies!BU102+Antibodies!BU72</f>
        <v>4353.3293429215164</v>
      </c>
      <c r="CT19" s="182"/>
      <c r="CU19" s="182"/>
      <c r="CV19" s="182"/>
      <c r="CW19" s="182"/>
      <c r="CX19" s="182">
        <f>Antibodies!BZ34+Antibodies!BZ102+Antibodies!BZ72</f>
        <v>4437.0412285972197</v>
      </c>
      <c r="CY19" s="182"/>
      <c r="CZ19" s="182"/>
      <c r="DA19" s="182"/>
      <c r="DB19" s="182"/>
      <c r="DC19" s="182">
        <f>Antibodies!CE34+Antibodies!CE102+Antibodies!CE72</f>
        <v>4465.8074714565519</v>
      </c>
      <c r="DD19" s="182"/>
      <c r="DE19" s="182"/>
      <c r="DF19" s="182"/>
      <c r="DG19" s="182"/>
      <c r="DH19" s="182">
        <f>Antibodies!CJ34+Antibodies!CJ102+Antibodies!CJ72</f>
        <v>4396.816543325489</v>
      </c>
    </row>
    <row r="20" spans="1:112" ht="13.5" thickBot="1">
      <c r="B20" s="194" t="s">
        <v>795</v>
      </c>
      <c r="C20" s="427"/>
      <c r="D20" s="427"/>
      <c r="E20" s="427"/>
      <c r="F20" s="427"/>
      <c r="G20" s="182"/>
      <c r="H20" s="432"/>
      <c r="I20" s="432"/>
      <c r="J20" s="432"/>
      <c r="K20" s="432"/>
      <c r="L20" s="182"/>
      <c r="M20" s="432"/>
      <c r="N20" s="432"/>
      <c r="O20" s="432"/>
      <c r="P20" s="432"/>
      <c r="Q20" s="182"/>
      <c r="R20" s="432"/>
      <c r="S20" s="432"/>
      <c r="T20" s="432"/>
      <c r="U20" s="432"/>
      <c r="V20" s="182"/>
      <c r="W20" s="440"/>
      <c r="X20" s="441"/>
      <c r="Y20" s="441"/>
      <c r="Z20" s="441"/>
      <c r="AA20" s="410"/>
      <c r="AB20" s="392"/>
      <c r="AC20" s="392"/>
      <c r="AD20" s="392"/>
      <c r="AE20" s="433"/>
      <c r="AF20" s="239"/>
      <c r="AG20" s="440">
        <v>8.4580000000000002</v>
      </c>
      <c r="AH20" s="440">
        <v>27.346</v>
      </c>
      <c r="AI20" s="440">
        <v>53.341000000000001</v>
      </c>
      <c r="AJ20" s="440">
        <v>68.204999999999998</v>
      </c>
      <c r="AK20" s="182">
        <f>SUM(AG20:AJ20)</f>
        <v>157.35000000000002</v>
      </c>
      <c r="AL20" s="440">
        <v>73.274000000000001</v>
      </c>
      <c r="AM20" s="440">
        <v>85.885000000000005</v>
      </c>
      <c r="AN20" s="440">
        <v>65.703000000000003</v>
      </c>
      <c r="AO20" s="440">
        <v>97.287000000000006</v>
      </c>
      <c r="AP20" s="182">
        <f>SUM(AL20:AO20)</f>
        <v>322.149</v>
      </c>
      <c r="AQ20" s="976">
        <v>73.558999999999997</v>
      </c>
      <c r="AR20" s="976">
        <v>87.103999999999999</v>
      </c>
      <c r="AS20" s="976">
        <v>90.338999999999999</v>
      </c>
      <c r="AT20" s="976">
        <f>AU20-SUM(AQ20:AS20)</f>
        <v>117.798</v>
      </c>
      <c r="AU20" s="410">
        <v>368.8</v>
      </c>
      <c r="AV20" s="900">
        <f>IS!AV17</f>
        <v>111.25</v>
      </c>
      <c r="AW20" s="900">
        <f>IS!AW17</f>
        <v>116.8125</v>
      </c>
      <c r="AX20" s="900">
        <f>IS!AX17</f>
        <v>122.65312499999999</v>
      </c>
      <c r="AY20" s="900">
        <f>IS!AY17</f>
        <v>156.204375</v>
      </c>
      <c r="AZ20" s="182">
        <f>IS!AZ17</f>
        <v>506.92</v>
      </c>
      <c r="BA20" s="182"/>
      <c r="BB20" s="182"/>
      <c r="BC20" s="182"/>
      <c r="BD20" s="182"/>
      <c r="BE20" s="182">
        <f>IS!BE17</f>
        <v>541.01600000000008</v>
      </c>
      <c r="BF20" s="182"/>
      <c r="BG20" s="182"/>
      <c r="BH20" s="182"/>
      <c r="BI20" s="182"/>
      <c r="BJ20" s="182">
        <f>IS!BJ17</f>
        <v>510.9769</v>
      </c>
      <c r="BK20" s="182"/>
      <c r="BL20" s="182"/>
      <c r="BM20" s="182"/>
      <c r="BN20" s="182"/>
      <c r="BO20" s="182">
        <f>IS!BO17</f>
        <v>523.7513224999999</v>
      </c>
      <c r="BT20" s="182">
        <f>IS!BT17</f>
        <v>531.78897274999986</v>
      </c>
      <c r="BY20" s="182">
        <f>IS!BY17</f>
        <v>540.02756425624989</v>
      </c>
      <c r="CD20" s="182">
        <f>IS!CD17</f>
        <v>548.47212055015609</v>
      </c>
      <c r="CI20" s="182">
        <f>IS!CI17</f>
        <v>557.12779075140998</v>
      </c>
      <c r="CN20" s="182">
        <f>IS!CN17</f>
        <v>565.99985270769514</v>
      </c>
      <c r="CO20" s="182"/>
      <c r="CP20" s="182"/>
      <c r="CQ20" s="182"/>
      <c r="CR20" s="182"/>
      <c r="CS20" s="182">
        <f>IS!CS17</f>
        <v>575.09371621288756</v>
      </c>
      <c r="CT20" s="182"/>
      <c r="CU20" s="182"/>
      <c r="CV20" s="182"/>
      <c r="CW20" s="182"/>
      <c r="CX20" s="182">
        <f>IS!CX17</f>
        <v>584.41492630570963</v>
      </c>
      <c r="CY20" s="182"/>
      <c r="CZ20" s="182"/>
      <c r="DA20" s="182"/>
      <c r="DB20" s="182"/>
      <c r="DC20" s="182">
        <f>IS!DC17</f>
        <v>593.96916665085234</v>
      </c>
      <c r="DD20" s="182"/>
      <c r="DE20" s="182"/>
      <c r="DF20" s="182"/>
      <c r="DG20" s="182"/>
      <c r="DH20" s="182">
        <f>IS!DH17</f>
        <v>603.76226300462361</v>
      </c>
    </row>
    <row r="21" spans="1:112" ht="13.5" customHeight="1" thickBot="1">
      <c r="B21" s="194"/>
      <c r="C21" s="427"/>
      <c r="D21" s="427"/>
      <c r="E21" s="427"/>
      <c r="F21" s="427"/>
      <c r="G21" s="182"/>
      <c r="H21" s="432"/>
      <c r="I21" s="432"/>
      <c r="J21" s="432"/>
      <c r="K21" s="432"/>
      <c r="L21" s="182"/>
      <c r="M21" s="432"/>
      <c r="N21" s="432"/>
      <c r="O21" s="432"/>
      <c r="P21" s="432"/>
      <c r="Q21" s="182"/>
      <c r="R21" s="432"/>
      <c r="S21" s="432"/>
      <c r="T21" s="432"/>
      <c r="U21" s="432"/>
      <c r="V21" s="182"/>
      <c r="W21" s="440"/>
      <c r="X21" s="441"/>
      <c r="Y21" s="441"/>
      <c r="Z21" s="441"/>
      <c r="AA21" s="410"/>
      <c r="AB21" s="392"/>
      <c r="AC21" s="392"/>
      <c r="AD21" s="392"/>
      <c r="AE21" s="433"/>
      <c r="AF21" s="239"/>
      <c r="AG21" s="440"/>
      <c r="AH21" s="440"/>
      <c r="AI21" s="440"/>
      <c r="AJ21" s="440"/>
      <c r="AK21" s="182"/>
      <c r="AL21" s="440"/>
      <c r="AM21" s="432"/>
      <c r="AN21" s="432"/>
      <c r="AO21" s="432"/>
      <c r="AP21" s="182"/>
      <c r="AQ21" s="919"/>
      <c r="AR21" s="919"/>
      <c r="AS21" s="919"/>
      <c r="AT21" s="919"/>
      <c r="AU21" s="182"/>
      <c r="AV21" s="919"/>
      <c r="AW21" s="919"/>
      <c r="AX21" s="372" t="s">
        <v>701</v>
      </c>
      <c r="AY21" s="808"/>
      <c r="AZ21" s="373" t="s">
        <v>893</v>
      </c>
      <c r="BA21" s="182"/>
      <c r="BB21" s="182"/>
      <c r="BC21" s="182"/>
      <c r="BD21" s="182"/>
      <c r="BE21" s="182"/>
      <c r="BF21" s="182"/>
      <c r="BG21" s="182"/>
      <c r="BH21" s="182"/>
      <c r="BI21" s="182"/>
      <c r="BJ21" s="182"/>
      <c r="BK21" s="182"/>
      <c r="BL21" s="182"/>
      <c r="BM21" s="182"/>
      <c r="BN21" s="182"/>
      <c r="BO21" s="182"/>
      <c r="BT21" s="182"/>
      <c r="BY21" s="182"/>
      <c r="CD21" s="182"/>
      <c r="CI21" s="182"/>
      <c r="CN21" s="182"/>
      <c r="CO21" s="182"/>
      <c r="CP21" s="182"/>
      <c r="CQ21" s="182"/>
      <c r="CR21" s="182"/>
      <c r="CS21" s="182"/>
      <c r="CT21" s="182"/>
      <c r="CU21" s="182"/>
      <c r="CV21" s="182"/>
      <c r="CW21" s="182"/>
      <c r="CX21" s="182"/>
      <c r="CY21" s="182"/>
      <c r="CZ21" s="182"/>
      <c r="DA21" s="182"/>
      <c r="DB21" s="182"/>
      <c r="DC21" s="182"/>
      <c r="DD21" s="182"/>
      <c r="DE21" s="182"/>
      <c r="DF21" s="182"/>
      <c r="DG21" s="182"/>
      <c r="DH21" s="182"/>
    </row>
    <row r="22" spans="1:112">
      <c r="B22" s="194" t="s">
        <v>752</v>
      </c>
      <c r="C22" s="427"/>
      <c r="D22" s="427"/>
      <c r="E22" s="427"/>
      <c r="F22" s="427"/>
      <c r="G22" s="410">
        <v>0</v>
      </c>
      <c r="H22" s="440"/>
      <c r="I22" s="440"/>
      <c r="J22" s="440"/>
      <c r="K22" s="440"/>
      <c r="L22" s="410">
        <v>0</v>
      </c>
      <c r="M22" s="440"/>
      <c r="N22" s="440"/>
      <c r="O22" s="440"/>
      <c r="P22" s="440"/>
      <c r="Q22" s="410">
        <v>0</v>
      </c>
      <c r="R22" s="440"/>
      <c r="S22" s="440"/>
      <c r="T22" s="440"/>
      <c r="U22" s="440"/>
      <c r="V22" s="410">
        <v>0</v>
      </c>
      <c r="W22" s="440">
        <v>0</v>
      </c>
      <c r="X22" s="440">
        <v>-20</v>
      </c>
      <c r="Y22" s="440">
        <v>0</v>
      </c>
      <c r="Z22" s="440">
        <v>0</v>
      </c>
      <c r="AA22" s="182">
        <f>SUM(W22:Z22)</f>
        <v>-20</v>
      </c>
      <c r="AB22" s="392">
        <v>0</v>
      </c>
      <c r="AC22" s="392">
        <v>0</v>
      </c>
      <c r="AD22" s="392">
        <v>0</v>
      </c>
      <c r="AE22" s="392">
        <v>0</v>
      </c>
      <c r="AF22" s="180">
        <f t="shared" ref="AF22:AF25" si="71">SUM(AB22:AE22)</f>
        <v>0</v>
      </c>
      <c r="AG22" s="440">
        <v>0</v>
      </c>
      <c r="AH22" s="440"/>
      <c r="AI22" s="440"/>
      <c r="AJ22" s="432"/>
      <c r="AK22" s="182"/>
      <c r="AL22" s="441"/>
      <c r="AM22" s="441"/>
      <c r="AN22" s="441"/>
      <c r="AO22" s="441"/>
      <c r="AP22" s="182"/>
      <c r="AQ22" s="919"/>
      <c r="AR22" s="919"/>
      <c r="AS22" s="919"/>
      <c r="AT22" s="919"/>
      <c r="AU22" s="182"/>
      <c r="AV22" s="919"/>
      <c r="AW22" s="919"/>
      <c r="AX22" s="919"/>
      <c r="AY22" s="919"/>
      <c r="AZ22" s="182"/>
      <c r="BA22" s="182"/>
      <c r="BB22" s="182"/>
      <c r="BC22" s="182"/>
      <c r="BD22" s="182"/>
      <c r="BE22" s="182"/>
      <c r="BF22" s="182"/>
      <c r="BG22" s="182"/>
      <c r="BH22" s="182"/>
      <c r="BI22" s="182"/>
      <c r="BJ22" s="182"/>
      <c r="BK22" s="182"/>
      <c r="BL22" s="182"/>
      <c r="BM22" s="182"/>
      <c r="BN22" s="182"/>
      <c r="BO22" s="182"/>
      <c r="BT22" s="182"/>
      <c r="BY22" s="182"/>
      <c r="CD22" s="182"/>
      <c r="CI22" s="182"/>
      <c r="CN22" s="182"/>
      <c r="CO22" s="182"/>
      <c r="CP22" s="182"/>
      <c r="CQ22" s="182"/>
      <c r="CR22" s="182"/>
      <c r="CS22" s="182"/>
      <c r="CT22" s="182"/>
      <c r="CU22" s="182"/>
      <c r="CV22" s="182"/>
      <c r="CW22" s="182"/>
      <c r="CX22" s="182"/>
      <c r="CY22" s="182"/>
      <c r="CZ22" s="182"/>
      <c r="DA22" s="182"/>
      <c r="DB22" s="182"/>
      <c r="DC22" s="182"/>
      <c r="DD22" s="182"/>
      <c r="DE22" s="182"/>
      <c r="DF22" s="182"/>
      <c r="DG22" s="182"/>
      <c r="DH22" s="182"/>
    </row>
    <row r="23" spans="1:112">
      <c r="B23" s="194" t="s">
        <v>226</v>
      </c>
      <c r="C23" s="427"/>
      <c r="D23" s="427"/>
      <c r="E23" s="427"/>
      <c r="F23" s="427"/>
      <c r="G23" s="177">
        <v>0</v>
      </c>
      <c r="H23" s="432"/>
      <c r="I23" s="432"/>
      <c r="J23" s="432"/>
      <c r="K23" s="432"/>
      <c r="L23" s="177">
        <v>0</v>
      </c>
      <c r="M23" s="432"/>
      <c r="N23" s="432"/>
      <c r="O23" s="432"/>
      <c r="P23" s="432"/>
      <c r="Q23" s="177">
        <v>0</v>
      </c>
      <c r="R23" s="432"/>
      <c r="S23" s="432"/>
      <c r="T23" s="432"/>
      <c r="U23" s="432"/>
      <c r="V23" s="177">
        <v>0</v>
      </c>
      <c r="W23" s="440">
        <f>AA23/4</f>
        <v>0</v>
      </c>
      <c r="X23" s="440">
        <v>0</v>
      </c>
      <c r="Y23" s="440">
        <v>0</v>
      </c>
      <c r="Z23" s="440">
        <f>AA23-W23-X23-Y23</f>
        <v>0</v>
      </c>
      <c r="AA23" s="410">
        <v>0</v>
      </c>
      <c r="AB23" s="392">
        <v>0</v>
      </c>
      <c r="AC23" s="392">
        <v>0</v>
      </c>
      <c r="AD23" s="392">
        <v>0</v>
      </c>
      <c r="AE23" s="392">
        <v>0</v>
      </c>
      <c r="AF23" s="180">
        <f t="shared" si="71"/>
        <v>0</v>
      </c>
      <c r="AG23" s="440">
        <v>0</v>
      </c>
      <c r="AH23" s="440">
        <f>-Antibodies!J138</f>
        <v>0</v>
      </c>
      <c r="AI23" s="440">
        <f>-Antibodies!K138</f>
        <v>0</v>
      </c>
      <c r="AJ23" s="440">
        <f>-Antibodies!L138</f>
        <v>0</v>
      </c>
      <c r="AK23" s="177">
        <f>-Antibodies!M138</f>
        <v>0</v>
      </c>
      <c r="AL23" s="440">
        <v>0</v>
      </c>
      <c r="AM23" s="440">
        <v>0</v>
      </c>
      <c r="AN23" s="440">
        <v>0</v>
      </c>
      <c r="AO23" s="440">
        <v>0</v>
      </c>
      <c r="AP23" s="177">
        <f>SUM(AL23:AO23)</f>
        <v>0</v>
      </c>
      <c r="AQ23" s="976">
        <v>0</v>
      </c>
      <c r="AR23" s="976">
        <v>0</v>
      </c>
      <c r="AS23" s="976">
        <v>0</v>
      </c>
      <c r="AT23" s="976">
        <v>0</v>
      </c>
      <c r="AU23" s="410">
        <v>0</v>
      </c>
      <c r="AV23" s="900">
        <v>0</v>
      </c>
      <c r="AW23" s="900">
        <f>AV23</f>
        <v>0</v>
      </c>
      <c r="AX23" s="900">
        <f t="shared" ref="AX23:AY23" si="72">AW23</f>
        <v>0</v>
      </c>
      <c r="AY23" s="900">
        <f t="shared" si="72"/>
        <v>0</v>
      </c>
      <c r="AZ23" s="177">
        <f>-Antibodies!AB138</f>
        <v>0</v>
      </c>
      <c r="BA23" s="182"/>
      <c r="BB23" s="182"/>
      <c r="BC23" s="182"/>
      <c r="BD23" s="182"/>
      <c r="BE23" s="177">
        <f>-Antibodies!AG138</f>
        <v>-6.3268047790453243</v>
      </c>
      <c r="BF23" s="182"/>
      <c r="BG23" s="182"/>
      <c r="BH23" s="182"/>
      <c r="BI23" s="182"/>
      <c r="BJ23" s="177">
        <f>-Antibodies!AL138</f>
        <v>-73.129643278387164</v>
      </c>
      <c r="BK23" s="177"/>
      <c r="BL23" s="177"/>
      <c r="BM23" s="177"/>
      <c r="BN23" s="177"/>
      <c r="BO23" s="177">
        <f>-Antibodies!AQ138</f>
        <v>-146.02530681299336</v>
      </c>
      <c r="BT23" s="177">
        <f>-Antibodies!AV138</f>
        <v>-219.66366867478314</v>
      </c>
      <c r="BY23" s="177">
        <f>-Antibodies!BA138</f>
        <v>-281.61637486488701</v>
      </c>
      <c r="CD23" s="177">
        <f>-Antibodies!BF138</f>
        <v>-338.04658836009065</v>
      </c>
      <c r="CI23" s="177">
        <f>-Antibodies!BK138</f>
        <v>-384.91500436926543</v>
      </c>
      <c r="CN23" s="177">
        <f>-Antibodies!BP138</f>
        <v>-416.57768984989571</v>
      </c>
      <c r="CO23" s="177"/>
      <c r="CP23" s="177"/>
      <c r="CQ23" s="177"/>
      <c r="CR23" s="177"/>
      <c r="CS23" s="177">
        <f>-Antibodies!BU138</f>
        <v>-435.33293429215166</v>
      </c>
      <c r="CT23" s="177"/>
      <c r="CU23" s="177"/>
      <c r="CV23" s="177"/>
      <c r="CW23" s="177"/>
      <c r="CX23" s="177">
        <f>-Antibodies!BZ138</f>
        <v>0</v>
      </c>
      <c r="CY23" s="177"/>
      <c r="CZ23" s="177"/>
      <c r="DA23" s="177"/>
      <c r="DB23" s="177"/>
      <c r="DC23" s="177">
        <f>-Antibodies!CE138</f>
        <v>0</v>
      </c>
      <c r="DD23" s="177"/>
      <c r="DE23" s="177"/>
      <c r="DF23" s="177"/>
      <c r="DG23" s="177"/>
      <c r="DH23" s="177">
        <f>-Antibodies!CJ138</f>
        <v>0</v>
      </c>
    </row>
    <row r="24" spans="1:112">
      <c r="A24" s="125" t="s">
        <v>1</v>
      </c>
      <c r="B24" s="194" t="s">
        <v>208</v>
      </c>
      <c r="C24" s="429">
        <v>38.4</v>
      </c>
      <c r="D24" s="429">
        <v>45.7</v>
      </c>
      <c r="E24" s="429">
        <v>55.7</v>
      </c>
      <c r="F24" s="392">
        <v>58.2</v>
      </c>
      <c r="G24" s="410">
        <v>198.1</v>
      </c>
      <c r="H24" s="440"/>
      <c r="I24" s="440"/>
      <c r="J24" s="440"/>
      <c r="K24" s="440"/>
      <c r="L24" s="410">
        <v>276</v>
      </c>
      <c r="M24" s="440"/>
      <c r="N24" s="440"/>
      <c r="O24" s="440"/>
      <c r="P24" s="440"/>
      <c r="Q24" s="410">
        <v>299.3</v>
      </c>
      <c r="R24" s="440"/>
      <c r="S24" s="440"/>
      <c r="T24" s="440"/>
      <c r="U24" s="440"/>
      <c r="V24" s="410">
        <v>365.3</v>
      </c>
      <c r="W24" s="440">
        <v>100.554</v>
      </c>
      <c r="X24" s="440">
        <v>106.965</v>
      </c>
      <c r="Y24" s="440">
        <v>134.43199999999999</v>
      </c>
      <c r="Z24" s="432">
        <f>AA24-W24-X24-Y24</f>
        <v>111.54900000000004</v>
      </c>
      <c r="AA24" s="410">
        <v>453.5</v>
      </c>
      <c r="AB24" s="392">
        <v>126.822</v>
      </c>
      <c r="AC24" s="392">
        <v>137.893</v>
      </c>
      <c r="AD24" s="392">
        <v>140.49700000000001</v>
      </c>
      <c r="AE24" s="392">
        <v>143.66399999999999</v>
      </c>
      <c r="AF24" s="180">
        <f t="shared" si="71"/>
        <v>548.87599999999998</v>
      </c>
      <c r="AG24" s="440">
        <v>169.506</v>
      </c>
      <c r="AH24" s="440">
        <v>211.51599999999999</v>
      </c>
      <c r="AI24" s="440">
        <v>205.114</v>
      </c>
      <c r="AJ24" s="432">
        <f>AK24-SUM(AG24:AI24)</f>
        <v>149.303</v>
      </c>
      <c r="AK24" s="410">
        <v>735.43899999999996</v>
      </c>
      <c r="AL24" s="440">
        <v>193.602</v>
      </c>
      <c r="AM24" s="440">
        <v>144.232</v>
      </c>
      <c r="AN24" s="440">
        <v>131.38900000000001</v>
      </c>
      <c r="AO24" s="440">
        <f>564.9-AN24-AM24-AL24</f>
        <v>95.676999999999992</v>
      </c>
      <c r="AP24" s="182">
        <f>SUM(AL24:AO24)</f>
        <v>564.9</v>
      </c>
      <c r="AQ24" s="976">
        <v>155.245</v>
      </c>
      <c r="AR24" s="976">
        <v>137.27199999999999</v>
      </c>
      <c r="AS24" s="976">
        <v>128.53899999999999</v>
      </c>
      <c r="AT24" s="976">
        <f>AU24-SUM(AQ24:AS24)</f>
        <v>87.343999999999994</v>
      </c>
      <c r="AU24" s="410">
        <f>130+378.4</f>
        <v>508.4</v>
      </c>
      <c r="AV24" s="900">
        <f>'Project Costs'!J14</f>
        <v>80</v>
      </c>
      <c r="AW24" s="900">
        <f>'Project Costs'!K14</f>
        <v>83.371428571428581</v>
      </c>
      <c r="AX24" s="900">
        <f>'Project Costs'!L14</f>
        <v>85.545714285714283</v>
      </c>
      <c r="AY24" s="900">
        <f>'Project Costs'!M14</f>
        <v>63.882857142857162</v>
      </c>
      <c r="AZ24" s="180">
        <f>'Project Costs'!N14</f>
        <v>312.80000000000007</v>
      </c>
      <c r="BA24" s="239"/>
      <c r="BB24" s="239"/>
      <c r="BC24" s="239"/>
      <c r="BD24" s="239"/>
      <c r="BE24" s="239">
        <f>'Project Costs'!O14</f>
        <v>204.74285714285713</v>
      </c>
      <c r="BF24" s="239"/>
      <c r="BG24" s="239"/>
      <c r="BH24" s="239"/>
      <c r="BI24" s="239"/>
      <c r="BJ24" s="180">
        <f>'Project Costs'!P14</f>
        <v>132.74285714285716</v>
      </c>
      <c r="BK24" s="239"/>
      <c r="BL24" s="239"/>
      <c r="BM24" s="239"/>
      <c r="BN24" s="239"/>
      <c r="BO24" s="180">
        <f>'Project Costs'!Q14</f>
        <v>109.57142857142856</v>
      </c>
      <c r="BP24" s="155"/>
      <c r="BQ24" s="155"/>
      <c r="BR24" s="155"/>
      <c r="BS24" s="155"/>
      <c r="BT24" s="180">
        <f>'Project Costs'!R14</f>
        <v>102.37142857142857</v>
      </c>
      <c r="BU24" s="155"/>
      <c r="BV24" s="155"/>
      <c r="BW24" s="155"/>
      <c r="BX24" s="155"/>
      <c r="BY24" s="180">
        <f>'Project Costs'!S14</f>
        <v>98.771428571428572</v>
      </c>
      <c r="BZ24" s="155"/>
      <c r="CA24" s="155"/>
      <c r="CB24" s="155"/>
      <c r="CC24" s="155"/>
      <c r="CD24" s="180">
        <f>'Project Costs'!T14</f>
        <v>60.971428571428582</v>
      </c>
      <c r="CE24" s="155"/>
      <c r="CF24" s="155"/>
      <c r="CG24" s="155"/>
      <c r="CH24" s="155"/>
      <c r="CI24" s="180">
        <f>'Project Costs'!U14</f>
        <v>42.971428571428575</v>
      </c>
      <c r="CJ24" s="155"/>
      <c r="CK24" s="155"/>
      <c r="CL24" s="155"/>
      <c r="CM24" s="155"/>
      <c r="CN24" s="180">
        <f>'Project Costs'!V14</f>
        <v>33.971428571428575</v>
      </c>
      <c r="CO24" s="180"/>
      <c r="CP24" s="180"/>
      <c r="CQ24" s="180"/>
      <c r="CR24" s="180"/>
      <c r="CS24" s="180">
        <f>'Project Costs'!W14</f>
        <v>33.971428571428575</v>
      </c>
      <c r="CT24" s="180"/>
      <c r="CU24" s="180"/>
      <c r="CV24" s="180"/>
      <c r="CW24" s="180"/>
      <c r="CX24" s="180">
        <f>'Project Costs'!X14</f>
        <v>33.971428571428575</v>
      </c>
      <c r="CY24" s="180"/>
      <c r="CZ24" s="180"/>
      <c r="DA24" s="180"/>
      <c r="DB24" s="180"/>
      <c r="DC24" s="180">
        <f>'Project Costs'!Y14</f>
        <v>33.971428571428575</v>
      </c>
      <c r="DD24" s="180"/>
      <c r="DE24" s="180"/>
      <c r="DF24" s="180"/>
      <c r="DG24" s="180"/>
      <c r="DH24" s="180">
        <f>'Project Costs'!Z14</f>
        <v>33.971428571428575</v>
      </c>
    </row>
    <row r="25" spans="1:112">
      <c r="B25" s="194" t="s">
        <v>751</v>
      </c>
      <c r="C25" s="429">
        <f>2.6+0.7</f>
        <v>3.3</v>
      </c>
      <c r="D25" s="429">
        <f>2.6+0.7</f>
        <v>3.3</v>
      </c>
      <c r="E25" s="429">
        <f>2.6+0.7</f>
        <v>3.3</v>
      </c>
      <c r="F25" s="392">
        <f>G25-C25-D25-E25</f>
        <v>2.7000000000000011</v>
      </c>
      <c r="G25" s="410">
        <v>12.6</v>
      </c>
      <c r="H25" s="440"/>
      <c r="I25" s="440"/>
      <c r="J25" s="440"/>
      <c r="K25" s="440"/>
      <c r="L25" s="410">
        <f>7.3+1.6</f>
        <v>8.9</v>
      </c>
      <c r="M25" s="440"/>
      <c r="N25" s="440"/>
      <c r="O25" s="440"/>
      <c r="P25" s="440"/>
      <c r="Q25" s="410">
        <f>8.2+1.6</f>
        <v>9.7999999999999989</v>
      </c>
      <c r="R25" s="440"/>
      <c r="S25" s="440"/>
      <c r="T25" s="440"/>
      <c r="U25" s="440"/>
      <c r="V25" s="410">
        <f>8.6+1.6</f>
        <v>10.199999999999999</v>
      </c>
      <c r="W25" s="440">
        <f>2.162+0.399</f>
        <v>2.5609999999999999</v>
      </c>
      <c r="X25" s="440">
        <f>2.162+0.399</f>
        <v>2.5609999999999999</v>
      </c>
      <c r="Y25" s="440">
        <f>2.162+0.399</f>
        <v>2.5609999999999999</v>
      </c>
      <c r="Z25" s="432">
        <f>AA25-W25-X25-Y25</f>
        <v>4.4169999999999998</v>
      </c>
      <c r="AA25" s="410">
        <v>12.1</v>
      </c>
      <c r="AB25" s="392">
        <v>3.629</v>
      </c>
      <c r="AC25" s="392">
        <v>6.867</v>
      </c>
      <c r="AD25" s="392">
        <v>4.2489999999999997</v>
      </c>
      <c r="AE25" s="392">
        <v>3.4430000000000001</v>
      </c>
      <c r="AF25" s="180">
        <f t="shared" si="71"/>
        <v>18.188000000000002</v>
      </c>
      <c r="AG25" s="440">
        <v>2.5609999999999999</v>
      </c>
      <c r="AH25" s="440">
        <v>2.5609999999999999</v>
      </c>
      <c r="AI25" s="440">
        <v>2.5609999999999999</v>
      </c>
      <c r="AJ25" s="432">
        <f>AK25-SUM(AG25:AI25)</f>
        <v>2.5600000000000005</v>
      </c>
      <c r="AK25" s="410">
        <v>10.243</v>
      </c>
      <c r="AL25" s="440">
        <v>2.9649999999999999</v>
      </c>
      <c r="AM25" s="440">
        <v>3.0539999999999998</v>
      </c>
      <c r="AN25" s="440">
        <v>3.0750000000000002</v>
      </c>
      <c r="AO25" s="440">
        <f>23.083-AO31</f>
        <v>3.0829999999999984</v>
      </c>
      <c r="AP25" s="177">
        <f>SUM(AL25:AO25)</f>
        <v>12.177</v>
      </c>
      <c r="AQ25" s="976">
        <v>11.286</v>
      </c>
      <c r="AR25" s="976">
        <v>31.204000000000001</v>
      </c>
      <c r="AS25" s="976">
        <v>41.847999999999999</v>
      </c>
      <c r="AT25" s="976">
        <f>AU25-SUM(AQ25:AS25)</f>
        <v>34.762</v>
      </c>
      <c r="AU25" s="410">
        <v>119.1</v>
      </c>
      <c r="AV25" s="900">
        <v>4</v>
      </c>
      <c r="AW25" s="900">
        <f>AV25*1.15</f>
        <v>4.5999999999999996</v>
      </c>
      <c r="AX25" s="900">
        <f>AW25*1.15</f>
        <v>5.2899999999999991</v>
      </c>
      <c r="AY25" s="900">
        <f>AZ25-SUM(AV25:AX25)</f>
        <v>6.1100000000000012</v>
      </c>
      <c r="AZ25" s="410">
        <v>20</v>
      </c>
      <c r="BA25" s="177"/>
      <c r="BB25" s="177"/>
      <c r="BC25" s="177"/>
      <c r="BD25" s="177"/>
      <c r="BE25" s="177">
        <f>AZ25</f>
        <v>20</v>
      </c>
      <c r="BF25" s="177"/>
      <c r="BG25" s="177"/>
      <c r="BH25" s="177"/>
      <c r="BI25" s="177"/>
      <c r="BJ25" s="177">
        <f>BE25</f>
        <v>20</v>
      </c>
      <c r="BK25" s="182"/>
      <c r="BL25" s="182"/>
      <c r="BM25" s="182"/>
      <c r="BN25" s="182"/>
      <c r="BO25" s="177">
        <f>BJ25</f>
        <v>20</v>
      </c>
      <c r="BT25" s="177">
        <f>BO25</f>
        <v>20</v>
      </c>
      <c r="BY25" s="177">
        <f>BT25</f>
        <v>20</v>
      </c>
      <c r="CD25" s="177">
        <f>BY25</f>
        <v>20</v>
      </c>
      <c r="CI25" s="177">
        <f>CD25</f>
        <v>20</v>
      </c>
      <c r="CN25" s="177">
        <f>CI25</f>
        <v>20</v>
      </c>
      <c r="CO25" s="177"/>
      <c r="CP25" s="177"/>
      <c r="CQ25" s="177"/>
      <c r="CR25" s="177"/>
      <c r="CS25" s="177">
        <f>CN25</f>
        <v>20</v>
      </c>
      <c r="CT25" s="177"/>
      <c r="CU25" s="177"/>
      <c r="CV25" s="177"/>
      <c r="CW25" s="177"/>
      <c r="CX25" s="177">
        <f>CS25</f>
        <v>20</v>
      </c>
      <c r="CY25" s="177"/>
      <c r="CZ25" s="177"/>
      <c r="DA25" s="177"/>
      <c r="DB25" s="177"/>
      <c r="DC25" s="177">
        <f>CX25</f>
        <v>20</v>
      </c>
      <c r="DD25" s="177"/>
      <c r="DE25" s="177"/>
      <c r="DF25" s="177"/>
      <c r="DG25" s="177"/>
      <c r="DH25" s="177">
        <f>DC25</f>
        <v>20</v>
      </c>
    </row>
    <row r="26" spans="1:112">
      <c r="B26" s="195" t="s">
        <v>209</v>
      </c>
      <c r="C26" s="434">
        <f>SUM(C24:C25)</f>
        <v>41.699999999999996</v>
      </c>
      <c r="D26" s="434">
        <f>SUM(D24:D25)</f>
        <v>49</v>
      </c>
      <c r="E26" s="434">
        <f>SUM(E24:E25)</f>
        <v>59</v>
      </c>
      <c r="F26" s="434">
        <f>SUM(F24:F25)</f>
        <v>60.900000000000006</v>
      </c>
      <c r="G26" s="409">
        <f>SUM(G24:G25)</f>
        <v>210.7</v>
      </c>
      <c r="H26" s="446"/>
      <c r="I26" s="446"/>
      <c r="J26" s="446"/>
      <c r="K26" s="446"/>
      <c r="L26" s="409">
        <f>SUM(L24:L25)</f>
        <v>284.89999999999998</v>
      </c>
      <c r="M26" s="446"/>
      <c r="N26" s="446"/>
      <c r="O26" s="446"/>
      <c r="P26" s="446"/>
      <c r="Q26" s="409">
        <f>SUM(Q24:Q25)</f>
        <v>309.10000000000002</v>
      </c>
      <c r="R26" s="446"/>
      <c r="S26" s="446"/>
      <c r="T26" s="446"/>
      <c r="U26" s="446"/>
      <c r="V26" s="409">
        <f>SUM(V24:V25)</f>
        <v>375.5</v>
      </c>
      <c r="W26" s="434">
        <f>SUM(W24:W25)</f>
        <v>103.11500000000001</v>
      </c>
      <c r="X26" s="434">
        <f>SUM(X22:X25)</f>
        <v>89.52600000000001</v>
      </c>
      <c r="Y26" s="434">
        <f>SUM(Y24:Y25)</f>
        <v>136.99299999999999</v>
      </c>
      <c r="Z26" s="434">
        <f>SUM(Z24:Z25)</f>
        <v>115.96600000000004</v>
      </c>
      <c r="AA26" s="409">
        <f>SUM(AA22:AA25)</f>
        <v>445.6</v>
      </c>
      <c r="AB26" s="434">
        <f t="shared" ref="AB26:AK26" si="73">SUM(AB19:AB25)</f>
        <v>130.45099999999999</v>
      </c>
      <c r="AC26" s="434">
        <f t="shared" si="73"/>
        <v>140.465</v>
      </c>
      <c r="AD26" s="434">
        <f t="shared" si="73"/>
        <v>131.91600000000003</v>
      </c>
      <c r="AE26" s="434">
        <f t="shared" si="73"/>
        <v>122.85399999999998</v>
      </c>
      <c r="AF26" s="409">
        <f t="shared" si="73"/>
        <v>525.68600000000004</v>
      </c>
      <c r="AG26" s="434">
        <f t="shared" si="73"/>
        <v>158.12</v>
      </c>
      <c r="AH26" s="434">
        <f t="shared" si="73"/>
        <v>195.10999999999999</v>
      </c>
      <c r="AI26" s="434">
        <f t="shared" si="73"/>
        <v>186.15100000000001</v>
      </c>
      <c r="AJ26" s="434">
        <f t="shared" si="73"/>
        <v>123.60899999999999</v>
      </c>
      <c r="AK26" s="409">
        <f t="shared" si="73"/>
        <v>662.99</v>
      </c>
      <c r="AL26" s="434">
        <f t="shared" ref="AL26:AY26" si="74">SUM(AL19:AL20,AL22:AL25)</f>
        <v>170.41900000000001</v>
      </c>
      <c r="AM26" s="434">
        <f t="shared" si="74"/>
        <v>111.06400000000001</v>
      </c>
      <c r="AN26" s="434">
        <f t="shared" si="74"/>
        <v>88.166000000000011</v>
      </c>
      <c r="AO26" s="434">
        <f t="shared" si="74"/>
        <v>70.518999999999991</v>
      </c>
      <c r="AP26" s="409">
        <f t="shared" si="74"/>
        <v>440.16800000000001</v>
      </c>
      <c r="AQ26" s="917">
        <f t="shared" si="74"/>
        <v>131.68799999999999</v>
      </c>
      <c r="AR26" s="917">
        <f t="shared" si="74"/>
        <v>133.29899999999998</v>
      </c>
      <c r="AS26" s="917">
        <f t="shared" si="74"/>
        <v>162.411</v>
      </c>
      <c r="AT26" s="917">
        <f t="shared" si="74"/>
        <v>126.30199999999996</v>
      </c>
      <c r="AU26" s="409">
        <f>SUM(AU19:AU25)</f>
        <v>553.69999999999993</v>
      </c>
      <c r="AV26" s="917">
        <f t="shared" si="74"/>
        <v>143.28190354188104</v>
      </c>
      <c r="AW26" s="917">
        <f t="shared" si="74"/>
        <v>153.3595753651413</v>
      </c>
      <c r="AX26" s="917">
        <f t="shared" si="74"/>
        <v>163.19311229935116</v>
      </c>
      <c r="AY26" s="917">
        <f t="shared" si="74"/>
        <v>141.68533312106811</v>
      </c>
      <c r="AZ26" s="409">
        <f>SUM(AZ19:AZ25)</f>
        <v>601.51992432744169</v>
      </c>
      <c r="BA26" s="409"/>
      <c r="BB26" s="409"/>
      <c r="BC26" s="409"/>
      <c r="BD26" s="409"/>
      <c r="BE26" s="409">
        <f>SUM(BE19:BE25)</f>
        <v>822.7001001542651</v>
      </c>
      <c r="BF26" s="409"/>
      <c r="BG26" s="409"/>
      <c r="BH26" s="409"/>
      <c r="BI26" s="409"/>
      <c r="BJ26" s="409">
        <f>SUM(BJ19:BJ25)</f>
        <v>1321.8865466483417</v>
      </c>
      <c r="BK26" s="836"/>
      <c r="BL26" s="836"/>
      <c r="BM26" s="836"/>
      <c r="BN26" s="836"/>
      <c r="BO26" s="409">
        <f>SUM(BO19:BO25)</f>
        <v>1967.5505123883686</v>
      </c>
      <c r="BT26" s="409">
        <f>SUM(BT19:BT25)</f>
        <v>2631.1334193944767</v>
      </c>
      <c r="BY26" s="409">
        <f>SUM(BY19:BY25)</f>
        <v>3193.3463666116618</v>
      </c>
      <c r="CD26" s="409">
        <f>SUM(CD19:CD25)</f>
        <v>3671.8628443624002</v>
      </c>
      <c r="CI26" s="409">
        <f>SUM(CI19:CI25)</f>
        <v>4084.3342586462272</v>
      </c>
      <c r="CN26" s="409">
        <f>SUM(CN19:CN25)</f>
        <v>4369.1704899281849</v>
      </c>
      <c r="CO26" s="409"/>
      <c r="CP26" s="409"/>
      <c r="CQ26" s="409"/>
      <c r="CR26" s="409"/>
      <c r="CS26" s="409">
        <f>SUM(CS19:CS25)</f>
        <v>4547.0615534136814</v>
      </c>
      <c r="CT26" s="409"/>
      <c r="CU26" s="409"/>
      <c r="CV26" s="409"/>
      <c r="CW26" s="409"/>
      <c r="CX26" s="409">
        <f>SUM(CX19:CX25)</f>
        <v>5075.4275834743585</v>
      </c>
      <c r="CY26" s="409"/>
      <c r="CZ26" s="409"/>
      <c r="DA26" s="409"/>
      <c r="DB26" s="409"/>
      <c r="DC26" s="409">
        <f>SUM(DC19:DC25)</f>
        <v>5113.7480666788333</v>
      </c>
      <c r="DD26" s="409"/>
      <c r="DE26" s="409"/>
      <c r="DF26" s="409"/>
      <c r="DG26" s="409"/>
      <c r="DH26" s="409">
        <f>SUM(DH19:DH25)</f>
        <v>5054.5502349015414</v>
      </c>
    </row>
    <row r="27" spans="1:112" ht="3.75" customHeight="1">
      <c r="B27" s="834"/>
      <c r="C27" s="508"/>
      <c r="D27" s="508"/>
      <c r="E27" s="508"/>
      <c r="F27" s="508"/>
      <c r="G27" s="507"/>
      <c r="H27" s="506"/>
      <c r="I27" s="506"/>
      <c r="J27" s="506"/>
      <c r="K27" s="506"/>
      <c r="L27" s="507"/>
      <c r="M27" s="506"/>
      <c r="N27" s="506"/>
      <c r="O27" s="506"/>
      <c r="P27" s="506"/>
      <c r="Q27" s="507"/>
      <c r="R27" s="506"/>
      <c r="S27" s="506"/>
      <c r="T27" s="506"/>
      <c r="U27" s="506"/>
      <c r="V27" s="507"/>
      <c r="W27" s="508"/>
      <c r="X27" s="508"/>
      <c r="Y27" s="508"/>
      <c r="Z27" s="508"/>
      <c r="AA27" s="507"/>
      <c r="AB27" s="508"/>
      <c r="AC27" s="508"/>
      <c r="AD27" s="508"/>
      <c r="AE27" s="508"/>
      <c r="AF27" s="507"/>
      <c r="AG27" s="508"/>
      <c r="AH27" s="508"/>
      <c r="AI27" s="508"/>
      <c r="AJ27" s="508"/>
      <c r="AK27" s="507"/>
      <c r="AL27" s="508"/>
      <c r="AM27" s="508"/>
      <c r="AN27" s="508"/>
      <c r="AO27" s="508"/>
      <c r="AP27" s="507"/>
      <c r="AQ27" s="920"/>
      <c r="AR27" s="920"/>
      <c r="AS27" s="920"/>
      <c r="AT27" s="920"/>
      <c r="AU27" s="507"/>
      <c r="AV27" s="920"/>
      <c r="AW27" s="920"/>
      <c r="AX27" s="920"/>
      <c r="AY27" s="920"/>
      <c r="AZ27" s="507"/>
      <c r="BA27" s="507"/>
      <c r="BB27" s="507"/>
      <c r="BC27" s="507"/>
      <c r="BD27" s="507"/>
      <c r="BE27" s="507"/>
      <c r="BF27" s="507"/>
      <c r="BG27" s="507"/>
      <c r="BH27" s="507"/>
      <c r="BI27" s="507"/>
      <c r="BJ27" s="507"/>
      <c r="BK27" s="836"/>
      <c r="BL27" s="836"/>
      <c r="BM27" s="836"/>
      <c r="BN27" s="836"/>
      <c r="BO27" s="507"/>
      <c r="BT27" s="507"/>
      <c r="BY27" s="507"/>
      <c r="CD27" s="507"/>
      <c r="CI27" s="507"/>
      <c r="CN27" s="507"/>
      <c r="CO27" s="507"/>
      <c r="CP27" s="507"/>
      <c r="CQ27" s="507"/>
      <c r="CR27" s="507"/>
      <c r="CS27" s="507"/>
      <c r="CT27" s="507"/>
      <c r="CU27" s="507"/>
      <c r="CV27" s="507"/>
      <c r="CW27" s="507"/>
      <c r="CX27" s="507"/>
      <c r="CY27" s="507"/>
      <c r="CZ27" s="507"/>
      <c r="DA27" s="507"/>
      <c r="DB27" s="507"/>
      <c r="DC27" s="507"/>
      <c r="DD27" s="507"/>
      <c r="DE27" s="507"/>
      <c r="DF27" s="507"/>
      <c r="DG27" s="507"/>
      <c r="DH27" s="507"/>
    </row>
    <row r="28" spans="1:112">
      <c r="B28" s="164" t="s">
        <v>806</v>
      </c>
      <c r="C28" s="835"/>
      <c r="D28" s="835"/>
      <c r="E28" s="835"/>
      <c r="F28" s="835"/>
      <c r="G28" s="836"/>
      <c r="H28" s="837"/>
      <c r="I28" s="837"/>
      <c r="J28" s="837"/>
      <c r="K28" s="837"/>
      <c r="L28" s="836"/>
      <c r="M28" s="837"/>
      <c r="N28" s="837"/>
      <c r="O28" s="837"/>
      <c r="P28" s="837"/>
      <c r="Q28" s="836"/>
      <c r="R28" s="837"/>
      <c r="S28" s="837"/>
      <c r="T28" s="837"/>
      <c r="U28" s="837"/>
      <c r="V28" s="836"/>
      <c r="W28" s="835"/>
      <c r="X28" s="835"/>
      <c r="Y28" s="835"/>
      <c r="Z28" s="835"/>
      <c r="AA28" s="836"/>
      <c r="AB28" s="835"/>
      <c r="AC28" s="835"/>
      <c r="AD28" s="835"/>
      <c r="AE28" s="835"/>
      <c r="AF28" s="836"/>
      <c r="AG28" s="835"/>
      <c r="AH28" s="835"/>
      <c r="AI28" s="855"/>
      <c r="AJ28" s="835"/>
      <c r="AK28" s="836"/>
      <c r="AL28" s="835"/>
      <c r="AM28" s="835"/>
      <c r="AN28" s="835"/>
      <c r="AO28" s="835"/>
      <c r="AP28" s="836"/>
      <c r="AQ28" s="921"/>
      <c r="AR28" s="921"/>
      <c r="AS28" s="921"/>
      <c r="AT28" s="921"/>
      <c r="AU28" s="836"/>
      <c r="AV28" s="921"/>
      <c r="AW28" s="921"/>
      <c r="AX28" s="921"/>
      <c r="AY28" s="921"/>
      <c r="AZ28" s="836"/>
      <c r="BA28" s="836"/>
      <c r="BB28" s="836"/>
      <c r="BC28" s="836"/>
      <c r="BD28" s="836"/>
      <c r="BE28" s="836"/>
      <c r="BF28" s="836"/>
      <c r="BG28" s="836"/>
      <c r="BH28" s="836"/>
      <c r="BI28" s="836"/>
      <c r="BJ28" s="836"/>
      <c r="BK28" s="836"/>
      <c r="BL28" s="836"/>
      <c r="BM28" s="836"/>
      <c r="BN28" s="836"/>
      <c r="BO28" s="836"/>
      <c r="BT28" s="836"/>
      <c r="BY28" s="836"/>
      <c r="CD28" s="836"/>
      <c r="CI28" s="836"/>
      <c r="CN28" s="836"/>
      <c r="CO28" s="836"/>
      <c r="CP28" s="836"/>
      <c r="CQ28" s="836"/>
      <c r="CR28" s="836"/>
      <c r="CS28" s="836"/>
      <c r="CT28" s="836"/>
      <c r="CU28" s="836"/>
      <c r="CV28" s="836"/>
      <c r="CW28" s="836"/>
      <c r="CX28" s="836"/>
      <c r="CY28" s="836"/>
      <c r="CZ28" s="836"/>
      <c r="DA28" s="836"/>
      <c r="DB28" s="836"/>
      <c r="DC28" s="836"/>
      <c r="DD28" s="836"/>
      <c r="DE28" s="836"/>
      <c r="DF28" s="836"/>
      <c r="DG28" s="836"/>
      <c r="DH28" s="836"/>
    </row>
    <row r="29" spans="1:112">
      <c r="B29" s="838" t="s">
        <v>872</v>
      </c>
      <c r="C29" s="835"/>
      <c r="D29" s="835"/>
      <c r="E29" s="835"/>
      <c r="F29" s="835"/>
      <c r="G29" s="836"/>
      <c r="H29" s="837"/>
      <c r="I29" s="837"/>
      <c r="J29" s="837"/>
      <c r="K29" s="837"/>
      <c r="L29" s="836"/>
      <c r="M29" s="837"/>
      <c r="N29" s="837"/>
      <c r="O29" s="837"/>
      <c r="P29" s="837"/>
      <c r="Q29" s="836"/>
      <c r="R29" s="837"/>
      <c r="S29" s="837"/>
      <c r="T29" s="837"/>
      <c r="U29" s="837"/>
      <c r="V29" s="836"/>
      <c r="W29" s="835"/>
      <c r="X29" s="835"/>
      <c r="Y29" s="835"/>
      <c r="Z29" s="835"/>
      <c r="AA29" s="836"/>
      <c r="AB29" s="835"/>
      <c r="AC29" s="835"/>
      <c r="AD29" s="835"/>
      <c r="AE29" s="835"/>
      <c r="AF29" s="836"/>
      <c r="AG29" s="835"/>
      <c r="AH29" s="835"/>
      <c r="AI29" s="855"/>
      <c r="AJ29" s="835"/>
      <c r="AK29" s="836"/>
      <c r="AL29" s="835"/>
      <c r="AM29" s="835"/>
      <c r="AN29" s="835"/>
      <c r="AO29" s="835"/>
      <c r="AP29" s="836"/>
      <c r="AQ29" s="921"/>
      <c r="AR29" s="921"/>
      <c r="AS29" s="921"/>
      <c r="AT29" s="921"/>
      <c r="AU29" s="836"/>
      <c r="AV29" s="922">
        <f>IO_Antibodies!M34</f>
        <v>0</v>
      </c>
      <c r="AW29" s="922">
        <f>IO_Antibodies!N34</f>
        <v>0</v>
      </c>
      <c r="AX29" s="922">
        <f>IO_Antibodies!O34</f>
        <v>0</v>
      </c>
      <c r="AY29" s="922">
        <f>IO_Antibodies!P34</f>
        <v>0</v>
      </c>
      <c r="AZ29" s="304">
        <f>IO_Antibodies!Q34</f>
        <v>0</v>
      </c>
      <c r="BA29" s="304">
        <f>IO_Antibodies!R34</f>
        <v>0</v>
      </c>
      <c r="BB29" s="304">
        <f>IO_Antibodies!S34</f>
        <v>0</v>
      </c>
      <c r="BC29" s="304">
        <f>IO_Antibodies!T34</f>
        <v>0</v>
      </c>
      <c r="BD29" s="304">
        <f>IO_Antibodies!U34</f>
        <v>0</v>
      </c>
      <c r="BE29" s="304">
        <f>IO_Antibodies!V34</f>
        <v>-8.28125</v>
      </c>
      <c r="BF29" s="304">
        <f>IO_Antibodies!W34</f>
        <v>0</v>
      </c>
      <c r="BG29" s="304">
        <f>IO_Antibodies!X34</f>
        <v>0</v>
      </c>
      <c r="BH29" s="304">
        <f>IO_Antibodies!Y34</f>
        <v>0</v>
      </c>
      <c r="BI29" s="304">
        <f>IO_Antibodies!Z34</f>
        <v>0</v>
      </c>
      <c r="BJ29" s="304">
        <f>IO_Antibodies!AA34</f>
        <v>-0.359375</v>
      </c>
      <c r="BK29" s="304">
        <f>IO_Antibodies!AB34</f>
        <v>0</v>
      </c>
      <c r="BL29" s="304">
        <f>IO_Antibodies!AC34</f>
        <v>0</v>
      </c>
      <c r="BM29" s="304">
        <f>IO_Antibodies!AD34</f>
        <v>0</v>
      </c>
      <c r="BN29" s="304">
        <f>IO_Antibodies!AE34</f>
        <v>0</v>
      </c>
      <c r="BO29" s="304">
        <f>IO_Antibodies!AF34</f>
        <v>28.337812499999998</v>
      </c>
      <c r="BP29" s="304">
        <f>IO_Antibodies!AG34</f>
        <v>0</v>
      </c>
      <c r="BQ29" s="304">
        <f>IO_Antibodies!AH34</f>
        <v>0</v>
      </c>
      <c r="BR29" s="304">
        <f>IO_Antibodies!AI34</f>
        <v>0</v>
      </c>
      <c r="BS29" s="304">
        <f>IO_Antibodies!AJ34</f>
        <v>0</v>
      </c>
      <c r="BT29" s="304">
        <f>IO_Antibodies!AK34</f>
        <v>28.716187499999997</v>
      </c>
      <c r="BU29" s="304">
        <f>IO_Antibodies!AL34</f>
        <v>0</v>
      </c>
      <c r="BV29" s="304">
        <f>IO_Antibodies!AM34</f>
        <v>0</v>
      </c>
      <c r="BW29" s="304">
        <f>IO_Antibodies!AN34</f>
        <v>0</v>
      </c>
      <c r="BX29" s="304">
        <f>IO_Antibodies!AO34</f>
        <v>0</v>
      </c>
      <c r="BY29" s="304">
        <f>IO_Antibodies!AP34</f>
        <v>36.901362375000005</v>
      </c>
      <c r="BZ29" s="304">
        <f>IO_Antibodies!AQ34</f>
        <v>0</v>
      </c>
      <c r="CA29" s="304">
        <f>IO_Antibodies!AR34</f>
        <v>0</v>
      </c>
      <c r="CB29" s="304">
        <f>IO_Antibodies!AS34</f>
        <v>0</v>
      </c>
      <c r="CC29" s="304">
        <f>IO_Antibodies!AT34</f>
        <v>0</v>
      </c>
      <c r="CD29" s="304">
        <f>IO_Antibodies!AU34</f>
        <v>45.402457769999998</v>
      </c>
      <c r="CE29" s="304">
        <f>IO_Antibodies!AV34</f>
        <v>0</v>
      </c>
      <c r="CF29" s="304">
        <f>IO_Antibodies!AW34</f>
        <v>0</v>
      </c>
      <c r="CG29" s="304">
        <f>IO_Antibodies!AX34</f>
        <v>0</v>
      </c>
      <c r="CH29" s="304">
        <f>IO_Antibodies!AY34</f>
        <v>0</v>
      </c>
      <c r="CI29" s="304">
        <f>IO_Antibodies!AZ34</f>
        <v>54.228836435849992</v>
      </c>
      <c r="CJ29" s="304">
        <f>IO_Antibodies!BA34</f>
        <v>0</v>
      </c>
      <c r="CK29" s="304">
        <f>IO_Antibodies!BB34</f>
        <v>0</v>
      </c>
      <c r="CL29" s="304">
        <f>IO_Antibodies!BC34</f>
        <v>0</v>
      </c>
      <c r="CM29" s="304">
        <f>IO_Antibodies!BD34</f>
        <v>0</v>
      </c>
      <c r="CN29" s="304">
        <f>IO_Antibodies!BE34</f>
        <v>55.313413164566974</v>
      </c>
      <c r="CO29" s="304">
        <f>IO_Antibodies!BF34</f>
        <v>0</v>
      </c>
      <c r="CP29" s="304">
        <f>IO_Antibodies!BG34</f>
        <v>0</v>
      </c>
      <c r="CQ29" s="304">
        <f>IO_Antibodies!BH34</f>
        <v>0</v>
      </c>
      <c r="CR29" s="304">
        <f>IO_Antibodies!BI34</f>
        <v>0</v>
      </c>
      <c r="CS29" s="304">
        <f>IO_Antibodies!BJ34</f>
        <v>56.419681427858336</v>
      </c>
      <c r="CT29" s="304">
        <f>IO_Antibodies!BK34</f>
        <v>0</v>
      </c>
      <c r="CU29" s="304">
        <f>IO_Antibodies!BL34</f>
        <v>0</v>
      </c>
      <c r="CV29" s="304">
        <f>IO_Antibodies!BM34</f>
        <v>0</v>
      </c>
      <c r="CW29" s="304">
        <f>IO_Antibodies!BN34</f>
        <v>0</v>
      </c>
      <c r="CX29" s="304">
        <f>IO_Antibodies!BO34</f>
        <v>57.548075056415477</v>
      </c>
      <c r="CY29" s="304">
        <f>IO_Antibodies!BP34</f>
        <v>0</v>
      </c>
      <c r="CZ29" s="304">
        <f>IO_Antibodies!BQ34</f>
        <v>0</v>
      </c>
      <c r="DA29" s="304">
        <f>IO_Antibodies!BR34</f>
        <v>0</v>
      </c>
      <c r="DB29" s="304">
        <f>IO_Antibodies!BS34</f>
        <v>0</v>
      </c>
      <c r="DC29" s="304">
        <f>IO_Antibodies!BT34</f>
        <v>58.699036557543799</v>
      </c>
      <c r="DD29" s="304">
        <f>IO_Antibodies!BU34</f>
        <v>0</v>
      </c>
      <c r="DE29" s="304">
        <f>IO_Antibodies!BV34</f>
        <v>0</v>
      </c>
      <c r="DF29" s="304">
        <f>IO_Antibodies!BW34</f>
        <v>0</v>
      </c>
      <c r="DG29" s="304">
        <f>IO_Antibodies!BX34</f>
        <v>0</v>
      </c>
      <c r="DH29" s="304">
        <f>IO_Antibodies!BY34</f>
        <v>59.873017288694662</v>
      </c>
    </row>
    <row r="30" spans="1:112" s="143" customFormat="1">
      <c r="A30" s="143" t="s">
        <v>1</v>
      </c>
      <c r="B30" s="838" t="s">
        <v>208</v>
      </c>
      <c r="C30" s="835"/>
      <c r="D30" s="835"/>
      <c r="E30" s="835"/>
      <c r="F30" s="835"/>
      <c r="G30" s="836"/>
      <c r="H30" s="837"/>
      <c r="I30" s="837"/>
      <c r="J30" s="837"/>
      <c r="K30" s="837"/>
      <c r="L30" s="836"/>
      <c r="M30" s="837"/>
      <c r="N30" s="837"/>
      <c r="O30" s="837"/>
      <c r="P30" s="837"/>
      <c r="Q30" s="836"/>
      <c r="R30" s="837"/>
      <c r="S30" s="837"/>
      <c r="T30" s="837"/>
      <c r="U30" s="837"/>
      <c r="V30" s="836"/>
      <c r="W30" s="835"/>
      <c r="X30" s="835"/>
      <c r="Y30" s="835"/>
      <c r="Z30" s="835"/>
      <c r="AA30" s="836"/>
      <c r="AB30" s="835"/>
      <c r="AC30" s="835"/>
      <c r="AD30" s="835"/>
      <c r="AE30" s="835"/>
      <c r="AF30" s="836"/>
      <c r="AG30" s="835"/>
      <c r="AH30" s="835"/>
      <c r="AI30" s="854">
        <v>18.584</v>
      </c>
      <c r="AJ30" s="876">
        <f>AK30-AI30</f>
        <v>21.376999999999999</v>
      </c>
      <c r="AK30" s="407">
        <v>39.960999999999999</v>
      </c>
      <c r="AL30" s="440">
        <v>29.274999999999999</v>
      </c>
      <c r="AM30" s="440">
        <v>32.35</v>
      </c>
      <c r="AN30" s="440">
        <v>36.225999999999999</v>
      </c>
      <c r="AO30" s="440">
        <f>138.497-AL30-AM30-AN30</f>
        <v>40.646000000000015</v>
      </c>
      <c r="AP30" s="154">
        <f>SUM(AL30:AO30)</f>
        <v>138.49700000000001</v>
      </c>
      <c r="AQ30" s="977">
        <v>58.679000000000002</v>
      </c>
      <c r="AR30" s="977">
        <v>68.08</v>
      </c>
      <c r="AS30" s="977">
        <v>61.649000000000001</v>
      </c>
      <c r="AT30" s="977">
        <f>AU30-SUM(AQ30:AS30)</f>
        <v>51.591999999999985</v>
      </c>
      <c r="AU30" s="407">
        <f>138.8+101.2</f>
        <v>240</v>
      </c>
      <c r="AV30" s="1094">
        <f>'Project Costs'!J15</f>
        <v>56.25</v>
      </c>
      <c r="AW30" s="1094">
        <f>'Project Costs'!K15</f>
        <v>57.656249999999986</v>
      </c>
      <c r="AX30" s="1094">
        <f>'Project Costs'!L15</f>
        <v>59.097656249999986</v>
      </c>
      <c r="AY30" s="1094">
        <f>'Project Costs'!M15</f>
        <v>67.558593750000028</v>
      </c>
      <c r="AZ30" s="304">
        <f>'Project Costs'!N15</f>
        <v>240.5625</v>
      </c>
      <c r="BA30" s="304"/>
      <c r="BB30" s="304"/>
      <c r="BC30" s="304"/>
      <c r="BD30" s="304"/>
      <c r="BE30" s="304">
        <f>'Project Costs'!O15</f>
        <v>218.69318181818181</v>
      </c>
      <c r="BF30" s="304"/>
      <c r="BG30" s="304"/>
      <c r="BH30" s="304"/>
      <c r="BI30" s="304"/>
      <c r="BJ30" s="304">
        <f>'Project Costs'!P15</f>
        <v>257.74553571428578</v>
      </c>
      <c r="BK30" s="836"/>
      <c r="BL30" s="836"/>
      <c r="BM30" s="836"/>
      <c r="BN30" s="836"/>
      <c r="BO30" s="304">
        <f>'Project Costs'!Q15</f>
        <v>231.9709821428572</v>
      </c>
      <c r="BT30" s="304">
        <f>'Project Costs'!R15</f>
        <v>208.77388392857148</v>
      </c>
      <c r="BY30" s="304">
        <f>'Project Costs'!S15</f>
        <v>187.89649553571431</v>
      </c>
      <c r="CD30" s="304">
        <f>'Project Costs'!T15</f>
        <v>131.52754687500001</v>
      </c>
      <c r="CI30" s="304">
        <f>'Project Costs'!U15</f>
        <v>111.79841484375001</v>
      </c>
      <c r="CN30" s="304">
        <f>'Project Costs'!V15</f>
        <v>95.028652617187504</v>
      </c>
      <c r="CO30" s="304"/>
      <c r="CP30" s="304"/>
      <c r="CQ30" s="304"/>
      <c r="CR30" s="304"/>
      <c r="CS30" s="304">
        <f>'Project Costs'!W15</f>
        <v>95.028652617187504</v>
      </c>
      <c r="CT30" s="304"/>
      <c r="CU30" s="304"/>
      <c r="CV30" s="304"/>
      <c r="CW30" s="304"/>
      <c r="CX30" s="304">
        <f>'Project Costs'!X15</f>
        <v>95.028652617187504</v>
      </c>
      <c r="CY30" s="304"/>
      <c r="CZ30" s="304"/>
      <c r="DA30" s="304"/>
      <c r="DB30" s="304"/>
      <c r="DC30" s="304">
        <f>'Project Costs'!Y15</f>
        <v>95.028652617187504</v>
      </c>
      <c r="DD30" s="304"/>
      <c r="DE30" s="304"/>
      <c r="DF30" s="304"/>
      <c r="DG30" s="304"/>
      <c r="DH30" s="304">
        <f>'Project Costs'!Z15</f>
        <v>95.028652617187504</v>
      </c>
    </row>
    <row r="31" spans="1:112" s="143" customFormat="1">
      <c r="B31" s="838" t="s">
        <v>751</v>
      </c>
      <c r="C31" s="835"/>
      <c r="D31" s="835"/>
      <c r="E31" s="835"/>
      <c r="F31" s="835"/>
      <c r="G31" s="836"/>
      <c r="H31" s="837"/>
      <c r="I31" s="837"/>
      <c r="J31" s="837"/>
      <c r="K31" s="837"/>
      <c r="L31" s="836"/>
      <c r="M31" s="837"/>
      <c r="N31" s="837"/>
      <c r="O31" s="837"/>
      <c r="P31" s="837"/>
      <c r="Q31" s="836"/>
      <c r="R31" s="837"/>
      <c r="S31" s="837"/>
      <c r="T31" s="837"/>
      <c r="U31" s="837"/>
      <c r="V31" s="836"/>
      <c r="W31" s="835"/>
      <c r="X31" s="835"/>
      <c r="Y31" s="835"/>
      <c r="Z31" s="835"/>
      <c r="AA31" s="836"/>
      <c r="AB31" s="835"/>
      <c r="AC31" s="835"/>
      <c r="AD31" s="835"/>
      <c r="AE31" s="835"/>
      <c r="AF31" s="836"/>
      <c r="AG31" s="835"/>
      <c r="AH31" s="835"/>
      <c r="AI31" s="854">
        <v>20</v>
      </c>
      <c r="AJ31" s="876">
        <f>AK31-AI31</f>
        <v>20</v>
      </c>
      <c r="AK31" s="407">
        <v>40</v>
      </c>
      <c r="AL31" s="440">
        <v>20</v>
      </c>
      <c r="AM31" s="440">
        <v>20</v>
      </c>
      <c r="AN31" s="440">
        <v>20</v>
      </c>
      <c r="AO31" s="440">
        <v>20</v>
      </c>
      <c r="AP31" s="154">
        <f>SUM(AL31:AO31)</f>
        <v>80</v>
      </c>
      <c r="AQ31" s="977">
        <v>20</v>
      </c>
      <c r="AR31" s="977">
        <v>20.748999999999999</v>
      </c>
      <c r="AS31" s="977">
        <v>21.114999999999998</v>
      </c>
      <c r="AT31" s="977">
        <f>AU31-SUM(AQ31:AS31)</f>
        <v>21.63600000000001</v>
      </c>
      <c r="AU31" s="407">
        <v>83.5</v>
      </c>
      <c r="AV31" s="1094">
        <v>18</v>
      </c>
      <c r="AW31" s="1094">
        <f>AV31*1.025</f>
        <v>18.45</v>
      </c>
      <c r="AX31" s="1094">
        <f>AW31*1.025</f>
        <v>18.911249999999999</v>
      </c>
      <c r="AY31" s="922">
        <f>AZ31-SUM(AV31:AX31)</f>
        <v>28.138750000000002</v>
      </c>
      <c r="AZ31" s="304">
        <f>AU31</f>
        <v>83.5</v>
      </c>
      <c r="BA31" s="304"/>
      <c r="BB31" s="304"/>
      <c r="BC31" s="304"/>
      <c r="BD31" s="304"/>
      <c r="BE31" s="304">
        <f>AZ31</f>
        <v>83.5</v>
      </c>
      <c r="BF31" s="304"/>
      <c r="BG31" s="304"/>
      <c r="BH31" s="304"/>
      <c r="BI31" s="304"/>
      <c r="BJ31" s="304">
        <f>BE31</f>
        <v>83.5</v>
      </c>
      <c r="BK31" s="836"/>
      <c r="BL31" s="836"/>
      <c r="BM31" s="836"/>
      <c r="BN31" s="836"/>
      <c r="BO31" s="304">
        <f>BJ31</f>
        <v>83.5</v>
      </c>
      <c r="BT31" s="304">
        <f>BO31</f>
        <v>83.5</v>
      </c>
      <c r="BY31" s="304">
        <f>BT31</f>
        <v>83.5</v>
      </c>
      <c r="CD31" s="304">
        <f>BY31</f>
        <v>83.5</v>
      </c>
      <c r="CI31" s="304">
        <f>CD31</f>
        <v>83.5</v>
      </c>
      <c r="CN31" s="304">
        <f>CI31</f>
        <v>83.5</v>
      </c>
      <c r="CO31" s="304"/>
      <c r="CP31" s="304"/>
      <c r="CQ31" s="304"/>
      <c r="CR31" s="304"/>
      <c r="CS31" s="304">
        <f>CN31</f>
        <v>83.5</v>
      </c>
      <c r="CT31" s="304"/>
      <c r="CU31" s="304"/>
      <c r="CV31" s="304"/>
      <c r="CW31" s="304"/>
      <c r="CX31" s="304">
        <f>CS31</f>
        <v>83.5</v>
      </c>
      <c r="CY31" s="304"/>
      <c r="CZ31" s="304"/>
      <c r="DA31" s="304"/>
      <c r="DB31" s="304"/>
      <c r="DC31" s="304">
        <f>CX31</f>
        <v>83.5</v>
      </c>
      <c r="DD31" s="304"/>
      <c r="DE31" s="304"/>
      <c r="DF31" s="304"/>
      <c r="DG31" s="304"/>
      <c r="DH31" s="304">
        <f>DC31</f>
        <v>83.5</v>
      </c>
    </row>
    <row r="32" spans="1:112">
      <c r="B32" s="195" t="s">
        <v>805</v>
      </c>
      <c r="C32" s="434"/>
      <c r="D32" s="434"/>
      <c r="E32" s="434"/>
      <c r="F32" s="434"/>
      <c r="G32" s="409"/>
      <c r="H32" s="446"/>
      <c r="I32" s="446"/>
      <c r="J32" s="446"/>
      <c r="K32" s="446"/>
      <c r="L32" s="409"/>
      <c r="M32" s="446"/>
      <c r="N32" s="446"/>
      <c r="O32" s="446"/>
      <c r="P32" s="446"/>
      <c r="Q32" s="409"/>
      <c r="R32" s="446"/>
      <c r="S32" s="446"/>
      <c r="T32" s="446"/>
      <c r="U32" s="446"/>
      <c r="V32" s="409"/>
      <c r="W32" s="434"/>
      <c r="X32" s="434"/>
      <c r="Y32" s="434"/>
      <c r="Z32" s="434"/>
      <c r="AA32" s="409"/>
      <c r="AB32" s="434"/>
      <c r="AC32" s="434"/>
      <c r="AD32" s="434"/>
      <c r="AE32" s="434"/>
      <c r="AF32" s="409"/>
      <c r="AG32" s="434"/>
      <c r="AH32" s="434"/>
      <c r="AI32" s="434">
        <f>SUM(AI30:AI31)</f>
        <v>38.584000000000003</v>
      </c>
      <c r="AJ32" s="434">
        <f>SUM(AJ30:AJ31)</f>
        <v>41.376999999999995</v>
      </c>
      <c r="AK32" s="409">
        <f>SUM(AK30:AK31)</f>
        <v>79.960999999999999</v>
      </c>
      <c r="AL32" s="434">
        <f>SUM(AL30:AL31)</f>
        <v>49.274999999999999</v>
      </c>
      <c r="AM32" s="434">
        <f t="shared" ref="AM32:AT32" si="75">SUM(AM30:AM31)</f>
        <v>52.35</v>
      </c>
      <c r="AN32" s="434">
        <f t="shared" si="75"/>
        <v>56.225999999999999</v>
      </c>
      <c r="AO32" s="434">
        <f t="shared" si="75"/>
        <v>60.646000000000015</v>
      </c>
      <c r="AP32" s="409">
        <f>SUM(AP30:AP31)</f>
        <v>218.49700000000001</v>
      </c>
      <c r="AQ32" s="917">
        <f t="shared" si="75"/>
        <v>78.679000000000002</v>
      </c>
      <c r="AR32" s="917">
        <f t="shared" si="75"/>
        <v>88.828999999999994</v>
      </c>
      <c r="AS32" s="917">
        <f t="shared" si="75"/>
        <v>82.763999999999996</v>
      </c>
      <c r="AT32" s="917">
        <f t="shared" si="75"/>
        <v>73.227999999999994</v>
      </c>
      <c r="AU32" s="409">
        <f>SUM(AU30:AU31)</f>
        <v>323.5</v>
      </c>
      <c r="AV32" s="917">
        <f>SUM(AV29:AV31)</f>
        <v>74.25</v>
      </c>
      <c r="AW32" s="917">
        <f t="shared" ref="AW32:AY32" si="76">SUM(AW29:AW31)</f>
        <v>76.106249999999989</v>
      </c>
      <c r="AX32" s="917">
        <f t="shared" si="76"/>
        <v>78.008906249999981</v>
      </c>
      <c r="AY32" s="917">
        <f t="shared" si="76"/>
        <v>95.69734375000003</v>
      </c>
      <c r="AZ32" s="409">
        <f>SUM(AZ29:BD31)</f>
        <v>324.0625</v>
      </c>
      <c r="BA32" s="409"/>
      <c r="BB32" s="409"/>
      <c r="BC32" s="409"/>
      <c r="BD32" s="409"/>
      <c r="BE32" s="409">
        <f>SUM(BE29:BI31)</f>
        <v>293.91193181818181</v>
      </c>
      <c r="BF32" s="409"/>
      <c r="BG32" s="409"/>
      <c r="BH32" s="409"/>
      <c r="BI32" s="409"/>
      <c r="BJ32" s="409">
        <f>SUM(BJ29:BN31)</f>
        <v>340.88616071428578</v>
      </c>
      <c r="BK32" s="836"/>
      <c r="BL32" s="836"/>
      <c r="BM32" s="836"/>
      <c r="BN32" s="836"/>
      <c r="BO32" s="409">
        <f>SUM(BO29:BS31)</f>
        <v>343.80879464285721</v>
      </c>
      <c r="BT32" s="409">
        <f>SUM(BT29:BX31)</f>
        <v>320.99007142857147</v>
      </c>
      <c r="BY32" s="409">
        <f>SUM(BY29:CC31)</f>
        <v>308.2978579107143</v>
      </c>
      <c r="CD32" s="409">
        <f>SUM(CD29:CH31)</f>
        <v>260.430004645</v>
      </c>
      <c r="CI32" s="409">
        <f>SUM(CI29:CM31)</f>
        <v>249.52725127959999</v>
      </c>
      <c r="CN32" s="409">
        <f>SUM(CN29:CR31)</f>
        <v>233.84206578175448</v>
      </c>
      <c r="CO32" s="409"/>
      <c r="CP32" s="409"/>
      <c r="CQ32" s="409"/>
      <c r="CR32" s="409"/>
      <c r="CS32" s="409">
        <f>SUM(CS29:CW31)</f>
        <v>234.94833404504584</v>
      </c>
      <c r="CT32" s="409"/>
      <c r="CU32" s="409"/>
      <c r="CV32" s="409"/>
      <c r="CW32" s="409"/>
      <c r="CX32" s="409">
        <f>SUM(CX29:DB31)</f>
        <v>236.07672767360299</v>
      </c>
      <c r="CY32" s="409"/>
      <c r="CZ32" s="409"/>
      <c r="DA32" s="409"/>
      <c r="DB32" s="409"/>
      <c r="DC32" s="409">
        <f>SUM(DC29:DG31)</f>
        <v>237.2276891747313</v>
      </c>
      <c r="DD32" s="409"/>
      <c r="DE32" s="409"/>
      <c r="DF32" s="409"/>
      <c r="DG32" s="409"/>
      <c r="DH32" s="409">
        <f>SUM(DH29:DL31)</f>
        <v>238.40166990588216</v>
      </c>
    </row>
    <row r="33" spans="1:112" ht="13.5" thickBot="1">
      <c r="B33" s="196" t="s">
        <v>210</v>
      </c>
      <c r="C33" s="447">
        <f>C26+C16</f>
        <v>49.599999999999994</v>
      </c>
      <c r="D33" s="447">
        <f>D26+D16</f>
        <v>60.7</v>
      </c>
      <c r="E33" s="447">
        <f>E26+E16</f>
        <v>68.5</v>
      </c>
      <c r="F33" s="447">
        <f>F26+F16</f>
        <v>68.400000000000006</v>
      </c>
      <c r="G33" s="448">
        <f>G26+G16</f>
        <v>247.2</v>
      </c>
      <c r="H33" s="449"/>
      <c r="I33" s="449"/>
      <c r="J33" s="449"/>
      <c r="K33" s="449"/>
      <c r="L33" s="448">
        <f>L26+L16</f>
        <v>311.29999999999995</v>
      </c>
      <c r="M33" s="449"/>
      <c r="N33" s="449"/>
      <c r="O33" s="449"/>
      <c r="P33" s="449"/>
      <c r="Q33" s="448">
        <f>Q26+Q16</f>
        <v>326.60000000000002</v>
      </c>
      <c r="R33" s="449"/>
      <c r="S33" s="449"/>
      <c r="T33" s="449"/>
      <c r="U33" s="449"/>
      <c r="V33" s="448">
        <f t="shared" ref="V33:AH33" si="77">V26+V16</f>
        <v>423.8</v>
      </c>
      <c r="W33" s="447">
        <f t="shared" si="77"/>
        <v>99.27300000000001</v>
      </c>
      <c r="X33" s="447">
        <f t="shared" si="77"/>
        <v>85.529000000000011</v>
      </c>
      <c r="Y33" s="447">
        <f t="shared" si="77"/>
        <v>134.35899999999998</v>
      </c>
      <c r="Z33" s="447">
        <f t="shared" si="77"/>
        <v>110.93900000000004</v>
      </c>
      <c r="AA33" s="448">
        <f t="shared" si="77"/>
        <v>430.1</v>
      </c>
      <c r="AB33" s="447">
        <f t="shared" si="77"/>
        <v>130.50799999999998</v>
      </c>
      <c r="AC33" s="447">
        <f t="shared" si="77"/>
        <v>142.595</v>
      </c>
      <c r="AD33" s="447">
        <f t="shared" si="77"/>
        <v>132.92500000000001</v>
      </c>
      <c r="AE33" s="447">
        <f t="shared" si="77"/>
        <v>122.85399999999998</v>
      </c>
      <c r="AF33" s="448">
        <f t="shared" si="77"/>
        <v>528.88200000000006</v>
      </c>
      <c r="AG33" s="447">
        <f t="shared" si="77"/>
        <v>174.042</v>
      </c>
      <c r="AH33" s="447">
        <f t="shared" si="77"/>
        <v>195.10999999999999</v>
      </c>
      <c r="AI33" s="447">
        <f t="shared" ref="AI33:AY33" si="78">AI26+AI16+AI32</f>
        <v>224.73500000000001</v>
      </c>
      <c r="AJ33" s="447">
        <f t="shared" si="78"/>
        <v>164.98599999999999</v>
      </c>
      <c r="AK33" s="448">
        <f t="shared" si="78"/>
        <v>758.87300000000005</v>
      </c>
      <c r="AL33" s="447">
        <f t="shared" si="78"/>
        <v>219.69400000000002</v>
      </c>
      <c r="AM33" s="447">
        <f t="shared" si="78"/>
        <v>163.41400000000002</v>
      </c>
      <c r="AN33" s="447">
        <f t="shared" si="78"/>
        <v>144.392</v>
      </c>
      <c r="AO33" s="447">
        <f t="shared" si="78"/>
        <v>131.16500000000002</v>
      </c>
      <c r="AP33" s="448">
        <f t="shared" si="78"/>
        <v>658.66499999999996</v>
      </c>
      <c r="AQ33" s="923">
        <f t="shared" si="78"/>
        <v>210.36699999999999</v>
      </c>
      <c r="AR33" s="923">
        <f t="shared" si="78"/>
        <v>222.12799999999999</v>
      </c>
      <c r="AS33" s="923">
        <f t="shared" si="78"/>
        <v>245.17500000000001</v>
      </c>
      <c r="AT33" s="923">
        <f t="shared" si="78"/>
        <v>199.52999999999997</v>
      </c>
      <c r="AU33" s="448">
        <f t="shared" si="78"/>
        <v>877.19999999999993</v>
      </c>
      <c r="AV33" s="923">
        <f t="shared" si="78"/>
        <v>217.53190354188104</v>
      </c>
      <c r="AW33" s="923">
        <f t="shared" si="78"/>
        <v>229.46582536514128</v>
      </c>
      <c r="AX33" s="923">
        <f t="shared" si="78"/>
        <v>241.20201854935112</v>
      </c>
      <c r="AY33" s="923">
        <f t="shared" si="78"/>
        <v>237.38267687106816</v>
      </c>
      <c r="AZ33" s="448">
        <f>AZ26+AZ16+AZ32</f>
        <v>925.58242432744169</v>
      </c>
      <c r="BA33" s="448"/>
      <c r="BB33" s="448"/>
      <c r="BC33" s="448"/>
      <c r="BD33" s="448"/>
      <c r="BE33" s="448">
        <f>BE26+BE16+BE32</f>
        <v>1116.6120319724469</v>
      </c>
      <c r="BF33" s="448"/>
      <c r="BG33" s="448"/>
      <c r="BH33" s="448"/>
      <c r="BI33" s="448"/>
      <c r="BJ33" s="448">
        <f>BJ26+BJ16+BJ32</f>
        <v>1662.7727073626274</v>
      </c>
      <c r="BK33" s="836"/>
      <c r="BL33" s="836"/>
      <c r="BM33" s="836"/>
      <c r="BN33" s="836"/>
      <c r="BO33" s="448">
        <f>BO26+BO16+BO32</f>
        <v>2311.3593070312259</v>
      </c>
      <c r="BT33" s="448">
        <f>BT26+BT16+BT32</f>
        <v>2952.1234908230481</v>
      </c>
      <c r="BY33" s="448">
        <f>BY26+BY16+BY32</f>
        <v>3501.6442245223761</v>
      </c>
      <c r="CD33" s="448">
        <f>CD26+CD16+CD32</f>
        <v>3932.2928490074</v>
      </c>
      <c r="CI33" s="448">
        <f>CI26+CI16+CI32</f>
        <v>4333.8615099258268</v>
      </c>
      <c r="CN33" s="448">
        <f>CN26+CN16+CN32</f>
        <v>4603.0125557099391</v>
      </c>
      <c r="CO33" s="448"/>
      <c r="CP33" s="448"/>
      <c r="CQ33" s="448"/>
      <c r="CR33" s="448"/>
      <c r="CS33" s="448">
        <f>CS26+CS16+CS32</f>
        <v>4782.0098874587275</v>
      </c>
      <c r="CT33" s="448"/>
      <c r="CU33" s="448"/>
      <c r="CV33" s="448"/>
      <c r="CW33" s="448"/>
      <c r="CX33" s="448">
        <f>CX26+CX16+CX32</f>
        <v>5311.5043111479617</v>
      </c>
      <c r="CY33" s="448"/>
      <c r="CZ33" s="448"/>
      <c r="DA33" s="448"/>
      <c r="DB33" s="448"/>
      <c r="DC33" s="448">
        <f>DC26+DC16+DC32</f>
        <v>5350.9757558535648</v>
      </c>
      <c r="DD33" s="448"/>
      <c r="DE33" s="448"/>
      <c r="DF33" s="448"/>
      <c r="DG33" s="448"/>
      <c r="DH33" s="448">
        <f>DH26+DH16+DH32</f>
        <v>5292.9519048074235</v>
      </c>
    </row>
    <row r="34" spans="1:112" ht="6.75" customHeight="1">
      <c r="B34" s="176"/>
      <c r="C34" s="427"/>
      <c r="D34" s="427"/>
      <c r="E34" s="427"/>
      <c r="F34" s="427"/>
      <c r="H34" s="427"/>
      <c r="I34" s="427"/>
      <c r="J34" s="427"/>
      <c r="K34" s="427"/>
      <c r="M34" s="427"/>
      <c r="N34" s="427"/>
      <c r="O34" s="427"/>
      <c r="P34" s="427"/>
      <c r="R34" s="427"/>
      <c r="S34" s="427"/>
      <c r="T34" s="427"/>
      <c r="U34" s="427"/>
      <c r="V34" s="179"/>
      <c r="W34" s="433"/>
      <c r="X34" s="433"/>
      <c r="Y34" s="433"/>
      <c r="Z34" s="433"/>
      <c r="AA34" s="179"/>
      <c r="AB34" s="433"/>
      <c r="AC34" s="433"/>
      <c r="AD34" s="433"/>
      <c r="AE34" s="433"/>
      <c r="AF34" s="179"/>
      <c r="AG34" s="513"/>
      <c r="AH34" s="513"/>
      <c r="AI34" s="513"/>
      <c r="AJ34" s="513"/>
      <c r="AK34" s="179"/>
      <c r="AL34" s="433"/>
      <c r="AM34" s="433"/>
      <c r="AN34" s="433"/>
      <c r="AO34" s="433"/>
      <c r="AP34" s="179"/>
      <c r="AQ34" s="902"/>
      <c r="AR34" s="902"/>
      <c r="AS34" s="902"/>
      <c r="AT34" s="902"/>
      <c r="AU34" s="179"/>
      <c r="AV34" s="902"/>
      <c r="AW34" s="902"/>
      <c r="AX34" s="902"/>
      <c r="AY34" s="902"/>
      <c r="AZ34" s="179"/>
      <c r="BA34" s="179"/>
      <c r="BB34" s="179"/>
      <c r="BC34" s="179"/>
      <c r="BD34" s="179"/>
      <c r="BE34" s="179"/>
      <c r="BF34" s="179"/>
      <c r="BG34" s="179"/>
      <c r="BH34" s="179"/>
      <c r="BI34" s="179"/>
      <c r="BJ34" s="179"/>
      <c r="BK34" s="179"/>
      <c r="BL34" s="179"/>
      <c r="BM34" s="179"/>
      <c r="BN34" s="179"/>
      <c r="BO34" s="179"/>
      <c r="BT34" s="179"/>
      <c r="BY34" s="179"/>
      <c r="CD34" s="179"/>
      <c r="CI34" s="179"/>
      <c r="CN34" s="179"/>
      <c r="CO34" s="179"/>
      <c r="CP34" s="179"/>
      <c r="CQ34" s="179"/>
      <c r="CR34" s="179"/>
      <c r="CS34" s="179"/>
      <c r="CT34" s="179"/>
      <c r="CU34" s="179"/>
      <c r="CV34" s="179"/>
      <c r="CW34" s="179"/>
      <c r="CX34" s="179"/>
      <c r="CY34" s="179"/>
      <c r="CZ34" s="179"/>
      <c r="DA34" s="179"/>
      <c r="DB34" s="179"/>
      <c r="DC34" s="179"/>
      <c r="DD34" s="179"/>
      <c r="DE34" s="179"/>
      <c r="DF34" s="179"/>
      <c r="DG34" s="179"/>
      <c r="DH34" s="179"/>
    </row>
    <row r="35" spans="1:112">
      <c r="B35" s="184" t="s">
        <v>195</v>
      </c>
      <c r="C35" s="427"/>
      <c r="D35" s="427"/>
      <c r="E35" s="427"/>
      <c r="F35" s="427"/>
      <c r="H35" s="427"/>
      <c r="I35" s="427"/>
      <c r="J35" s="427"/>
      <c r="K35" s="427"/>
      <c r="M35" s="427"/>
      <c r="N35" s="427"/>
      <c r="O35" s="427"/>
      <c r="P35" s="427"/>
      <c r="R35" s="427"/>
      <c r="S35" s="427"/>
      <c r="T35" s="427"/>
      <c r="U35" s="427"/>
      <c r="W35" s="427"/>
      <c r="X35" s="427"/>
      <c r="Y35" s="427"/>
      <c r="Z35" s="427"/>
      <c r="AB35" s="427"/>
      <c r="AC35" s="427"/>
      <c r="AD35" s="427"/>
      <c r="AE35" s="427"/>
      <c r="AG35" s="427"/>
      <c r="AH35" s="427"/>
      <c r="AI35" s="427"/>
      <c r="AJ35" s="427"/>
      <c r="AK35" s="856"/>
      <c r="AL35" s="432"/>
      <c r="AM35" s="427"/>
      <c r="AN35" s="427"/>
      <c r="AO35" s="427"/>
      <c r="AP35" s="177"/>
      <c r="AQ35" s="899"/>
      <c r="AR35" s="899"/>
      <c r="AS35" s="899"/>
      <c r="AT35" s="899"/>
      <c r="AV35" s="899"/>
      <c r="AW35" s="899"/>
      <c r="AX35" s="899"/>
      <c r="AY35" s="899"/>
    </row>
    <row r="36" spans="1:112">
      <c r="A36" s="125" t="s">
        <v>1</v>
      </c>
      <c r="B36" s="193" t="s">
        <v>211</v>
      </c>
      <c r="C36" s="429">
        <v>7.5</v>
      </c>
      <c r="D36" s="429">
        <v>10.4</v>
      </c>
      <c r="E36" s="429">
        <v>9.6999999999999993</v>
      </c>
      <c r="F36" s="429">
        <v>9.9</v>
      </c>
      <c r="G36" s="410">
        <v>37.4</v>
      </c>
      <c r="H36" s="440"/>
      <c r="I36" s="440"/>
      <c r="J36" s="440"/>
      <c r="K36" s="440"/>
      <c r="L36" s="410">
        <v>45.5</v>
      </c>
      <c r="M36" s="440"/>
      <c r="N36" s="440"/>
      <c r="O36" s="440"/>
      <c r="P36" s="440"/>
      <c r="Q36" s="410">
        <v>33.700000000000003</v>
      </c>
      <c r="R36" s="440"/>
      <c r="S36" s="440"/>
      <c r="T36" s="440"/>
      <c r="U36" s="440"/>
      <c r="V36" s="410">
        <v>34.9</v>
      </c>
      <c r="W36" s="440">
        <v>5.9710000000000001</v>
      </c>
      <c r="X36" s="440">
        <v>3.6669999999999998</v>
      </c>
      <c r="Y36" s="440">
        <v>4.8440000000000003</v>
      </c>
      <c r="Z36" s="441">
        <f>AA36-W36-X36-Y36</f>
        <v>6.4179999999999984</v>
      </c>
      <c r="AA36" s="410">
        <v>20.9</v>
      </c>
      <c r="AB36" s="392">
        <v>20.347000000000001</v>
      </c>
      <c r="AC36" s="392">
        <v>1.494</v>
      </c>
      <c r="AD36" s="392">
        <v>4.3940000000000001</v>
      </c>
      <c r="AE36" s="392">
        <v>-1.661</v>
      </c>
      <c r="AF36" s="420">
        <f>SUM(AB36:AE36)</f>
        <v>24.573999999999998</v>
      </c>
      <c r="AG36" s="440">
        <v>3.911</v>
      </c>
      <c r="AH36" s="440">
        <v>8.39</v>
      </c>
      <c r="AI36" s="440">
        <v>3.335</v>
      </c>
      <c r="AJ36" s="440">
        <v>3.3260000000000001</v>
      </c>
      <c r="AK36" s="177">
        <f>SUM(AG36:AJ36)</f>
        <v>18.962</v>
      </c>
      <c r="AL36" s="440">
        <v>4.6390000000000002</v>
      </c>
      <c r="AM36" s="440">
        <v>7.06</v>
      </c>
      <c r="AN36" s="440">
        <v>9.6519999999999992</v>
      </c>
      <c r="AO36" s="440">
        <v>5.9859999999999998</v>
      </c>
      <c r="AP36" s="177">
        <f>SUM(AL36:AO36)</f>
        <v>27.337</v>
      </c>
      <c r="AQ36" s="976">
        <f>2.451+1.857+2.041</f>
        <v>6.3490000000000002</v>
      </c>
      <c r="AR36" s="976">
        <f>2.329+1.321+3.07</f>
        <v>6.7200000000000006</v>
      </c>
      <c r="AS36" s="976">
        <v>13.378</v>
      </c>
      <c r="AT36" s="976">
        <f>AU36-SUM(AQ36:AS36)</f>
        <v>4.6529999999999987</v>
      </c>
      <c r="AU36" s="410">
        <f>13.3+17.8</f>
        <v>31.1</v>
      </c>
      <c r="AV36" s="900">
        <v>7.5</v>
      </c>
      <c r="AW36" s="900">
        <f>AV36*1.1</f>
        <v>8.25</v>
      </c>
      <c r="AX36" s="900">
        <f>AW36*1.1</f>
        <v>9.0750000000000011</v>
      </c>
      <c r="AY36" s="900">
        <f>AZ36-SUM(AV36:AX36)</f>
        <v>6.2749999999999986</v>
      </c>
      <c r="AZ36" s="177">
        <f>AU36</f>
        <v>31.1</v>
      </c>
      <c r="BA36" s="177"/>
      <c r="BB36" s="177"/>
      <c r="BC36" s="177"/>
      <c r="BD36" s="177"/>
      <c r="BE36" s="177">
        <f>AZ36</f>
        <v>31.1</v>
      </c>
      <c r="BF36" s="177"/>
      <c r="BG36" s="177"/>
      <c r="BH36" s="177"/>
      <c r="BI36" s="177"/>
      <c r="BJ36" s="177">
        <f>BE36</f>
        <v>31.1</v>
      </c>
      <c r="BO36" s="177">
        <f>BJ36</f>
        <v>31.1</v>
      </c>
      <c r="BT36" s="177">
        <f>BO36</f>
        <v>31.1</v>
      </c>
      <c r="BY36" s="177">
        <f>BT36</f>
        <v>31.1</v>
      </c>
      <c r="CD36" s="177">
        <f>BY36</f>
        <v>31.1</v>
      </c>
      <c r="CI36" s="177">
        <f>CD36</f>
        <v>31.1</v>
      </c>
      <c r="CN36" s="177">
        <f>CI36</f>
        <v>31.1</v>
      </c>
      <c r="CO36" s="177"/>
      <c r="CP36" s="177"/>
      <c r="CQ36" s="177"/>
      <c r="CR36" s="177"/>
      <c r="CS36" s="177">
        <f>CN36</f>
        <v>31.1</v>
      </c>
      <c r="CT36" s="177"/>
      <c r="CU36" s="177"/>
      <c r="CV36" s="177"/>
      <c r="CW36" s="177"/>
      <c r="CX36" s="177">
        <f>CS36</f>
        <v>31.1</v>
      </c>
      <c r="CY36" s="177"/>
      <c r="CZ36" s="177"/>
      <c r="DA36" s="177"/>
      <c r="DB36" s="177"/>
      <c r="DC36" s="177">
        <f>CX36</f>
        <v>31.1</v>
      </c>
      <c r="DD36" s="177"/>
      <c r="DE36" s="177"/>
      <c r="DF36" s="177"/>
      <c r="DG36" s="177"/>
      <c r="DH36" s="177">
        <f>DC36</f>
        <v>31.1</v>
      </c>
    </row>
    <row r="37" spans="1:112">
      <c r="B37" s="193" t="s">
        <v>204</v>
      </c>
      <c r="C37" s="429"/>
      <c r="D37" s="427"/>
      <c r="E37" s="392">
        <v>20</v>
      </c>
      <c r="F37" s="427"/>
      <c r="G37" s="410">
        <v>20</v>
      </c>
      <c r="H37" s="440"/>
      <c r="I37" s="440"/>
      <c r="J37" s="440"/>
      <c r="K37" s="440"/>
      <c r="L37" s="410">
        <v>20</v>
      </c>
      <c r="M37" s="440"/>
      <c r="N37" s="440"/>
      <c r="O37" s="440"/>
      <c r="P37" s="440"/>
      <c r="Q37" s="410">
        <v>0</v>
      </c>
      <c r="R37" s="440"/>
      <c r="S37" s="440"/>
      <c r="T37" s="440"/>
      <c r="U37" s="440"/>
      <c r="V37" s="410">
        <v>25</v>
      </c>
      <c r="W37" s="440">
        <v>0</v>
      </c>
      <c r="X37" s="440">
        <f>W37</f>
        <v>0</v>
      </c>
      <c r="Y37" s="440">
        <v>45</v>
      </c>
      <c r="Z37" s="432">
        <f>AA37-W37-X37-Y37</f>
        <v>25</v>
      </c>
      <c r="AA37" s="410">
        <v>70</v>
      </c>
      <c r="AB37" s="392">
        <v>30</v>
      </c>
      <c r="AC37" s="392">
        <v>15</v>
      </c>
      <c r="AD37" s="392">
        <v>30</v>
      </c>
      <c r="AE37" s="392">
        <v>30</v>
      </c>
      <c r="AF37" s="180">
        <f>SUM(AB37:AE37)</f>
        <v>105</v>
      </c>
      <c r="AG37" s="440">
        <v>15</v>
      </c>
      <c r="AH37" s="440">
        <v>0</v>
      </c>
      <c r="AI37" s="440">
        <v>0</v>
      </c>
      <c r="AJ37" s="440">
        <v>0</v>
      </c>
      <c r="AK37" s="177">
        <f>SUM(AG37:AJ37)</f>
        <v>15</v>
      </c>
      <c r="AL37" s="440">
        <v>0</v>
      </c>
      <c r="AM37" s="440">
        <v>0</v>
      </c>
      <c r="AN37" s="440">
        <v>0</v>
      </c>
      <c r="AO37" s="440">
        <v>0</v>
      </c>
      <c r="AP37" s="177">
        <f>SUM(AL37:AO37)</f>
        <v>0</v>
      </c>
      <c r="AQ37" s="976">
        <v>0</v>
      </c>
      <c r="AR37" s="976">
        <v>0</v>
      </c>
      <c r="AS37" s="976">
        <v>0</v>
      </c>
      <c r="AT37" s="976">
        <v>0</v>
      </c>
      <c r="AU37" s="410">
        <v>0</v>
      </c>
      <c r="AV37" s="900">
        <v>0</v>
      </c>
      <c r="AW37" s="900">
        <f>AV37</f>
        <v>0</v>
      </c>
      <c r="AX37" s="900">
        <f t="shared" ref="AX37:AY37" si="79">AW37</f>
        <v>0</v>
      </c>
      <c r="AY37" s="900">
        <f t="shared" si="79"/>
        <v>0</v>
      </c>
      <c r="AZ37" s="177">
        <f>AU37</f>
        <v>0</v>
      </c>
      <c r="BA37" s="177"/>
      <c r="BB37" s="177"/>
      <c r="BC37" s="177"/>
      <c r="BD37" s="177"/>
      <c r="BE37" s="177">
        <f>AZ37</f>
        <v>0</v>
      </c>
      <c r="BF37" s="177"/>
      <c r="BG37" s="177"/>
      <c r="BH37" s="177"/>
      <c r="BI37" s="177"/>
      <c r="BJ37" s="177">
        <f>BE37</f>
        <v>0</v>
      </c>
      <c r="BO37" s="177">
        <f>BJ37</f>
        <v>0</v>
      </c>
      <c r="BT37" s="177">
        <f>BO37</f>
        <v>0</v>
      </c>
      <c r="BY37" s="177">
        <f>BT37</f>
        <v>0</v>
      </c>
      <c r="CD37" s="177">
        <f>BY37</f>
        <v>0</v>
      </c>
      <c r="CI37" s="177">
        <f>CD37</f>
        <v>0</v>
      </c>
      <c r="CN37" s="177">
        <f>CI37</f>
        <v>0</v>
      </c>
      <c r="CO37" s="177"/>
      <c r="CP37" s="177"/>
      <c r="CQ37" s="177"/>
      <c r="CR37" s="177"/>
      <c r="CS37" s="177">
        <f>CN37</f>
        <v>0</v>
      </c>
      <c r="CT37" s="177"/>
      <c r="CU37" s="177"/>
      <c r="CV37" s="177"/>
      <c r="CW37" s="177"/>
      <c r="CX37" s="177">
        <f>CS37</f>
        <v>0</v>
      </c>
      <c r="CY37" s="177"/>
      <c r="CZ37" s="177"/>
      <c r="DA37" s="177"/>
      <c r="DB37" s="177"/>
      <c r="DC37" s="177">
        <f>CX37</f>
        <v>0</v>
      </c>
      <c r="DD37" s="177"/>
      <c r="DE37" s="177"/>
      <c r="DF37" s="177"/>
      <c r="DG37" s="177"/>
      <c r="DH37" s="177">
        <f>DC37</f>
        <v>0</v>
      </c>
    </row>
    <row r="38" spans="1:112" ht="12.75" customHeight="1">
      <c r="B38" s="193" t="s">
        <v>212</v>
      </c>
      <c r="C38" s="429"/>
      <c r="D38" s="427"/>
      <c r="E38" s="427"/>
      <c r="F38" s="427"/>
      <c r="G38" s="410">
        <v>0</v>
      </c>
      <c r="H38" s="440"/>
      <c r="I38" s="440"/>
      <c r="J38" s="440"/>
      <c r="K38" s="440"/>
      <c r="L38" s="410">
        <v>0</v>
      </c>
      <c r="M38" s="440"/>
      <c r="N38" s="440"/>
      <c r="O38" s="440"/>
      <c r="P38" s="440"/>
      <c r="Q38" s="410">
        <v>0</v>
      </c>
      <c r="R38" s="440"/>
      <c r="S38" s="440"/>
      <c r="T38" s="440"/>
      <c r="U38" s="440"/>
      <c r="V38" s="450">
        <v>0</v>
      </c>
      <c r="W38" s="440">
        <v>6.3620000000000001</v>
      </c>
      <c r="X38" s="440">
        <v>19.055</v>
      </c>
      <c r="Y38" s="440">
        <v>31.768999999999998</v>
      </c>
      <c r="Z38" s="432">
        <f>AA38-W38-X38-Y38</f>
        <v>44.314</v>
      </c>
      <c r="AA38" s="410">
        <v>101.5</v>
      </c>
      <c r="AB38" s="440">
        <v>61.158999999999999</v>
      </c>
      <c r="AC38" s="440">
        <v>66.781000000000006</v>
      </c>
      <c r="AD38" s="440">
        <v>85.350999999999999</v>
      </c>
      <c r="AE38" s="440">
        <v>88.010999999999996</v>
      </c>
      <c r="AF38" s="180">
        <f>SUM(AB38:AE38)</f>
        <v>301.30200000000002</v>
      </c>
      <c r="AG38" s="440">
        <v>89.426000000000002</v>
      </c>
      <c r="AH38" s="440">
        <v>106.631</v>
      </c>
      <c r="AI38" s="440">
        <v>130.51</v>
      </c>
      <c r="AJ38" s="440">
        <v>140.1</v>
      </c>
      <c r="AK38" s="177">
        <f>SUM(AG38:AJ38)</f>
        <v>466.66700000000003</v>
      </c>
      <c r="AL38" s="440">
        <v>145.83500000000001</v>
      </c>
      <c r="AM38" s="440">
        <v>167.49199999999999</v>
      </c>
      <c r="AN38" s="440">
        <v>170.85400000000001</v>
      </c>
      <c r="AO38" s="440">
        <v>165.05099999999999</v>
      </c>
      <c r="AP38" s="177">
        <f>SUM(AL38:AO38)</f>
        <v>649.23199999999997</v>
      </c>
      <c r="AQ38" s="976">
        <v>174.876</v>
      </c>
      <c r="AR38" s="976">
        <v>190.88300000000001</v>
      </c>
      <c r="AS38" s="976">
        <v>205.36699999999999</v>
      </c>
      <c r="AT38" s="976">
        <f>AU38-SUM(AQ38:AS38)</f>
        <v>231.17399999999998</v>
      </c>
      <c r="AU38" s="410">
        <v>802.3</v>
      </c>
      <c r="AV38" s="900">
        <f>($AZ$38/$AU$38)*AQ38</f>
        <v>180.91504388016318</v>
      </c>
      <c r="AW38" s="900">
        <f t="shared" ref="AW38:AY38" si="80">($AZ$38/$AU$38)*AR38</f>
        <v>197.47481827682009</v>
      </c>
      <c r="AX38" s="900">
        <f t="shared" si="80"/>
        <v>212.45899847055895</v>
      </c>
      <c r="AY38" s="900">
        <f t="shared" si="80"/>
        <v>239.15719912368101</v>
      </c>
      <c r="AZ38" s="177">
        <f>Eylea!AP42</f>
        <v>830.00605975122312</v>
      </c>
      <c r="BA38" s="177"/>
      <c r="BB38" s="177"/>
      <c r="BC38" s="177"/>
      <c r="BD38" s="177"/>
      <c r="BE38" s="177">
        <f>Eylea!AU42</f>
        <v>931.73817227932136</v>
      </c>
      <c r="BF38" s="177"/>
      <c r="BG38" s="177"/>
      <c r="BH38" s="177"/>
      <c r="BI38" s="177"/>
      <c r="BJ38" s="177">
        <f>Eylea!AZ42</f>
        <v>923.57115148190474</v>
      </c>
      <c r="BO38" s="177">
        <f>Eylea!BE42</f>
        <v>908.54677768364957</v>
      </c>
      <c r="BT38" s="177">
        <f>Eylea!BJ42</f>
        <v>913.69542970095461</v>
      </c>
      <c r="BY38" s="177">
        <f>Eylea!BO42</f>
        <v>929.79506283348746</v>
      </c>
      <c r="CD38" s="177">
        <f>Eylea!BT42</f>
        <v>928.90285509892237</v>
      </c>
      <c r="CI38" s="177">
        <f>Eylea!BY42</f>
        <v>973.44811540860883</v>
      </c>
      <c r="CN38" s="177">
        <f>Eylea!CD42</f>
        <v>993.63784865989805</v>
      </c>
      <c r="CO38" s="177"/>
      <c r="CP38" s="177"/>
      <c r="CQ38" s="177"/>
      <c r="CR38" s="177"/>
      <c r="CS38" s="177">
        <f>Eylea!CI42</f>
        <v>902.94329638152078</v>
      </c>
      <c r="CT38" s="177"/>
      <c r="CU38" s="177"/>
      <c r="CV38" s="177"/>
      <c r="CW38" s="177"/>
      <c r="CX38" s="177">
        <f>Eylea!CN42</f>
        <v>840.24308486123562</v>
      </c>
      <c r="CY38" s="177"/>
      <c r="CZ38" s="177"/>
      <c r="DA38" s="177"/>
      <c r="DB38" s="177"/>
      <c r="DC38" s="177">
        <f>Eylea!CS42</f>
        <v>766.93405714676385</v>
      </c>
      <c r="DD38" s="177"/>
      <c r="DE38" s="177"/>
      <c r="DF38" s="177"/>
      <c r="DG38" s="177"/>
      <c r="DH38" s="177">
        <f>Eylea!CX42</f>
        <v>680.03746701094826</v>
      </c>
    </row>
    <row r="39" spans="1:112" ht="12.75" customHeight="1">
      <c r="B39" s="193" t="s">
        <v>751</v>
      </c>
      <c r="C39" s="429">
        <v>2.5</v>
      </c>
      <c r="D39" s="429">
        <v>2.4</v>
      </c>
      <c r="E39" s="429">
        <v>2.5</v>
      </c>
      <c r="F39" s="429">
        <v>2.5</v>
      </c>
      <c r="G39" s="177">
        <f>SUM(C39:F39)</f>
        <v>9.9</v>
      </c>
      <c r="H39" s="440"/>
      <c r="I39" s="440"/>
      <c r="J39" s="440"/>
      <c r="K39" s="440"/>
      <c r="L39" s="410">
        <v>9.9</v>
      </c>
      <c r="M39" s="440"/>
      <c r="N39" s="440"/>
      <c r="O39" s="440"/>
      <c r="P39" s="440"/>
      <c r="Q39" s="410">
        <v>9.4</v>
      </c>
      <c r="R39" s="440"/>
      <c r="S39" s="440"/>
      <c r="T39" s="440"/>
      <c r="U39" s="440"/>
      <c r="V39" s="450">
        <v>10.199999999999999</v>
      </c>
      <c r="W39" s="440">
        <f>1.977+0.597</f>
        <v>2.5739999999999998</v>
      </c>
      <c r="X39" s="440">
        <f>6.405+1.977</f>
        <v>8.3819999999999997</v>
      </c>
      <c r="Y39" s="440">
        <f>4.993+1.977</f>
        <v>6.9700000000000006</v>
      </c>
      <c r="Z39" s="432">
        <f>AA39-W39-X39-Y39</f>
        <v>9.974000000000002</v>
      </c>
      <c r="AA39" s="410">
        <v>27.9</v>
      </c>
      <c r="AB39" s="440">
        <f>10.932+0.513+2.361</f>
        <v>13.806000000000001</v>
      </c>
      <c r="AC39" s="440">
        <f>10.813+0.626+2.581</f>
        <v>14.02</v>
      </c>
      <c r="AD39" s="440">
        <f>12.745+0.518+2.845</f>
        <v>16.108000000000001</v>
      </c>
      <c r="AE39" s="440">
        <v>20.745000000000001</v>
      </c>
      <c r="AF39" s="180">
        <f>SUM(AB39:AE39)</f>
        <v>64.679000000000002</v>
      </c>
      <c r="AG39" s="440">
        <v>15.509</v>
      </c>
      <c r="AH39" s="440">
        <v>19.216000000000001</v>
      </c>
      <c r="AI39" s="440">
        <v>23.751000000000001</v>
      </c>
      <c r="AJ39" s="440">
        <v>21.382999999999999</v>
      </c>
      <c r="AK39" s="239">
        <f>SUM(AG39:AJ39)</f>
        <v>79.858999999999995</v>
      </c>
      <c r="AL39" s="440">
        <v>29.117999999999999</v>
      </c>
      <c r="AM39" s="440">
        <v>17.344000000000001</v>
      </c>
      <c r="AN39" s="440">
        <v>10.792</v>
      </c>
      <c r="AO39" s="440">
        <v>10.446999999999999</v>
      </c>
      <c r="AP39" s="239">
        <f>SUM(AL39:AO39)</f>
        <v>67.701000000000008</v>
      </c>
      <c r="AQ39" s="976">
        <f>10.603+0.013+2.098</f>
        <v>12.713999999999999</v>
      </c>
      <c r="AR39" s="976">
        <f>10.593+0.019+2.14</f>
        <v>12.752000000000001</v>
      </c>
      <c r="AS39" s="976">
        <v>17.88</v>
      </c>
      <c r="AT39" s="976">
        <f>AU39-SUM(AQ39:AS39)</f>
        <v>61.353999999999999</v>
      </c>
      <c r="AU39" s="420">
        <f>58.7+46</f>
        <v>104.7</v>
      </c>
      <c r="AV39" s="900">
        <f>($AZ$39/$AU$39)*AQ39</f>
        <v>2.6817359287993359</v>
      </c>
      <c r="AW39" s="900">
        <f t="shared" ref="AW39:AY39" si="81">($AZ$39/$AU$39)*AR39</f>
        <v>2.6897511848394791</v>
      </c>
      <c r="AX39" s="900">
        <f t="shared" si="81"/>
        <v>3.7713888946776883</v>
      </c>
      <c r="AY39" s="900">
        <f t="shared" si="81"/>
        <v>12.941263660182042</v>
      </c>
      <c r="AZ39" s="239">
        <f>Eylea!AP111</f>
        <v>22.084139668498548</v>
      </c>
      <c r="BA39" s="177"/>
      <c r="BB39" s="177"/>
      <c r="BC39" s="177"/>
      <c r="BD39" s="177"/>
      <c r="BE39" s="239">
        <f>Eylea!AU111</f>
        <v>23.982223312096973</v>
      </c>
      <c r="BF39" s="177"/>
      <c r="BG39" s="177"/>
      <c r="BH39" s="177"/>
      <c r="BI39" s="177"/>
      <c r="BJ39" s="239">
        <f>Eylea!AZ111</f>
        <v>24.097315888012538</v>
      </c>
      <c r="BO39" s="239">
        <f>Eylea!BE111</f>
        <v>24.121393470378202</v>
      </c>
      <c r="BT39" s="239">
        <f>Eylea!BJ111</f>
        <v>24.567021972270105</v>
      </c>
      <c r="BY39" s="239">
        <f>Eylea!BO111</f>
        <v>25.162135529865829</v>
      </c>
      <c r="CD39" s="239">
        <f>Eylea!BT111</f>
        <v>25.458339119854571</v>
      </c>
      <c r="CI39" s="239">
        <f>Eylea!BY111</f>
        <v>26.193795007296512</v>
      </c>
      <c r="CN39" s="239">
        <f>Eylea!CD111</f>
        <v>26.914310584689812</v>
      </c>
      <c r="CO39" s="239"/>
      <c r="CP39" s="239"/>
      <c r="CQ39" s="239"/>
      <c r="CR39" s="239"/>
      <c r="CS39" s="239">
        <f>Eylea!CI111</f>
        <v>25.362656433426793</v>
      </c>
      <c r="CT39" s="239"/>
      <c r="CU39" s="239"/>
      <c r="CV39" s="239"/>
      <c r="CW39" s="239"/>
      <c r="CX39" s="239">
        <f>Eylea!CN111</f>
        <v>24.293235469737461</v>
      </c>
      <c r="CY39" s="239"/>
      <c r="CZ39" s="239"/>
      <c r="DA39" s="239"/>
      <c r="DB39" s="239"/>
      <c r="DC39" s="239">
        <f>Eylea!CS111</f>
        <v>22.968924521550367</v>
      </c>
      <c r="DD39" s="239"/>
      <c r="DE39" s="239"/>
      <c r="DF39" s="239"/>
      <c r="DG39" s="239"/>
      <c r="DH39" s="239">
        <f>Eylea!CX111</f>
        <v>21.360519350824255</v>
      </c>
    </row>
    <row r="40" spans="1:112" s="132" customFormat="1" ht="13.5" thickBot="1">
      <c r="B40" s="196" t="s">
        <v>213</v>
      </c>
      <c r="C40" s="447">
        <f>SUM(C36:C39)</f>
        <v>10</v>
      </c>
      <c r="D40" s="447">
        <f>SUM(D36:D39)</f>
        <v>12.8</v>
      </c>
      <c r="E40" s="447">
        <f>SUM(E36:E39)</f>
        <v>32.200000000000003</v>
      </c>
      <c r="F40" s="447">
        <f>SUM(F36:F39)</f>
        <v>12.4</v>
      </c>
      <c r="G40" s="448">
        <f>SUM(G36:G39)</f>
        <v>67.3</v>
      </c>
      <c r="H40" s="449"/>
      <c r="I40" s="449"/>
      <c r="J40" s="449"/>
      <c r="K40" s="449"/>
      <c r="L40" s="448">
        <f>SUM(L36:L39)</f>
        <v>75.400000000000006</v>
      </c>
      <c r="M40" s="449"/>
      <c r="N40" s="449"/>
      <c r="O40" s="449"/>
      <c r="P40" s="449"/>
      <c r="Q40" s="448">
        <f>SUM(Q36:Q39)</f>
        <v>43.1</v>
      </c>
      <c r="R40" s="449"/>
      <c r="S40" s="449"/>
      <c r="T40" s="449"/>
      <c r="U40" s="449"/>
      <c r="V40" s="448">
        <f t="shared" ref="V40:AA40" si="82">SUM(V36:V39)</f>
        <v>70.099999999999994</v>
      </c>
      <c r="W40" s="447">
        <f t="shared" si="82"/>
        <v>14.907</v>
      </c>
      <c r="X40" s="447">
        <f t="shared" si="82"/>
        <v>31.103999999999999</v>
      </c>
      <c r="Y40" s="447">
        <f t="shared" si="82"/>
        <v>88.582999999999998</v>
      </c>
      <c r="Z40" s="447">
        <f t="shared" si="82"/>
        <v>85.706000000000003</v>
      </c>
      <c r="AA40" s="448">
        <f t="shared" si="82"/>
        <v>220.3</v>
      </c>
      <c r="AB40" s="447">
        <f t="shared" ref="AB40:AY40" si="83">SUM(AB36:AB39)</f>
        <v>125.312</v>
      </c>
      <c r="AC40" s="447">
        <f t="shared" si="83"/>
        <v>97.295000000000002</v>
      </c>
      <c r="AD40" s="447">
        <f t="shared" si="83"/>
        <v>135.85300000000001</v>
      </c>
      <c r="AE40" s="447">
        <f t="shared" si="83"/>
        <v>137.095</v>
      </c>
      <c r="AF40" s="448">
        <f t="shared" si="83"/>
        <v>495.55500000000006</v>
      </c>
      <c r="AG40" s="447">
        <f t="shared" si="83"/>
        <v>123.846</v>
      </c>
      <c r="AH40" s="447">
        <f t="shared" si="83"/>
        <v>134.23699999999999</v>
      </c>
      <c r="AI40" s="447">
        <f t="shared" si="83"/>
        <v>157.596</v>
      </c>
      <c r="AJ40" s="447">
        <f t="shared" si="83"/>
        <v>164.809</v>
      </c>
      <c r="AK40" s="448">
        <f t="shared" si="83"/>
        <v>580.48800000000006</v>
      </c>
      <c r="AL40" s="447">
        <f t="shared" si="83"/>
        <v>179.59200000000001</v>
      </c>
      <c r="AM40" s="447">
        <f t="shared" si="83"/>
        <v>191.89599999999999</v>
      </c>
      <c r="AN40" s="447">
        <f t="shared" si="83"/>
        <v>191.298</v>
      </c>
      <c r="AO40" s="447">
        <f t="shared" si="83"/>
        <v>181.48399999999998</v>
      </c>
      <c r="AP40" s="448">
        <f>SUM(AP36:AP39)</f>
        <v>744.27</v>
      </c>
      <c r="AQ40" s="1058">
        <f t="shared" si="83"/>
        <v>193.93899999999999</v>
      </c>
      <c r="AR40" s="1058">
        <f t="shared" si="83"/>
        <v>210.35500000000002</v>
      </c>
      <c r="AS40" s="1058">
        <f t="shared" si="83"/>
        <v>236.625</v>
      </c>
      <c r="AT40" s="1058">
        <f t="shared" si="83"/>
        <v>297.18099999999998</v>
      </c>
      <c r="AU40" s="448">
        <f>SUM(AU36:AU39)</f>
        <v>938.1</v>
      </c>
      <c r="AV40" s="1058">
        <f t="shared" si="83"/>
        <v>191.09677980896251</v>
      </c>
      <c r="AW40" s="1058">
        <f t="shared" si="83"/>
        <v>208.41456946165957</v>
      </c>
      <c r="AX40" s="1058">
        <f t="shared" si="83"/>
        <v>225.30538736523664</v>
      </c>
      <c r="AY40" s="1058">
        <f t="shared" si="83"/>
        <v>258.37346278386303</v>
      </c>
      <c r="AZ40" s="448">
        <f>SUM(AZ36:AZ39)</f>
        <v>883.19019941972169</v>
      </c>
      <c r="BA40" s="247"/>
      <c r="BB40" s="247"/>
      <c r="BC40" s="247"/>
      <c r="BD40" s="247"/>
      <c r="BE40" s="448">
        <f>SUM(BE36:BE39)</f>
        <v>986.82039559141833</v>
      </c>
      <c r="BF40" s="247"/>
      <c r="BG40" s="247"/>
      <c r="BH40" s="247"/>
      <c r="BI40" s="247"/>
      <c r="BJ40" s="448">
        <f>SUM(BJ36:BJ39)</f>
        <v>978.76846736991729</v>
      </c>
      <c r="BK40" s="1059"/>
      <c r="BL40" s="1059"/>
      <c r="BM40" s="1059"/>
      <c r="BN40" s="1059"/>
      <c r="BO40" s="448">
        <f>SUM(BO36:BO39)</f>
        <v>963.76817115402775</v>
      </c>
      <c r="BP40" s="1059"/>
      <c r="BQ40" s="1059"/>
      <c r="BR40" s="1059"/>
      <c r="BS40" s="1059"/>
      <c r="BT40" s="448">
        <f>SUM(BT36:BT39)</f>
        <v>969.36245167322477</v>
      </c>
      <c r="BU40" s="1059"/>
      <c r="BV40" s="1059"/>
      <c r="BW40" s="1059"/>
      <c r="BX40" s="1059"/>
      <c r="BY40" s="448">
        <f>SUM(BY36:BY39)</f>
        <v>986.05719836335334</v>
      </c>
      <c r="BZ40" s="1059"/>
      <c r="CA40" s="1059"/>
      <c r="CB40" s="1059"/>
      <c r="CC40" s="1059"/>
      <c r="CD40" s="448">
        <f>SUM(CD36:CD39)</f>
        <v>985.461194218777</v>
      </c>
      <c r="CE40" s="1059"/>
      <c r="CF40" s="1059"/>
      <c r="CG40" s="1059"/>
      <c r="CH40" s="1059"/>
      <c r="CI40" s="448">
        <f>SUM(CI36:CI39)</f>
        <v>1030.7419104159053</v>
      </c>
      <c r="CJ40" s="1059"/>
      <c r="CK40" s="1059"/>
      <c r="CL40" s="1059"/>
      <c r="CM40" s="1059"/>
      <c r="CN40" s="448">
        <f>SUM(CN36:CN39)</f>
        <v>1051.6521592445877</v>
      </c>
      <c r="CO40" s="448"/>
      <c r="CP40" s="448"/>
      <c r="CQ40" s="448"/>
      <c r="CR40" s="448"/>
      <c r="CS40" s="448">
        <f>SUM(CS36:CS39)</f>
        <v>959.40595281494757</v>
      </c>
      <c r="CT40" s="448"/>
      <c r="CU40" s="448"/>
      <c r="CV40" s="448"/>
      <c r="CW40" s="448"/>
      <c r="CX40" s="448">
        <f>SUM(CX36:CX39)</f>
        <v>895.63632033097315</v>
      </c>
      <c r="CY40" s="448"/>
      <c r="CZ40" s="448"/>
      <c r="DA40" s="448"/>
      <c r="DB40" s="448"/>
      <c r="DC40" s="448">
        <f>SUM(DC36:DC39)</f>
        <v>821.00298166831419</v>
      </c>
      <c r="DD40" s="448"/>
      <c r="DE40" s="448"/>
      <c r="DF40" s="448"/>
      <c r="DG40" s="448"/>
      <c r="DH40" s="448">
        <f>SUM(DH36:DH39)</f>
        <v>732.49798636177252</v>
      </c>
    </row>
    <row r="41" spans="1:112" ht="3.75" customHeight="1">
      <c r="C41" s="432"/>
      <c r="D41" s="432"/>
      <c r="E41" s="432"/>
      <c r="F41" s="432"/>
      <c r="G41" s="177"/>
      <c r="H41" s="432"/>
      <c r="I41" s="432"/>
      <c r="J41" s="432"/>
      <c r="K41" s="432"/>
      <c r="L41" s="177"/>
      <c r="M41" s="432"/>
      <c r="N41" s="432"/>
      <c r="O41" s="432"/>
      <c r="P41" s="432"/>
      <c r="Q41" s="177"/>
      <c r="R41" s="432"/>
      <c r="S41" s="432"/>
      <c r="T41" s="432"/>
      <c r="U41" s="432"/>
      <c r="V41" s="182"/>
      <c r="W41" s="432"/>
      <c r="X41" s="432"/>
      <c r="Y41" s="432"/>
      <c r="Z41" s="432"/>
      <c r="AA41" s="177"/>
      <c r="AB41" s="432"/>
      <c r="AC41" s="432"/>
      <c r="AD41" s="432"/>
      <c r="AE41" s="432"/>
      <c r="AF41" s="177"/>
      <c r="AG41" s="432"/>
      <c r="AH41" s="432"/>
      <c r="AI41" s="432"/>
      <c r="AJ41" s="432"/>
      <c r="AK41" s="177"/>
      <c r="AL41" s="432"/>
      <c r="AM41" s="432"/>
      <c r="AN41" s="432"/>
      <c r="AO41" s="432"/>
      <c r="AP41" s="177"/>
      <c r="AQ41" s="900"/>
      <c r="AR41" s="900"/>
      <c r="AS41" s="900"/>
      <c r="AT41" s="900"/>
      <c r="AU41" s="177"/>
      <c r="AV41" s="900"/>
      <c r="AW41" s="900"/>
      <c r="AX41" s="900"/>
      <c r="AY41" s="900"/>
      <c r="AZ41" s="177"/>
      <c r="BA41" s="177"/>
      <c r="BB41" s="177"/>
      <c r="BC41" s="177"/>
      <c r="BD41" s="177"/>
      <c r="BE41" s="177"/>
      <c r="BF41" s="177"/>
      <c r="BG41" s="177"/>
      <c r="BH41" s="177"/>
      <c r="BI41" s="177"/>
      <c r="BJ41" s="177"/>
      <c r="BO41" s="177"/>
      <c r="BT41" s="177"/>
      <c r="BY41" s="177"/>
      <c r="CD41" s="177"/>
      <c r="CI41" s="177"/>
      <c r="CN41" s="177"/>
      <c r="CO41" s="177"/>
      <c r="CP41" s="177"/>
      <c r="CQ41" s="177"/>
      <c r="CR41" s="177"/>
      <c r="CS41" s="177"/>
      <c r="CT41" s="177"/>
      <c r="CU41" s="177"/>
      <c r="CV41" s="177"/>
      <c r="CW41" s="177"/>
      <c r="CX41" s="177"/>
      <c r="CY41" s="177"/>
      <c r="CZ41" s="177"/>
      <c r="DA41" s="177"/>
      <c r="DB41" s="177"/>
      <c r="DC41" s="177"/>
      <c r="DD41" s="177"/>
      <c r="DE41" s="177"/>
      <c r="DF41" s="177"/>
      <c r="DG41" s="177"/>
      <c r="DH41" s="177"/>
    </row>
    <row r="42" spans="1:112" ht="12.75" customHeight="1">
      <c r="B42" s="243" t="s">
        <v>853</v>
      </c>
      <c r="C42" s="432"/>
      <c r="D42" s="432"/>
      <c r="E42" s="432"/>
      <c r="F42" s="432"/>
      <c r="G42" s="177"/>
      <c r="H42" s="432"/>
      <c r="I42" s="432"/>
      <c r="J42" s="432"/>
      <c r="K42" s="432"/>
      <c r="L42" s="177"/>
      <c r="M42" s="432"/>
      <c r="N42" s="432"/>
      <c r="O42" s="432"/>
      <c r="P42" s="432"/>
      <c r="Q42" s="177"/>
      <c r="R42" s="432"/>
      <c r="S42" s="432"/>
      <c r="T42" s="432"/>
      <c r="U42" s="432"/>
      <c r="V42" s="182"/>
      <c r="W42" s="432"/>
      <c r="X42" s="432"/>
      <c r="Y42" s="432"/>
      <c r="Z42" s="432"/>
      <c r="AA42" s="177"/>
      <c r="AB42" s="432"/>
      <c r="AC42" s="432"/>
      <c r="AD42" s="432"/>
      <c r="AE42" s="432"/>
      <c r="AF42" s="177"/>
      <c r="AG42" s="432"/>
      <c r="AH42" s="432"/>
      <c r="AI42" s="432"/>
      <c r="AJ42" s="432"/>
      <c r="AK42" s="177"/>
      <c r="AL42" s="432"/>
      <c r="AM42" s="432"/>
      <c r="AN42" s="432"/>
      <c r="AO42" s="432"/>
      <c r="AP42" s="177"/>
      <c r="AQ42" s="900"/>
      <c r="AR42" s="1061"/>
      <c r="AS42" s="900"/>
      <c r="AT42" s="900"/>
      <c r="AU42" s="177"/>
      <c r="AV42" s="900"/>
      <c r="AW42" s="1061"/>
      <c r="AX42" s="900"/>
      <c r="AY42" s="900"/>
      <c r="AZ42" s="177"/>
      <c r="BA42" s="177"/>
      <c r="BB42" s="177"/>
      <c r="BC42" s="177"/>
      <c r="BD42" s="177"/>
      <c r="BE42" s="177"/>
      <c r="BF42" s="177"/>
      <c r="BG42" s="177"/>
      <c r="BH42" s="177"/>
      <c r="BI42" s="177"/>
      <c r="BJ42" s="177"/>
      <c r="BO42" s="177"/>
      <c r="BT42" s="177"/>
      <c r="BY42" s="177"/>
      <c r="CD42" s="177"/>
      <c r="CI42" s="177"/>
      <c r="CN42" s="177"/>
      <c r="CO42" s="177"/>
      <c r="CP42" s="177"/>
      <c r="CQ42" s="177"/>
      <c r="CR42" s="177"/>
      <c r="CS42" s="177"/>
      <c r="CT42" s="177"/>
      <c r="CU42" s="177"/>
      <c r="CV42" s="177"/>
      <c r="CW42" s="177"/>
      <c r="CX42" s="177"/>
      <c r="CY42" s="177"/>
      <c r="CZ42" s="177"/>
      <c r="DA42" s="177"/>
      <c r="DB42" s="177"/>
      <c r="DC42" s="177"/>
      <c r="DD42" s="177"/>
      <c r="DE42" s="177"/>
      <c r="DF42" s="177"/>
      <c r="DG42" s="177"/>
      <c r="DH42" s="177"/>
    </row>
    <row r="43" spans="1:112" ht="12.75" customHeight="1">
      <c r="B43" s="1057" t="s">
        <v>208</v>
      </c>
      <c r="C43" s="432"/>
      <c r="D43" s="432"/>
      <c r="E43" s="432"/>
      <c r="F43" s="432"/>
      <c r="G43" s="177"/>
      <c r="H43" s="432"/>
      <c r="I43" s="432"/>
      <c r="J43" s="432"/>
      <c r="K43" s="432"/>
      <c r="L43" s="177"/>
      <c r="M43" s="432"/>
      <c r="N43" s="432"/>
      <c r="O43" s="432"/>
      <c r="P43" s="432"/>
      <c r="Q43" s="177"/>
      <c r="R43" s="432"/>
      <c r="S43" s="432"/>
      <c r="T43" s="432"/>
      <c r="U43" s="432"/>
      <c r="V43" s="182"/>
      <c r="W43" s="432"/>
      <c r="X43" s="432"/>
      <c r="Y43" s="432"/>
      <c r="Z43" s="432"/>
      <c r="AA43" s="177"/>
      <c r="AB43" s="432"/>
      <c r="AC43" s="432"/>
      <c r="AD43" s="432"/>
      <c r="AE43" s="432"/>
      <c r="AF43" s="177"/>
      <c r="AG43" s="432"/>
      <c r="AH43" s="432"/>
      <c r="AI43" s="432"/>
      <c r="AJ43" s="432"/>
      <c r="AK43" s="177"/>
      <c r="AL43" s="432"/>
      <c r="AM43" s="432"/>
      <c r="AN43" s="432"/>
      <c r="AO43" s="432"/>
      <c r="AP43" s="177"/>
      <c r="AQ43" s="976">
        <v>22.1</v>
      </c>
      <c r="AR43" s="976">
        <v>31.4</v>
      </c>
      <c r="AS43" s="976">
        <v>28.536999999999999</v>
      </c>
      <c r="AT43" s="976">
        <f>AU43-SUM(AQ43:AS43)</f>
        <v>33.062999999999988</v>
      </c>
      <c r="AU43" s="410">
        <v>115.1</v>
      </c>
      <c r="AV43" s="900">
        <f>'Project Costs'!J16</f>
        <v>30.357142857142858</v>
      </c>
      <c r="AW43" s="900">
        <f>'Project Costs'!K16</f>
        <v>31.875000000000004</v>
      </c>
      <c r="AX43" s="900">
        <f>'Project Costs'!L16</f>
        <v>33.468750000000007</v>
      </c>
      <c r="AY43" s="900">
        <f>'Project Costs'!M16</f>
        <v>34.584821428571445</v>
      </c>
      <c r="AZ43" s="180">
        <f>'Project Costs'!N16</f>
        <v>130.28571428571431</v>
      </c>
      <c r="BA43" s="180"/>
      <c r="BB43" s="180"/>
      <c r="BC43" s="180"/>
      <c r="BD43" s="180"/>
      <c r="BE43" s="180">
        <f>'Project Costs'!O16</f>
        <v>117.25714285714287</v>
      </c>
      <c r="BF43" s="180"/>
      <c r="BG43" s="180"/>
      <c r="BH43" s="180"/>
      <c r="BI43" s="180"/>
      <c r="BJ43" s="180">
        <f>'Project Costs'!P16</f>
        <v>82.08</v>
      </c>
      <c r="BK43" s="155"/>
      <c r="BL43" s="155"/>
      <c r="BM43" s="155"/>
      <c r="BN43" s="155"/>
      <c r="BO43" s="180">
        <f>'Project Costs'!Q16</f>
        <v>41.04</v>
      </c>
      <c r="BP43" s="155"/>
      <c r="BQ43" s="155"/>
      <c r="BR43" s="155"/>
      <c r="BS43" s="155"/>
      <c r="BT43" s="180">
        <f>'Project Costs'!R16</f>
        <v>41.04</v>
      </c>
      <c r="BU43" s="155"/>
      <c r="BV43" s="155"/>
      <c r="BW43" s="155"/>
      <c r="BX43" s="155"/>
      <c r="BY43" s="180">
        <f>'Project Costs'!S16</f>
        <v>41.04</v>
      </c>
      <c r="BZ43" s="155"/>
      <c r="CA43" s="155"/>
      <c r="CB43" s="155"/>
      <c r="CC43" s="155"/>
      <c r="CD43" s="180">
        <f>'Project Costs'!T16</f>
        <v>41.04</v>
      </c>
      <c r="CE43" s="155">
        <f t="shared" ref="CE43:DG44" si="84">BZ43</f>
        <v>0</v>
      </c>
      <c r="CF43" s="155">
        <f t="shared" si="84"/>
        <v>0</v>
      </c>
      <c r="CG43" s="155">
        <f t="shared" si="84"/>
        <v>0</v>
      </c>
      <c r="CH43" s="155">
        <f t="shared" si="84"/>
        <v>0</v>
      </c>
      <c r="CI43" s="180">
        <f>'Project Costs'!U16</f>
        <v>41.04</v>
      </c>
      <c r="CJ43" s="155">
        <f t="shared" si="84"/>
        <v>0</v>
      </c>
      <c r="CK43" s="155">
        <f t="shared" si="84"/>
        <v>0</v>
      </c>
      <c r="CL43" s="155">
        <f t="shared" si="84"/>
        <v>0</v>
      </c>
      <c r="CM43" s="155">
        <f t="shared" si="84"/>
        <v>0</v>
      </c>
      <c r="CN43" s="180">
        <f>'Project Costs'!V16</f>
        <v>41.04</v>
      </c>
      <c r="CO43" s="180">
        <f t="shared" si="84"/>
        <v>0</v>
      </c>
      <c r="CP43" s="180">
        <f t="shared" si="84"/>
        <v>0</v>
      </c>
      <c r="CQ43" s="180">
        <f t="shared" si="84"/>
        <v>0</v>
      </c>
      <c r="CR43" s="180">
        <f t="shared" si="84"/>
        <v>0</v>
      </c>
      <c r="CS43" s="180">
        <f>'Project Costs'!W16</f>
        <v>41.04</v>
      </c>
      <c r="CT43" s="180">
        <f t="shared" si="84"/>
        <v>0</v>
      </c>
      <c r="CU43" s="180">
        <f t="shared" si="84"/>
        <v>0</v>
      </c>
      <c r="CV43" s="180">
        <f t="shared" si="84"/>
        <v>0</v>
      </c>
      <c r="CW43" s="180">
        <f t="shared" si="84"/>
        <v>0</v>
      </c>
      <c r="CX43" s="180">
        <f>'Project Costs'!X16</f>
        <v>20.52</v>
      </c>
      <c r="CY43" s="180">
        <f t="shared" si="84"/>
        <v>0</v>
      </c>
      <c r="CZ43" s="180">
        <f t="shared" si="84"/>
        <v>0</v>
      </c>
      <c r="DA43" s="180">
        <f t="shared" si="84"/>
        <v>0</v>
      </c>
      <c r="DB43" s="180">
        <f t="shared" si="84"/>
        <v>0</v>
      </c>
      <c r="DC43" s="180">
        <f>'Project Costs'!Y16</f>
        <v>10.26</v>
      </c>
      <c r="DD43" s="180">
        <f t="shared" si="84"/>
        <v>0</v>
      </c>
      <c r="DE43" s="180">
        <f t="shared" si="84"/>
        <v>0</v>
      </c>
      <c r="DF43" s="180">
        <f t="shared" si="84"/>
        <v>0</v>
      </c>
      <c r="DG43" s="180">
        <f t="shared" si="84"/>
        <v>0</v>
      </c>
      <c r="DH43" s="180">
        <f>'Project Costs'!Z16</f>
        <v>5.13</v>
      </c>
    </row>
    <row r="44" spans="1:112" ht="12.75" customHeight="1">
      <c r="B44" s="1057" t="s">
        <v>854</v>
      </c>
      <c r="C44" s="432"/>
      <c r="D44" s="432"/>
      <c r="E44" s="432"/>
      <c r="F44" s="432"/>
      <c r="G44" s="177"/>
      <c r="H44" s="432"/>
      <c r="I44" s="432"/>
      <c r="J44" s="432"/>
      <c r="K44" s="432"/>
      <c r="L44" s="177"/>
      <c r="M44" s="432"/>
      <c r="N44" s="432"/>
      <c r="O44" s="432"/>
      <c r="P44" s="432"/>
      <c r="Q44" s="177"/>
      <c r="R44" s="432"/>
      <c r="S44" s="432"/>
      <c r="T44" s="432"/>
      <c r="U44" s="432"/>
      <c r="V44" s="182"/>
      <c r="W44" s="432"/>
      <c r="X44" s="432"/>
      <c r="Y44" s="432"/>
      <c r="Z44" s="432"/>
      <c r="AA44" s="177"/>
      <c r="AB44" s="432"/>
      <c r="AC44" s="432"/>
      <c r="AD44" s="432"/>
      <c r="AE44" s="432"/>
      <c r="AF44" s="177"/>
      <c r="AG44" s="432"/>
      <c r="AH44" s="432"/>
      <c r="AI44" s="432"/>
      <c r="AJ44" s="432"/>
      <c r="AK44" s="177"/>
      <c r="AL44" s="432"/>
      <c r="AM44" s="432"/>
      <c r="AN44" s="432"/>
      <c r="AO44" s="432"/>
      <c r="AP44" s="177"/>
      <c r="AQ44" s="976">
        <v>0</v>
      </c>
      <c r="AR44" s="976">
        <v>25</v>
      </c>
      <c r="AS44" s="976">
        <v>0</v>
      </c>
      <c r="AT44" s="976">
        <f>AU44-SUM(AQ44:AS44)</f>
        <v>35</v>
      </c>
      <c r="AU44" s="410">
        <v>60</v>
      </c>
      <c r="AV44" s="900">
        <v>0</v>
      </c>
      <c r="AW44" s="900">
        <v>15</v>
      </c>
      <c r="AX44" s="900">
        <v>15</v>
      </c>
      <c r="AY44" s="900">
        <f>AZ44-SUM(AV44:AX44)</f>
        <v>57</v>
      </c>
      <c r="AZ44" s="180">
        <f>AU44*1.45</f>
        <v>87</v>
      </c>
      <c r="BA44" s="180"/>
      <c r="BB44" s="180"/>
      <c r="BC44" s="180"/>
      <c r="BD44" s="180"/>
      <c r="BE44" s="180">
        <f>AZ44*1.2</f>
        <v>104.39999999999999</v>
      </c>
      <c r="BF44" s="180"/>
      <c r="BG44" s="180"/>
      <c r="BH44" s="180"/>
      <c r="BI44" s="180"/>
      <c r="BJ44" s="180">
        <f>BE44*1.12</f>
        <v>116.928</v>
      </c>
      <c r="BK44" s="155"/>
      <c r="BL44" s="155"/>
      <c r="BM44" s="155"/>
      <c r="BN44" s="155"/>
      <c r="BO44" s="420">
        <v>0</v>
      </c>
      <c r="BP44" s="155"/>
      <c r="BQ44" s="155"/>
      <c r="BR44" s="155"/>
      <c r="BS44" s="155"/>
      <c r="BT44" s="180">
        <f>BO44</f>
        <v>0</v>
      </c>
      <c r="BU44" s="155"/>
      <c r="BV44" s="155"/>
      <c r="BW44" s="155"/>
      <c r="BX44" s="155"/>
      <c r="BY44" s="420">
        <f t="shared" ref="BY44:CD44" si="85">BT44</f>
        <v>0</v>
      </c>
      <c r="BZ44" s="155">
        <f t="shared" si="85"/>
        <v>0</v>
      </c>
      <c r="CA44" s="155">
        <f t="shared" si="85"/>
        <v>0</v>
      </c>
      <c r="CB44" s="155">
        <f t="shared" si="85"/>
        <v>0</v>
      </c>
      <c r="CC44" s="155">
        <f t="shared" si="85"/>
        <v>0</v>
      </c>
      <c r="CD44" s="180">
        <f t="shared" si="85"/>
        <v>0</v>
      </c>
      <c r="CE44" s="155">
        <f t="shared" si="84"/>
        <v>0</v>
      </c>
      <c r="CF44" s="155">
        <f t="shared" si="84"/>
        <v>0</v>
      </c>
      <c r="CG44" s="155">
        <f t="shared" si="84"/>
        <v>0</v>
      </c>
      <c r="CH44" s="155">
        <f t="shared" si="84"/>
        <v>0</v>
      </c>
      <c r="CI44" s="180">
        <f t="shared" ref="CI44" si="86">CD44</f>
        <v>0</v>
      </c>
      <c r="CJ44" s="155">
        <f t="shared" si="84"/>
        <v>0</v>
      </c>
      <c r="CK44" s="155">
        <f t="shared" si="84"/>
        <v>0</v>
      </c>
      <c r="CL44" s="155">
        <f t="shared" si="84"/>
        <v>0</v>
      </c>
      <c r="CM44" s="155">
        <f t="shared" si="84"/>
        <v>0</v>
      </c>
      <c r="CN44" s="180">
        <f t="shared" ref="CN44" si="87">CI44</f>
        <v>0</v>
      </c>
      <c r="CO44" s="180">
        <f t="shared" si="84"/>
        <v>0</v>
      </c>
      <c r="CP44" s="180">
        <f t="shared" si="84"/>
        <v>0</v>
      </c>
      <c r="CQ44" s="180">
        <f t="shared" si="84"/>
        <v>0</v>
      </c>
      <c r="CR44" s="180">
        <f t="shared" si="84"/>
        <v>0</v>
      </c>
      <c r="CS44" s="180">
        <f t="shared" ref="CS44" si="88">CN44</f>
        <v>0</v>
      </c>
      <c r="CT44" s="180">
        <f t="shared" si="84"/>
        <v>0</v>
      </c>
      <c r="CU44" s="180">
        <f t="shared" si="84"/>
        <v>0</v>
      </c>
      <c r="CV44" s="180">
        <f t="shared" si="84"/>
        <v>0</v>
      </c>
      <c r="CW44" s="180">
        <f t="shared" si="84"/>
        <v>0</v>
      </c>
      <c r="CX44" s="180">
        <f t="shared" ref="CX44" si="89">CS44</f>
        <v>0</v>
      </c>
      <c r="CY44" s="180">
        <f t="shared" si="84"/>
        <v>0</v>
      </c>
      <c r="CZ44" s="180">
        <f t="shared" si="84"/>
        <v>0</v>
      </c>
      <c r="DA44" s="180">
        <f t="shared" si="84"/>
        <v>0</v>
      </c>
      <c r="DB44" s="180">
        <f t="shared" si="84"/>
        <v>0</v>
      </c>
      <c r="DC44" s="180">
        <f t="shared" ref="DC44" si="90">CX44</f>
        <v>0</v>
      </c>
      <c r="DD44" s="180">
        <f t="shared" si="84"/>
        <v>0</v>
      </c>
      <c r="DE44" s="180">
        <f t="shared" si="84"/>
        <v>0</v>
      </c>
      <c r="DF44" s="180">
        <f t="shared" si="84"/>
        <v>0</v>
      </c>
      <c r="DG44" s="180">
        <f t="shared" si="84"/>
        <v>0</v>
      </c>
      <c r="DH44" s="180">
        <f t="shared" ref="DH44" si="91">DC44</f>
        <v>0</v>
      </c>
    </row>
    <row r="45" spans="1:112" ht="12.75" customHeight="1">
      <c r="B45" s="1057" t="s">
        <v>751</v>
      </c>
      <c r="C45" s="432"/>
      <c r="D45" s="432"/>
      <c r="E45" s="432"/>
      <c r="F45" s="432"/>
      <c r="G45" s="177"/>
      <c r="H45" s="432"/>
      <c r="I45" s="432"/>
      <c r="J45" s="432"/>
      <c r="K45" s="432"/>
      <c r="L45" s="177"/>
      <c r="M45" s="432"/>
      <c r="N45" s="432"/>
      <c r="O45" s="432"/>
      <c r="P45" s="432"/>
      <c r="Q45" s="177"/>
      <c r="R45" s="432"/>
      <c r="S45" s="432"/>
      <c r="T45" s="432"/>
      <c r="U45" s="432"/>
      <c r="V45" s="182"/>
      <c r="W45" s="432"/>
      <c r="X45" s="432"/>
      <c r="Y45" s="432"/>
      <c r="Z45" s="432"/>
      <c r="AA45" s="177"/>
      <c r="AB45" s="432"/>
      <c r="AC45" s="432"/>
      <c r="AD45" s="432"/>
      <c r="AE45" s="432"/>
      <c r="AF45" s="177"/>
      <c r="AG45" s="432"/>
      <c r="AH45" s="432"/>
      <c r="AI45" s="432"/>
      <c r="AJ45" s="432"/>
      <c r="AK45" s="177"/>
      <c r="AL45" s="432"/>
      <c r="AM45" s="432"/>
      <c r="AN45" s="432"/>
      <c r="AO45" s="432"/>
      <c r="AP45" s="177"/>
      <c r="AQ45" s="976">
        <v>11</v>
      </c>
      <c r="AR45" s="976">
        <v>11.3</v>
      </c>
      <c r="AS45" s="976">
        <v>11.7</v>
      </c>
      <c r="AT45" s="976">
        <f>AU45-SUM(AQ45:AS45)</f>
        <v>12.399999999999999</v>
      </c>
      <c r="AU45" s="410">
        <v>46.4</v>
      </c>
      <c r="AV45" s="900">
        <v>10</v>
      </c>
      <c r="AW45" s="900">
        <f>AV45*1.1</f>
        <v>11</v>
      </c>
      <c r="AX45" s="900">
        <f>AW45*1.1</f>
        <v>12.100000000000001</v>
      </c>
      <c r="AY45" s="900">
        <f>AZ45-SUM(AV45:AX45)</f>
        <v>13.299999999999997</v>
      </c>
      <c r="AZ45" s="177">
        <f>AU45</f>
        <v>46.4</v>
      </c>
      <c r="BA45" s="177"/>
      <c r="BB45" s="177"/>
      <c r="BC45" s="177"/>
      <c r="BD45" s="177"/>
      <c r="BE45" s="177">
        <f>AZ45</f>
        <v>46.4</v>
      </c>
      <c r="BF45" s="177"/>
      <c r="BG45" s="177"/>
      <c r="BH45" s="177"/>
      <c r="BI45" s="177"/>
      <c r="BJ45" s="177">
        <f>BE45</f>
        <v>46.4</v>
      </c>
      <c r="BO45" s="177">
        <f>BJ45</f>
        <v>46.4</v>
      </c>
      <c r="BT45" s="177">
        <f>BO45</f>
        <v>46.4</v>
      </c>
      <c r="BY45" s="177">
        <f>BT45</f>
        <v>46.4</v>
      </c>
      <c r="CD45" s="177">
        <f>BY45</f>
        <v>46.4</v>
      </c>
      <c r="CI45" s="177">
        <f>CD45</f>
        <v>46.4</v>
      </c>
      <c r="CN45" s="177">
        <f>CI45</f>
        <v>46.4</v>
      </c>
      <c r="CO45" s="177"/>
      <c r="CP45" s="177"/>
      <c r="CQ45" s="177"/>
      <c r="CR45" s="177"/>
      <c r="CS45" s="177">
        <f>CN45</f>
        <v>46.4</v>
      </c>
      <c r="CT45" s="177"/>
      <c r="CU45" s="177"/>
      <c r="CV45" s="177"/>
      <c r="CW45" s="177"/>
      <c r="CX45" s="177">
        <f>CS45</f>
        <v>46.4</v>
      </c>
      <c r="CY45" s="177"/>
      <c r="CZ45" s="177"/>
      <c r="DA45" s="177"/>
      <c r="DB45" s="177"/>
      <c r="DC45" s="177">
        <f>CX45</f>
        <v>46.4</v>
      </c>
      <c r="DD45" s="177"/>
      <c r="DE45" s="177"/>
      <c r="DF45" s="177"/>
      <c r="DG45" s="177"/>
      <c r="DH45" s="177">
        <f>DC45</f>
        <v>46.4</v>
      </c>
    </row>
    <row r="46" spans="1:112" ht="12.75" customHeight="1" thickBot="1">
      <c r="B46" s="1060" t="s">
        <v>855</v>
      </c>
      <c r="C46" s="449"/>
      <c r="D46" s="449"/>
      <c r="E46" s="449"/>
      <c r="F46" s="449"/>
      <c r="G46" s="247"/>
      <c r="H46" s="449"/>
      <c r="I46" s="449"/>
      <c r="J46" s="449"/>
      <c r="K46" s="449"/>
      <c r="L46" s="247"/>
      <c r="M46" s="449"/>
      <c r="N46" s="449"/>
      <c r="O46" s="449"/>
      <c r="P46" s="449"/>
      <c r="Q46" s="247"/>
      <c r="R46" s="449"/>
      <c r="S46" s="449"/>
      <c r="T46" s="449"/>
      <c r="U46" s="449"/>
      <c r="V46" s="448"/>
      <c r="W46" s="449"/>
      <c r="X46" s="449"/>
      <c r="Y46" s="449"/>
      <c r="Z46" s="449"/>
      <c r="AA46" s="247"/>
      <c r="AB46" s="449"/>
      <c r="AC46" s="449"/>
      <c r="AD46" s="449"/>
      <c r="AE46" s="449"/>
      <c r="AF46" s="247"/>
      <c r="AG46" s="449"/>
      <c r="AH46" s="449"/>
      <c r="AI46" s="449"/>
      <c r="AJ46" s="449"/>
      <c r="AK46" s="247"/>
      <c r="AL46" s="449"/>
      <c r="AM46" s="449"/>
      <c r="AN46" s="449"/>
      <c r="AO46" s="449"/>
      <c r="AP46" s="247"/>
      <c r="AQ46" s="1058">
        <f>SUM(AQ43:AQ45)</f>
        <v>33.1</v>
      </c>
      <c r="AR46" s="1058">
        <f t="shared" ref="AR46:DC46" si="92">SUM(AR43:AR45)</f>
        <v>67.7</v>
      </c>
      <c r="AS46" s="1058">
        <f t="shared" si="92"/>
        <v>40.236999999999995</v>
      </c>
      <c r="AT46" s="1058">
        <f t="shared" si="92"/>
        <v>80.462999999999994</v>
      </c>
      <c r="AU46" s="247">
        <f t="shared" si="92"/>
        <v>221.5</v>
      </c>
      <c r="AV46" s="1058">
        <f t="shared" si="92"/>
        <v>40.357142857142861</v>
      </c>
      <c r="AW46" s="1058">
        <f t="shared" si="92"/>
        <v>57.875</v>
      </c>
      <c r="AX46" s="1058">
        <f t="shared" si="92"/>
        <v>60.568750000000009</v>
      </c>
      <c r="AY46" s="1058">
        <f t="shared" si="92"/>
        <v>104.88482142857144</v>
      </c>
      <c r="AZ46" s="247">
        <f t="shared" si="92"/>
        <v>263.68571428571431</v>
      </c>
      <c r="BA46" s="247">
        <f t="shared" si="92"/>
        <v>0</v>
      </c>
      <c r="BB46" s="247">
        <f t="shared" si="92"/>
        <v>0</v>
      </c>
      <c r="BC46" s="247">
        <f t="shared" si="92"/>
        <v>0</v>
      </c>
      <c r="BD46" s="247">
        <f t="shared" si="92"/>
        <v>0</v>
      </c>
      <c r="BE46" s="247">
        <f t="shared" si="92"/>
        <v>268.05714285714282</v>
      </c>
      <c r="BF46" s="247">
        <f t="shared" si="92"/>
        <v>0</v>
      </c>
      <c r="BG46" s="247">
        <f t="shared" si="92"/>
        <v>0</v>
      </c>
      <c r="BH46" s="247">
        <f t="shared" si="92"/>
        <v>0</v>
      </c>
      <c r="BI46" s="247">
        <f t="shared" si="92"/>
        <v>0</v>
      </c>
      <c r="BJ46" s="247">
        <f t="shared" si="92"/>
        <v>245.40799999999999</v>
      </c>
      <c r="BK46" s="240">
        <f t="shared" si="92"/>
        <v>0</v>
      </c>
      <c r="BL46" s="240">
        <f t="shared" si="92"/>
        <v>0</v>
      </c>
      <c r="BM46" s="240">
        <f t="shared" si="92"/>
        <v>0</v>
      </c>
      <c r="BN46" s="240">
        <f t="shared" si="92"/>
        <v>0</v>
      </c>
      <c r="BO46" s="247">
        <f t="shared" si="92"/>
        <v>87.44</v>
      </c>
      <c r="BP46" s="240">
        <f t="shared" si="92"/>
        <v>0</v>
      </c>
      <c r="BQ46" s="240">
        <f t="shared" si="92"/>
        <v>0</v>
      </c>
      <c r="BR46" s="240">
        <f t="shared" si="92"/>
        <v>0</v>
      </c>
      <c r="BS46" s="240">
        <f t="shared" si="92"/>
        <v>0</v>
      </c>
      <c r="BT46" s="247">
        <f t="shared" si="92"/>
        <v>87.44</v>
      </c>
      <c r="BU46" s="240">
        <f t="shared" si="92"/>
        <v>0</v>
      </c>
      <c r="BV46" s="240">
        <f t="shared" si="92"/>
        <v>0</v>
      </c>
      <c r="BW46" s="240">
        <f t="shared" si="92"/>
        <v>0</v>
      </c>
      <c r="BX46" s="240">
        <f t="shared" si="92"/>
        <v>0</v>
      </c>
      <c r="BY46" s="247">
        <f t="shared" si="92"/>
        <v>87.44</v>
      </c>
      <c r="BZ46" s="240">
        <f t="shared" si="92"/>
        <v>0</v>
      </c>
      <c r="CA46" s="240">
        <f t="shared" si="92"/>
        <v>0</v>
      </c>
      <c r="CB46" s="240">
        <f t="shared" si="92"/>
        <v>0</v>
      </c>
      <c r="CC46" s="240">
        <f t="shared" si="92"/>
        <v>0</v>
      </c>
      <c r="CD46" s="247">
        <f t="shared" si="92"/>
        <v>87.44</v>
      </c>
      <c r="CE46" s="240">
        <f t="shared" si="92"/>
        <v>0</v>
      </c>
      <c r="CF46" s="240">
        <f t="shared" si="92"/>
        <v>0</v>
      </c>
      <c r="CG46" s="240">
        <f t="shared" si="92"/>
        <v>0</v>
      </c>
      <c r="CH46" s="240">
        <f t="shared" si="92"/>
        <v>0</v>
      </c>
      <c r="CI46" s="247">
        <f t="shared" si="92"/>
        <v>87.44</v>
      </c>
      <c r="CJ46" s="240">
        <f t="shared" si="92"/>
        <v>0</v>
      </c>
      <c r="CK46" s="240">
        <f t="shared" si="92"/>
        <v>0</v>
      </c>
      <c r="CL46" s="240">
        <f t="shared" si="92"/>
        <v>0</v>
      </c>
      <c r="CM46" s="240">
        <f t="shared" si="92"/>
        <v>0</v>
      </c>
      <c r="CN46" s="247">
        <f t="shared" si="92"/>
        <v>87.44</v>
      </c>
      <c r="CO46" s="247">
        <f t="shared" si="92"/>
        <v>0</v>
      </c>
      <c r="CP46" s="247">
        <f t="shared" si="92"/>
        <v>0</v>
      </c>
      <c r="CQ46" s="247">
        <f t="shared" si="92"/>
        <v>0</v>
      </c>
      <c r="CR46" s="247">
        <f t="shared" si="92"/>
        <v>0</v>
      </c>
      <c r="CS46" s="247">
        <f t="shared" si="92"/>
        <v>87.44</v>
      </c>
      <c r="CT46" s="247">
        <f t="shared" si="92"/>
        <v>0</v>
      </c>
      <c r="CU46" s="247">
        <f t="shared" si="92"/>
        <v>0</v>
      </c>
      <c r="CV46" s="247">
        <f t="shared" si="92"/>
        <v>0</v>
      </c>
      <c r="CW46" s="247">
        <f t="shared" si="92"/>
        <v>0</v>
      </c>
      <c r="CX46" s="247">
        <f t="shared" si="92"/>
        <v>66.92</v>
      </c>
      <c r="CY46" s="247">
        <f t="shared" si="92"/>
        <v>0</v>
      </c>
      <c r="CZ46" s="247">
        <f t="shared" si="92"/>
        <v>0</v>
      </c>
      <c r="DA46" s="247">
        <f t="shared" si="92"/>
        <v>0</v>
      </c>
      <c r="DB46" s="247">
        <f t="shared" si="92"/>
        <v>0</v>
      </c>
      <c r="DC46" s="247">
        <f t="shared" si="92"/>
        <v>56.66</v>
      </c>
      <c r="DD46" s="247">
        <f t="shared" ref="DD46:DH46" si="93">SUM(DD43:DD45)</f>
        <v>0</v>
      </c>
      <c r="DE46" s="247">
        <f t="shared" si="93"/>
        <v>0</v>
      </c>
      <c r="DF46" s="247">
        <f t="shared" si="93"/>
        <v>0</v>
      </c>
      <c r="DG46" s="247">
        <f t="shared" si="93"/>
        <v>0</v>
      </c>
      <c r="DH46" s="247">
        <f t="shared" si="93"/>
        <v>51.53</v>
      </c>
    </row>
    <row r="47" spans="1:112" ht="3.75" customHeight="1" thickBot="1">
      <c r="C47" s="432"/>
      <c r="D47" s="432"/>
      <c r="E47" s="432"/>
      <c r="F47" s="432"/>
      <c r="G47" s="177"/>
      <c r="H47" s="432"/>
      <c r="I47" s="432"/>
      <c r="J47" s="432"/>
      <c r="K47" s="432"/>
      <c r="L47" s="177"/>
      <c r="M47" s="432"/>
      <c r="N47" s="432"/>
      <c r="O47" s="432"/>
      <c r="P47" s="432"/>
      <c r="Q47" s="177"/>
      <c r="R47" s="432"/>
      <c r="S47" s="432"/>
      <c r="T47" s="432"/>
      <c r="U47" s="432"/>
      <c r="V47" s="182"/>
      <c r="W47" s="432"/>
      <c r="X47" s="432"/>
      <c r="Y47" s="432"/>
      <c r="Z47" s="432"/>
      <c r="AA47" s="177"/>
      <c r="AB47" s="432"/>
      <c r="AC47" s="432"/>
      <c r="AD47" s="432"/>
      <c r="AE47" s="432"/>
      <c r="AF47" s="177"/>
      <c r="AG47" s="432"/>
      <c r="AH47" s="432"/>
      <c r="AI47" s="432"/>
      <c r="AJ47" s="432"/>
      <c r="AK47" s="177"/>
      <c r="AL47" s="432"/>
      <c r="AM47" s="432"/>
      <c r="AN47" s="432"/>
      <c r="AO47" s="432"/>
      <c r="AP47" s="177"/>
      <c r="AQ47" s="900"/>
      <c r="AR47" s="900"/>
      <c r="AS47" s="900"/>
      <c r="AT47" s="900"/>
      <c r="AU47" s="177"/>
      <c r="AV47" s="900"/>
      <c r="AW47" s="900"/>
      <c r="AX47" s="900"/>
      <c r="AY47" s="900"/>
      <c r="AZ47" s="177"/>
      <c r="BA47" s="177"/>
      <c r="BB47" s="177"/>
      <c r="BC47" s="177"/>
      <c r="BD47" s="177"/>
      <c r="BE47" s="177"/>
      <c r="BF47" s="177"/>
      <c r="BG47" s="177"/>
      <c r="BH47" s="177"/>
      <c r="BI47" s="177"/>
      <c r="BJ47" s="177"/>
      <c r="BO47" s="177"/>
      <c r="BT47" s="177"/>
      <c r="BY47" s="177"/>
      <c r="CD47" s="177"/>
      <c r="CI47" s="177"/>
      <c r="CN47" s="177"/>
      <c r="CO47" s="177"/>
      <c r="CP47" s="177"/>
      <c r="CQ47" s="177"/>
      <c r="CR47" s="177"/>
      <c r="CS47" s="177"/>
      <c r="CT47" s="177"/>
      <c r="CU47" s="177"/>
      <c r="CV47" s="177"/>
      <c r="CW47" s="177"/>
      <c r="CX47" s="177"/>
      <c r="CY47" s="177"/>
      <c r="CZ47" s="177"/>
      <c r="DA47" s="177"/>
      <c r="DB47" s="177"/>
      <c r="DC47" s="177"/>
      <c r="DD47" s="177"/>
      <c r="DE47" s="177"/>
      <c r="DF47" s="177"/>
      <c r="DG47" s="177"/>
      <c r="DH47" s="177"/>
    </row>
    <row r="48" spans="1:112" s="132" customFormat="1" ht="13.5" thickBot="1">
      <c r="B48" s="197" t="s">
        <v>214</v>
      </c>
      <c r="C48" s="451">
        <f>C40+C33</f>
        <v>59.599999999999994</v>
      </c>
      <c r="D48" s="451">
        <f>D40+D33</f>
        <v>73.5</v>
      </c>
      <c r="E48" s="451">
        <f>E40+E33</f>
        <v>100.7</v>
      </c>
      <c r="F48" s="451">
        <f>F40+F33</f>
        <v>80.800000000000011</v>
      </c>
      <c r="G48" s="452">
        <f>G40+G33</f>
        <v>314.5</v>
      </c>
      <c r="H48" s="453"/>
      <c r="I48" s="453"/>
      <c r="J48" s="453"/>
      <c r="K48" s="453"/>
      <c r="L48" s="452">
        <f>L40+L33</f>
        <v>386.69999999999993</v>
      </c>
      <c r="M48" s="453"/>
      <c r="N48" s="453"/>
      <c r="O48" s="453"/>
      <c r="P48" s="453"/>
      <c r="Q48" s="452">
        <f>Q40+Q33</f>
        <v>369.70000000000005</v>
      </c>
      <c r="R48" s="453"/>
      <c r="S48" s="453"/>
      <c r="T48" s="453"/>
      <c r="U48" s="453"/>
      <c r="V48" s="452">
        <f t="shared" ref="V48:AP48" si="94">V40+V33</f>
        <v>493.9</v>
      </c>
      <c r="W48" s="451">
        <f t="shared" si="94"/>
        <v>114.18</v>
      </c>
      <c r="X48" s="451">
        <f t="shared" si="94"/>
        <v>116.63300000000001</v>
      </c>
      <c r="Y48" s="451">
        <f t="shared" si="94"/>
        <v>222.94199999999998</v>
      </c>
      <c r="Z48" s="451">
        <f t="shared" si="94"/>
        <v>196.64500000000004</v>
      </c>
      <c r="AA48" s="452">
        <f t="shared" si="94"/>
        <v>650.40000000000009</v>
      </c>
      <c r="AB48" s="451">
        <f t="shared" si="94"/>
        <v>255.82</v>
      </c>
      <c r="AC48" s="451">
        <f t="shared" si="94"/>
        <v>239.89</v>
      </c>
      <c r="AD48" s="451">
        <f t="shared" si="94"/>
        <v>268.77800000000002</v>
      </c>
      <c r="AE48" s="451">
        <f t="shared" si="94"/>
        <v>259.94899999999996</v>
      </c>
      <c r="AF48" s="452">
        <f t="shared" si="94"/>
        <v>1024.4370000000001</v>
      </c>
      <c r="AG48" s="451">
        <f t="shared" si="94"/>
        <v>297.88800000000003</v>
      </c>
      <c r="AH48" s="451">
        <f t="shared" si="94"/>
        <v>329.34699999999998</v>
      </c>
      <c r="AI48" s="451">
        <f t="shared" si="94"/>
        <v>382.33100000000002</v>
      </c>
      <c r="AJ48" s="451">
        <f t="shared" si="94"/>
        <v>329.79499999999996</v>
      </c>
      <c r="AK48" s="452">
        <f t="shared" si="94"/>
        <v>1339.3610000000001</v>
      </c>
      <c r="AL48" s="451">
        <f t="shared" si="94"/>
        <v>399.28600000000006</v>
      </c>
      <c r="AM48" s="451">
        <f t="shared" si="94"/>
        <v>355.31</v>
      </c>
      <c r="AN48" s="451">
        <f t="shared" si="94"/>
        <v>335.69</v>
      </c>
      <c r="AO48" s="451">
        <f t="shared" si="94"/>
        <v>312.649</v>
      </c>
      <c r="AP48" s="452">
        <f t="shared" si="94"/>
        <v>1402.9349999999999</v>
      </c>
      <c r="AQ48" s="924">
        <f>AQ40+AQ33+AQ46</f>
        <v>437.40600000000001</v>
      </c>
      <c r="AR48" s="924">
        <f t="shared" ref="AR48:AY48" si="95">AR40+AR33+AR46</f>
        <v>500.18299999999999</v>
      </c>
      <c r="AS48" s="924">
        <f t="shared" si="95"/>
        <v>522.03700000000003</v>
      </c>
      <c r="AT48" s="924">
        <f t="shared" si="95"/>
        <v>577.17399999999998</v>
      </c>
      <c r="AU48" s="452">
        <f>AU40+AU33+AU46</f>
        <v>2036.8</v>
      </c>
      <c r="AV48" s="924">
        <f t="shared" si="95"/>
        <v>448.98582620798641</v>
      </c>
      <c r="AW48" s="924">
        <f t="shared" si="95"/>
        <v>495.75539482680085</v>
      </c>
      <c r="AX48" s="924">
        <f t="shared" si="95"/>
        <v>527.07615591458773</v>
      </c>
      <c r="AY48" s="924">
        <f t="shared" si="95"/>
        <v>600.64096108350259</v>
      </c>
      <c r="AZ48" s="452">
        <f t="shared" ref="AZ48" si="96">AZ40+AZ33+AZ46</f>
        <v>2072.4583380328777</v>
      </c>
      <c r="BA48" s="198"/>
      <c r="BB48" s="198"/>
      <c r="BC48" s="198"/>
      <c r="BD48" s="198"/>
      <c r="BE48" s="452">
        <f t="shared" ref="BE48" si="97">BE40+BE33+BE46</f>
        <v>2371.489570421008</v>
      </c>
      <c r="BF48" s="198"/>
      <c r="BG48" s="198"/>
      <c r="BH48" s="198"/>
      <c r="BI48" s="198"/>
      <c r="BJ48" s="452">
        <f t="shared" ref="BJ48" si="98">BJ40+BJ33+BJ46</f>
        <v>2886.9491747325446</v>
      </c>
      <c r="BK48" s="836"/>
      <c r="BL48" s="836"/>
      <c r="BM48" s="836"/>
      <c r="BN48" s="836"/>
      <c r="BO48" s="452">
        <f t="shared" ref="BO48" si="99">BO40+BO33+BO46</f>
        <v>3362.5674781852535</v>
      </c>
      <c r="BT48" s="452">
        <f t="shared" ref="BT48" si="100">BT40+BT33+BT46</f>
        <v>4008.9259424962729</v>
      </c>
      <c r="BY48" s="452">
        <f t="shared" ref="BY48" si="101">BY40+BY33+BY46</f>
        <v>4575.1414228857293</v>
      </c>
      <c r="CD48" s="452">
        <f t="shared" ref="CD48" si="102">CD40+CD33+CD46</f>
        <v>5005.1940432261763</v>
      </c>
      <c r="CI48" s="452">
        <f t="shared" ref="CI48" si="103">CI40+CI33+CI46</f>
        <v>5452.0434203417317</v>
      </c>
      <c r="CN48" s="452">
        <f t="shared" ref="CN48" si="104">CN40+CN33+CN46</f>
        <v>5742.1047149545266</v>
      </c>
      <c r="CO48" s="452"/>
      <c r="CP48" s="452"/>
      <c r="CQ48" s="452"/>
      <c r="CR48" s="452"/>
      <c r="CS48" s="452">
        <f t="shared" ref="CS48" si="105">CS40+CS33+CS46</f>
        <v>5828.8558402736744</v>
      </c>
      <c r="CT48" s="452"/>
      <c r="CU48" s="452"/>
      <c r="CV48" s="452"/>
      <c r="CW48" s="452"/>
      <c r="CX48" s="452">
        <f t="shared" ref="CX48" si="106">CX40+CX33+CX46</f>
        <v>6274.0606314789347</v>
      </c>
      <c r="CY48" s="452"/>
      <c r="CZ48" s="452"/>
      <c r="DA48" s="452"/>
      <c r="DB48" s="452"/>
      <c r="DC48" s="452">
        <f t="shared" ref="DC48" si="107">DC40+DC33+DC46</f>
        <v>6228.6387375218792</v>
      </c>
      <c r="DD48" s="452"/>
      <c r="DE48" s="452"/>
      <c r="DF48" s="452"/>
      <c r="DG48" s="452"/>
      <c r="DH48" s="452">
        <f t="shared" ref="DH48" si="108">DH40+DH33+DH46</f>
        <v>6076.979891169196</v>
      </c>
    </row>
    <row r="49" spans="2:112" ht="5.25" customHeight="1" thickTop="1">
      <c r="C49" s="432"/>
      <c r="D49" s="432"/>
      <c r="E49" s="432"/>
      <c r="F49" s="432"/>
      <c r="G49" s="177"/>
      <c r="H49" s="432"/>
      <c r="I49" s="432"/>
      <c r="J49" s="432"/>
      <c r="K49" s="432"/>
      <c r="L49" s="177"/>
      <c r="M49" s="432"/>
      <c r="N49" s="432"/>
      <c r="O49" s="432"/>
      <c r="P49" s="432"/>
      <c r="Q49" s="177"/>
      <c r="R49" s="432"/>
      <c r="S49" s="432"/>
      <c r="T49" s="432"/>
      <c r="U49" s="432"/>
      <c r="V49" s="182"/>
      <c r="W49" s="432"/>
      <c r="X49" s="432"/>
      <c r="Y49" s="432"/>
      <c r="Z49" s="432"/>
      <c r="AA49" s="177"/>
      <c r="AB49" s="432"/>
      <c r="AC49" s="432"/>
      <c r="AD49" s="432"/>
      <c r="AE49" s="432"/>
      <c r="AF49" s="177"/>
      <c r="AG49" s="432"/>
      <c r="AH49" s="432"/>
      <c r="AI49" s="432"/>
      <c r="AJ49" s="432"/>
      <c r="AK49" s="177"/>
      <c r="AL49" s="432"/>
      <c r="AM49" s="432"/>
      <c r="AN49" s="432"/>
      <c r="AO49" s="432"/>
      <c r="AP49" s="177"/>
      <c r="AQ49" s="900"/>
      <c r="AR49" s="900"/>
      <c r="AS49" s="900"/>
      <c r="AT49" s="900"/>
      <c r="AU49" s="177"/>
      <c r="AV49" s="900"/>
      <c r="AW49" s="900"/>
      <c r="AX49" s="900"/>
      <c r="AY49" s="900"/>
      <c r="AZ49" s="177"/>
      <c r="BA49" s="177"/>
      <c r="BB49" s="177"/>
      <c r="BC49" s="177"/>
      <c r="BD49" s="177"/>
      <c r="BE49" s="177"/>
      <c r="BF49" s="177"/>
      <c r="BG49" s="177"/>
      <c r="BH49" s="177"/>
      <c r="BI49" s="177"/>
      <c r="BJ49" s="177"/>
      <c r="BO49" s="177"/>
      <c r="BT49" s="177"/>
      <c r="BY49" s="177"/>
      <c r="CD49" s="177"/>
      <c r="CI49" s="177"/>
      <c r="CN49" s="177"/>
      <c r="CO49" s="177"/>
      <c r="CP49" s="177"/>
      <c r="CQ49" s="177"/>
      <c r="CR49" s="177"/>
      <c r="CS49" s="177"/>
      <c r="CT49" s="177"/>
      <c r="CU49" s="177"/>
      <c r="CV49" s="177"/>
      <c r="CW49" s="177"/>
      <c r="CX49" s="177"/>
      <c r="CY49" s="177"/>
      <c r="CZ49" s="177"/>
      <c r="DA49" s="177"/>
      <c r="DB49" s="177"/>
      <c r="DC49" s="177"/>
      <c r="DD49" s="177"/>
      <c r="DE49" s="177"/>
      <c r="DF49" s="177"/>
      <c r="DG49" s="177"/>
      <c r="DH49" s="177"/>
    </row>
    <row r="50" spans="2:112">
      <c r="B50" s="176" t="s">
        <v>196</v>
      </c>
      <c r="C50" s="432">
        <f>IS!C9</f>
        <v>10</v>
      </c>
      <c r="D50" s="432">
        <f>IS!D9</f>
        <v>10</v>
      </c>
      <c r="E50" s="432">
        <f>IS!E9</f>
        <v>10</v>
      </c>
      <c r="F50" s="432">
        <f>IS!F9</f>
        <v>10.013</v>
      </c>
      <c r="G50" s="177">
        <f>IS!G9</f>
        <v>40.012999999999998</v>
      </c>
      <c r="H50" s="432">
        <f>IS!H9</f>
        <v>10.038</v>
      </c>
      <c r="I50" s="432">
        <f>IS!I9</f>
        <v>10.037000000000001</v>
      </c>
      <c r="J50" s="432">
        <f>IS!J9</f>
        <v>10.037000000000001</v>
      </c>
      <c r="K50" s="432">
        <f>IS!K9</f>
        <v>10.038</v>
      </c>
      <c r="L50" s="177">
        <f>IS!L9</f>
        <v>40.150000000000006</v>
      </c>
      <c r="M50" s="432">
        <f>IS!M9</f>
        <v>7.8449999999999998</v>
      </c>
      <c r="N50" s="432">
        <f>IS!N9</f>
        <v>5.2279999999999998</v>
      </c>
      <c r="O50" s="432">
        <f>IS!O9</f>
        <v>5.8929999999999998</v>
      </c>
      <c r="P50" s="432">
        <f>IS!P9</f>
        <v>5.8920000000000003</v>
      </c>
      <c r="Q50" s="177">
        <f>IS!Q9</f>
        <v>24.858000000000001</v>
      </c>
      <c r="R50" s="432">
        <f>IS!R9</f>
        <v>5.8929999999999998</v>
      </c>
      <c r="S50" s="432">
        <f>IS!S9</f>
        <v>5.8929999999999998</v>
      </c>
      <c r="T50" s="432">
        <f>IS!T9</f>
        <v>5.8929999999999998</v>
      </c>
      <c r="U50" s="432">
        <f>IS!U9</f>
        <v>5.8920000000000003</v>
      </c>
      <c r="V50" s="177">
        <f>IS!V9</f>
        <v>23.570999999999998</v>
      </c>
      <c r="W50" s="440">
        <v>5.8929999999999998</v>
      </c>
      <c r="X50" s="440">
        <v>5.8929999999999998</v>
      </c>
      <c r="Y50" s="350">
        <v>5.8929999999999998</v>
      </c>
      <c r="Z50" s="440">
        <f>7.679-Z51</f>
        <v>6.7789999999999999</v>
      </c>
      <c r="AA50" s="177">
        <f>IS!AA9</f>
        <v>24.457999999999998</v>
      </c>
      <c r="AB50" s="440">
        <f>7.542-AB51</f>
        <v>6.5419999999999998</v>
      </c>
      <c r="AC50" s="440">
        <f>7.788-AC51</f>
        <v>5.8879999999999999</v>
      </c>
      <c r="AD50" s="440">
        <f>8.166-AD51</f>
        <v>7.266</v>
      </c>
      <c r="AE50" s="440">
        <f>8.445-AE51</f>
        <v>7.2450000000000001</v>
      </c>
      <c r="AF50" s="180">
        <f>SUM(AB50:AE50)</f>
        <v>26.940999999999999</v>
      </c>
      <c r="AG50" s="440">
        <f>27.837-AG51</f>
        <v>26.587</v>
      </c>
      <c r="AH50" s="440">
        <f>11.451-AH51</f>
        <v>10.201000000000001</v>
      </c>
      <c r="AI50" s="440">
        <f>17.529-AI51</f>
        <v>16.279</v>
      </c>
      <c r="AJ50" s="440">
        <f>18.072-AJ51</f>
        <v>16.821999999999999</v>
      </c>
      <c r="AK50" s="177">
        <f>SUM(AG50:AJ50)</f>
        <v>69.888999999999996</v>
      </c>
      <c r="AL50" s="440">
        <f>17.381-AL51</f>
        <v>16.131</v>
      </c>
      <c r="AM50" s="440">
        <f>23.1-AM51</f>
        <v>21.85</v>
      </c>
      <c r="AN50" s="440">
        <f>26.964-AN51</f>
        <v>25.713999999999999</v>
      </c>
      <c r="AO50" s="440">
        <f>51.657-AO51</f>
        <v>50.406999999999996</v>
      </c>
      <c r="AP50" s="177">
        <f>SUM(AL50:AO50)</f>
        <v>114.102</v>
      </c>
      <c r="AQ50" s="976">
        <f>23.4-AQ51</f>
        <v>22.099999999999998</v>
      </c>
      <c r="AR50" s="976">
        <f>45.8-AR51</f>
        <v>44.5</v>
      </c>
      <c r="AS50" s="976">
        <f>21.3-AS51</f>
        <v>20</v>
      </c>
      <c r="AT50" s="976">
        <f>AU50-SUM(AQ50:AS50)</f>
        <v>25.200000000000003</v>
      </c>
      <c r="AU50" s="177">
        <f>117-AU51</f>
        <v>111.8</v>
      </c>
      <c r="AV50" s="900">
        <v>15</v>
      </c>
      <c r="AW50" s="900">
        <f>AV50*1.15</f>
        <v>17.25</v>
      </c>
      <c r="AX50" s="900">
        <f>AW50*1.15</f>
        <v>19.837499999999999</v>
      </c>
      <c r="AY50" s="900">
        <f>AZ50-SUM(AV50:AX50)</f>
        <v>21.950105900000004</v>
      </c>
      <c r="AZ50" s="177">
        <f>25+Zaltrap!AK34+25</f>
        <v>74.037605900000003</v>
      </c>
      <c r="BA50" s="177"/>
      <c r="BB50" s="177"/>
      <c r="BC50" s="177"/>
      <c r="BD50" s="177"/>
      <c r="BE50" s="177">
        <f>25+Zaltrap!AP34+25</f>
        <v>75.239486194999998</v>
      </c>
      <c r="BF50" s="177"/>
      <c r="BG50" s="177"/>
      <c r="BH50" s="177"/>
      <c r="BI50" s="177"/>
      <c r="BJ50" s="177">
        <f>25+Zaltrap!AU34+25</f>
        <v>75.996670780849996</v>
      </c>
      <c r="BK50" s="178"/>
      <c r="BL50" s="178"/>
      <c r="BM50" s="178"/>
      <c r="BN50" s="178"/>
      <c r="BO50" s="410">
        <v>75</v>
      </c>
      <c r="BT50" s="177">
        <f>BO50</f>
        <v>75</v>
      </c>
      <c r="BY50" s="177">
        <f>BT50</f>
        <v>75</v>
      </c>
      <c r="CD50" s="177">
        <f>BY50</f>
        <v>75</v>
      </c>
      <c r="CI50" s="177">
        <f>CD50</f>
        <v>75</v>
      </c>
      <c r="CN50" s="177">
        <f>CI50</f>
        <v>75</v>
      </c>
      <c r="CO50" s="177"/>
      <c r="CP50" s="177"/>
      <c r="CQ50" s="177"/>
      <c r="CR50" s="177"/>
      <c r="CS50" s="177">
        <f>CN50</f>
        <v>75</v>
      </c>
      <c r="CT50" s="177"/>
      <c r="CU50" s="177"/>
      <c r="CV50" s="177"/>
      <c r="CW50" s="177"/>
      <c r="CX50" s="177">
        <f>CS50</f>
        <v>75</v>
      </c>
      <c r="CY50" s="177"/>
      <c r="CZ50" s="177"/>
      <c r="DA50" s="177"/>
      <c r="DB50" s="177"/>
      <c r="DC50" s="177">
        <f>CX50</f>
        <v>75</v>
      </c>
      <c r="DD50" s="177"/>
      <c r="DE50" s="177"/>
      <c r="DF50" s="177"/>
      <c r="DG50" s="177"/>
      <c r="DH50" s="177">
        <f>DC50</f>
        <v>75</v>
      </c>
    </row>
    <row r="51" spans="2:112">
      <c r="B51" s="176" t="s">
        <v>197</v>
      </c>
      <c r="C51" s="432">
        <f>IS!C10</f>
        <v>1.5</v>
      </c>
      <c r="D51" s="432">
        <f>IS!D10</f>
        <v>2</v>
      </c>
      <c r="E51" s="432">
        <f>IS!E10</f>
        <v>1.8</v>
      </c>
      <c r="F51" s="432">
        <f>IS!F10</f>
        <v>1.2050000000000001</v>
      </c>
      <c r="G51" s="177">
        <f>IS!G10</f>
        <v>6.4340000000000002</v>
      </c>
      <c r="H51" s="432">
        <f>IS!H10</f>
        <v>1.8859999999999999</v>
      </c>
      <c r="I51" s="432">
        <f>IS!I10</f>
        <v>2.0760000000000001</v>
      </c>
      <c r="J51" s="432">
        <f>IS!J10</f>
        <v>1.6619999999999999</v>
      </c>
      <c r="K51" s="432">
        <f>IS!K10</f>
        <v>1.321</v>
      </c>
      <c r="L51" s="177">
        <f>IS!L10</f>
        <v>6.9449999999999994</v>
      </c>
      <c r="M51" s="432">
        <f>IS!M10</f>
        <v>2.1219999999999999</v>
      </c>
      <c r="N51" s="432">
        <f>IS!N10</f>
        <v>1.974</v>
      </c>
      <c r="O51" s="432">
        <f>IS!O10</f>
        <v>1.5760000000000001</v>
      </c>
      <c r="P51" s="432">
        <f>IS!P10</f>
        <v>0.92700000000000005</v>
      </c>
      <c r="Q51" s="177">
        <f>IS!Q10</f>
        <v>6.5990000000000002</v>
      </c>
      <c r="R51" s="432">
        <f>IS!R10</f>
        <v>0.47699999999999998</v>
      </c>
      <c r="S51" s="432">
        <f>IS!S10</f>
        <v>0.875</v>
      </c>
      <c r="T51" s="432">
        <f>IS!T10</f>
        <v>0.879</v>
      </c>
      <c r="U51" s="432">
        <f>IS!U10</f>
        <v>0.66900000000000004</v>
      </c>
      <c r="V51" s="177">
        <f>IS!V10</f>
        <v>2.9</v>
      </c>
      <c r="W51" s="440">
        <v>0.85099999999999998</v>
      </c>
      <c r="X51" s="440">
        <v>1.2230000000000001</v>
      </c>
      <c r="Y51" s="359">
        <v>1.0740000000000001</v>
      </c>
      <c r="Z51" s="440">
        <v>0.9</v>
      </c>
      <c r="AA51" s="177">
        <f>IS!AA10</f>
        <v>4.048</v>
      </c>
      <c r="AB51" s="440">
        <v>1</v>
      </c>
      <c r="AC51" s="440">
        <v>1.9</v>
      </c>
      <c r="AD51" s="440">
        <v>0.89999999999999991</v>
      </c>
      <c r="AE51" s="440">
        <v>1.2</v>
      </c>
      <c r="AF51" s="180">
        <f>SUM(AB51:AE51)</f>
        <v>5</v>
      </c>
      <c r="AG51" s="440">
        <f>$AK$51/4</f>
        <v>1.25</v>
      </c>
      <c r="AH51" s="440">
        <f t="shared" ref="AH51:AI51" si="109">$AK$51/4</f>
        <v>1.25</v>
      </c>
      <c r="AI51" s="440">
        <f t="shared" si="109"/>
        <v>1.25</v>
      </c>
      <c r="AJ51" s="440">
        <f>AK51-AG51-AH51-AI51</f>
        <v>1.25</v>
      </c>
      <c r="AK51" s="177">
        <f>AF51</f>
        <v>5</v>
      </c>
      <c r="AL51" s="440">
        <v>1.25</v>
      </c>
      <c r="AM51" s="440">
        <v>1.25</v>
      </c>
      <c r="AN51" s="440">
        <v>1.25</v>
      </c>
      <c r="AO51" s="440">
        <v>1.25</v>
      </c>
      <c r="AP51" s="177">
        <f>SUM(AL51:AO51)</f>
        <v>5</v>
      </c>
      <c r="AQ51" s="976">
        <v>1.3</v>
      </c>
      <c r="AR51" s="976">
        <v>1.3</v>
      </c>
      <c r="AS51" s="976">
        <v>1.3</v>
      </c>
      <c r="AT51" s="976">
        <v>1.3</v>
      </c>
      <c r="AU51" s="177">
        <f>SUM(AQ51:AT51)</f>
        <v>5.2</v>
      </c>
      <c r="AV51" s="900">
        <f>AZ51/4</f>
        <v>1.3</v>
      </c>
      <c r="AW51" s="900">
        <f>AV51</f>
        <v>1.3</v>
      </c>
      <c r="AX51" s="900">
        <f>AW51</f>
        <v>1.3</v>
      </c>
      <c r="AY51" s="900">
        <f>AZ51-SUM(AV51:AX51)</f>
        <v>1.2999999999999998</v>
      </c>
      <c r="AZ51" s="177">
        <f>AU51</f>
        <v>5.2</v>
      </c>
      <c r="BA51" s="177"/>
      <c r="BB51" s="177"/>
      <c r="BC51" s="177"/>
      <c r="BD51" s="177"/>
      <c r="BE51" s="177">
        <f>AZ51</f>
        <v>5.2</v>
      </c>
      <c r="BF51" s="177"/>
      <c r="BG51" s="177"/>
      <c r="BH51" s="177"/>
      <c r="BI51" s="177"/>
      <c r="BJ51" s="177">
        <f>BE51</f>
        <v>5.2</v>
      </c>
      <c r="BK51" s="178"/>
      <c r="BL51" s="178"/>
      <c r="BM51" s="178"/>
      <c r="BN51" s="178"/>
      <c r="BO51" s="177">
        <f>BJ51</f>
        <v>5.2</v>
      </c>
      <c r="BT51" s="177">
        <f>BO51</f>
        <v>5.2</v>
      </c>
      <c r="BY51" s="177">
        <f>BT51</f>
        <v>5.2</v>
      </c>
      <c r="CD51" s="177">
        <f>BY51</f>
        <v>5.2</v>
      </c>
      <c r="CI51" s="177">
        <f>CD51</f>
        <v>5.2</v>
      </c>
      <c r="CN51" s="177">
        <f>CI51</f>
        <v>5.2</v>
      </c>
      <c r="CO51" s="177"/>
      <c r="CP51" s="177"/>
      <c r="CQ51" s="177"/>
      <c r="CR51" s="177"/>
      <c r="CS51" s="177">
        <f>CN51</f>
        <v>5.2</v>
      </c>
      <c r="CT51" s="177"/>
      <c r="CU51" s="177"/>
      <c r="CV51" s="177"/>
      <c r="CW51" s="177"/>
      <c r="CX51" s="177">
        <f>CS51</f>
        <v>5.2</v>
      </c>
      <c r="CY51" s="177"/>
      <c r="CZ51" s="177"/>
      <c r="DA51" s="177"/>
      <c r="DB51" s="177"/>
      <c r="DC51" s="177">
        <f>CX51</f>
        <v>5.2</v>
      </c>
      <c r="DD51" s="177"/>
      <c r="DE51" s="177"/>
      <c r="DF51" s="177"/>
      <c r="DG51" s="177"/>
      <c r="DH51" s="177">
        <f>DC51</f>
        <v>5.2</v>
      </c>
    </row>
    <row r="52" spans="2:112" ht="5.25" customHeight="1" thickBot="1">
      <c r="C52" s="432"/>
      <c r="D52" s="432"/>
      <c r="E52" s="432"/>
      <c r="F52" s="432"/>
      <c r="G52" s="177"/>
      <c r="H52" s="432"/>
      <c r="I52" s="432"/>
      <c r="J52" s="432"/>
      <c r="K52" s="432"/>
      <c r="L52" s="177"/>
      <c r="M52" s="432"/>
      <c r="N52" s="432"/>
      <c r="O52" s="432"/>
      <c r="P52" s="432"/>
      <c r="Q52" s="177"/>
      <c r="R52" s="432"/>
      <c r="S52" s="432"/>
      <c r="T52" s="432"/>
      <c r="U52" s="432"/>
      <c r="V52" s="177"/>
      <c r="W52" s="432"/>
      <c r="X52" s="432"/>
      <c r="Y52" s="432"/>
      <c r="Z52" s="432"/>
      <c r="AA52" s="177"/>
      <c r="AB52" s="432"/>
      <c r="AC52" s="432"/>
      <c r="AD52" s="432"/>
      <c r="AE52" s="432"/>
      <c r="AF52" s="177"/>
      <c r="AG52" s="432"/>
      <c r="AH52" s="432"/>
      <c r="AI52" s="432"/>
      <c r="AJ52" s="432"/>
      <c r="AK52" s="177"/>
      <c r="AL52" s="432"/>
      <c r="AM52" s="432"/>
      <c r="AN52" s="432"/>
      <c r="AO52" s="432"/>
      <c r="AP52" s="177"/>
      <c r="AQ52" s="900"/>
      <c r="AR52" s="900"/>
      <c r="AS52" s="900"/>
      <c r="AT52" s="900"/>
      <c r="AU52" s="177"/>
      <c r="AV52" s="900"/>
      <c r="AW52" s="900"/>
      <c r="AX52" s="900"/>
      <c r="AY52" s="900"/>
      <c r="AZ52" s="177"/>
      <c r="BA52" s="177"/>
      <c r="BB52" s="177"/>
      <c r="BC52" s="177"/>
      <c r="BD52" s="177"/>
      <c r="BE52" s="177"/>
      <c r="BF52" s="177"/>
      <c r="BG52" s="177"/>
      <c r="BH52" s="177"/>
      <c r="BI52" s="177"/>
      <c r="BJ52" s="177"/>
      <c r="BO52" s="177"/>
      <c r="BT52" s="177"/>
      <c r="BY52" s="177"/>
      <c r="CD52" s="177"/>
      <c r="CI52" s="177"/>
      <c r="CN52" s="177"/>
      <c r="CO52" s="177"/>
      <c r="CP52" s="177"/>
      <c r="CQ52" s="177"/>
      <c r="CR52" s="177"/>
      <c r="CS52" s="177"/>
      <c r="CT52" s="177"/>
      <c r="CU52" s="177"/>
      <c r="CV52" s="177"/>
      <c r="CW52" s="177"/>
      <c r="CX52" s="177"/>
      <c r="CY52" s="177"/>
      <c r="CZ52" s="177"/>
      <c r="DA52" s="177"/>
      <c r="DB52" s="177"/>
      <c r="DC52" s="177"/>
      <c r="DD52" s="177"/>
      <c r="DE52" s="177"/>
      <c r="DF52" s="177"/>
      <c r="DG52" s="177"/>
      <c r="DH52" s="177"/>
    </row>
    <row r="53" spans="2:112" ht="13.5" thickBot="1">
      <c r="B53" s="199" t="s">
        <v>215</v>
      </c>
      <c r="C53" s="454">
        <f>C51+C50+C48+C7</f>
        <v>74.991</v>
      </c>
      <c r="D53" s="454">
        <f>D51+D50+D48+D7</f>
        <v>90</v>
      </c>
      <c r="E53" s="454">
        <f>E51+E50+E48+E7</f>
        <v>117.473</v>
      </c>
      <c r="F53" s="454">
        <f>F51+F50+F48+F7</f>
        <v>97.018000000000015</v>
      </c>
      <c r="G53" s="455">
        <f>G51+G50+G48+G7</f>
        <v>379.34699999999998</v>
      </c>
      <c r="H53" s="456"/>
      <c r="I53" s="456"/>
      <c r="J53" s="456"/>
      <c r="K53" s="456"/>
      <c r="L53" s="455">
        <f>L51+L50+L48+L7</f>
        <v>459.09499999999997</v>
      </c>
      <c r="M53" s="456"/>
      <c r="N53" s="456"/>
      <c r="O53" s="456"/>
      <c r="P53" s="456"/>
      <c r="Q53" s="455">
        <f>Q51+Q50+Q48+Q7</f>
        <v>445.15700000000004</v>
      </c>
      <c r="R53" s="456"/>
      <c r="S53" s="456"/>
      <c r="T53" s="456"/>
      <c r="U53" s="456"/>
      <c r="V53" s="455">
        <f t="shared" ref="V53:AY53" si="110">V51+V50+V48+V7</f>
        <v>1378.3710000000001</v>
      </c>
      <c r="W53" s="454">
        <f t="shared" si="110"/>
        <v>439.62400000000002</v>
      </c>
      <c r="X53" s="454">
        <f t="shared" si="110"/>
        <v>457.642</v>
      </c>
      <c r="Y53" s="454">
        <f t="shared" si="110"/>
        <v>597.02700000000004</v>
      </c>
      <c r="Z53" s="454">
        <f t="shared" si="110"/>
        <v>610.41200000000003</v>
      </c>
      <c r="AA53" s="455">
        <f t="shared" si="110"/>
        <v>2104.7049999999999</v>
      </c>
      <c r="AB53" s="454">
        <f t="shared" si="110"/>
        <v>625.74</v>
      </c>
      <c r="AC53" s="454">
        <f t="shared" si="110"/>
        <v>665.7</v>
      </c>
      <c r="AD53" s="454">
        <f t="shared" si="110"/>
        <v>725.78800000000001</v>
      </c>
      <c r="AE53" s="454">
        <f t="shared" si="110"/>
        <v>789.91200000000003</v>
      </c>
      <c r="AF53" s="455">
        <f t="shared" si="110"/>
        <v>2807.1400000000003</v>
      </c>
      <c r="AG53" s="454">
        <f t="shared" si="110"/>
        <v>870.298</v>
      </c>
      <c r="AH53" s="454">
        <f t="shared" si="110"/>
        <v>998.61699999999996</v>
      </c>
      <c r="AI53" s="454">
        <f t="shared" si="110"/>
        <v>1137.422</v>
      </c>
      <c r="AJ53" s="454">
        <f t="shared" si="110"/>
        <v>1097.3910000000001</v>
      </c>
      <c r="AK53" s="455">
        <f t="shared" si="110"/>
        <v>4103.7280000000001</v>
      </c>
      <c r="AL53" s="454">
        <f t="shared" si="110"/>
        <v>1200.8490000000002</v>
      </c>
      <c r="AM53" s="454">
        <f t="shared" si="110"/>
        <v>1212.6290000000001</v>
      </c>
      <c r="AN53" s="454">
        <f t="shared" si="110"/>
        <v>1220.1219999999998</v>
      </c>
      <c r="AO53" s="454">
        <f t="shared" si="110"/>
        <v>1226.827</v>
      </c>
      <c r="AP53" s="455">
        <f t="shared" si="110"/>
        <v>4860.4269999999997</v>
      </c>
      <c r="AQ53" s="925">
        <f t="shared" si="110"/>
        <v>1319.0509999999999</v>
      </c>
      <c r="AR53" s="925">
        <f t="shared" si="110"/>
        <v>1470.116</v>
      </c>
      <c r="AS53" s="925">
        <f t="shared" si="110"/>
        <v>1500.704</v>
      </c>
      <c r="AT53" s="925">
        <f t="shared" si="110"/>
        <v>1582.674</v>
      </c>
      <c r="AU53" s="455">
        <f t="shared" si="110"/>
        <v>5872.5450000000001</v>
      </c>
      <c r="AV53" s="925">
        <f t="shared" si="110"/>
        <v>1383.7858262079865</v>
      </c>
      <c r="AW53" s="925">
        <f t="shared" si="110"/>
        <v>1498.5511992964202</v>
      </c>
      <c r="AX53" s="925">
        <f t="shared" si="110"/>
        <v>1578.3149027702871</v>
      </c>
      <c r="AY53" s="925">
        <f t="shared" si="110"/>
        <v>1748.2177147251778</v>
      </c>
      <c r="AZ53" s="455">
        <f>AZ51+AZ50+AZ48+AZ7</f>
        <v>6208.8696429998708</v>
      </c>
      <c r="BA53" s="200"/>
      <c r="BB53" s="200"/>
      <c r="BC53" s="200"/>
      <c r="BD53" s="200"/>
      <c r="BE53" s="455">
        <f>BE51+BE50+BE48+BE7</f>
        <v>6586.3881910779664</v>
      </c>
      <c r="BF53" s="200"/>
      <c r="BG53" s="200"/>
      <c r="BH53" s="200"/>
      <c r="BI53" s="200"/>
      <c r="BJ53" s="455">
        <f>BJ51+BJ50+BJ48+BJ7</f>
        <v>7355.5650095406054</v>
      </c>
      <c r="BK53" s="836"/>
      <c r="BL53" s="836"/>
      <c r="BM53" s="836"/>
      <c r="BN53" s="836"/>
      <c r="BO53" s="455">
        <f>BO51+BO50+BO48+BO7</f>
        <v>7907.2175928118795</v>
      </c>
      <c r="BT53" s="455">
        <f>BT51+BT50+BT48+BT7</f>
        <v>8584.460296860716</v>
      </c>
      <c r="BY53" s="455">
        <f>BY51+BY50+BY48+BY7</f>
        <v>9110.5954639288284</v>
      </c>
      <c r="CD53" s="455">
        <f>CD51+CD50+CD48+CD7</f>
        <v>9578.6272112438637</v>
      </c>
      <c r="CI53" s="455">
        <f>CI51+CI50+CI48+CI7</f>
        <v>10051.211119278445</v>
      </c>
      <c r="CN53" s="455">
        <f>CN51+CN50+CN48+CN7</f>
        <v>10063.104028786147</v>
      </c>
      <c r="CO53" s="455"/>
      <c r="CP53" s="455"/>
      <c r="CQ53" s="455"/>
      <c r="CR53" s="455"/>
      <c r="CS53" s="455">
        <f>CS51+CS50+CS48+CS7</f>
        <v>9888.248631976774</v>
      </c>
      <c r="CT53" s="455"/>
      <c r="CU53" s="455"/>
      <c r="CV53" s="455"/>
      <c r="CW53" s="455"/>
      <c r="CX53" s="455">
        <f>CX51+CX50+CX48+CX7</f>
        <v>10021.581589117508</v>
      </c>
      <c r="CY53" s="455"/>
      <c r="CZ53" s="455"/>
      <c r="DA53" s="455"/>
      <c r="DB53" s="455"/>
      <c r="DC53" s="455">
        <f>DC51+DC50+DC48+DC7</f>
        <v>9608.605200628559</v>
      </c>
      <c r="DD53" s="455"/>
      <c r="DE53" s="455"/>
      <c r="DF53" s="455"/>
      <c r="DG53" s="455"/>
      <c r="DH53" s="455">
        <f>DH51+DH50+DH48+DH7</f>
        <v>9761.9068035321088</v>
      </c>
    </row>
    <row r="54" spans="2:112">
      <c r="AL54" s="177"/>
    </row>
    <row r="55" spans="2:112">
      <c r="AK55" s="856"/>
    </row>
    <row r="56" spans="2:112">
      <c r="AB56" s="178"/>
    </row>
    <row r="57" spans="2:112">
      <c r="AB57" s="178"/>
    </row>
    <row r="58" spans="2:112">
      <c r="AB58" s="178"/>
      <c r="AK58" s="133"/>
      <c r="AP58" s="133"/>
    </row>
    <row r="59" spans="2:112">
      <c r="AB59" s="178"/>
      <c r="AK59" s="133"/>
    </row>
    <row r="60" spans="2:112">
      <c r="AK60" s="133"/>
    </row>
    <row r="61" spans="2:112">
      <c r="AK61" s="133"/>
    </row>
  </sheetData>
  <phoneticPr fontId="9" type="noConversion"/>
  <pageMargins left="0" right="0" top="0" bottom="0" header="0" footer="0"/>
  <pageSetup paperSize="5" scale="61" orientation="landscape" r:id="rId1"/>
  <headerFooter alignWithMargins="0"/>
  <ignoredErrors>
    <ignoredError sqref="AF33:AF39 AF22:AF26 AF12:AF20 AP30:AP31 AP24" formulaRange="1"/>
    <ignoredError sqref="CD43:DC43 AU26" formula="1"/>
  </ignoredError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DO537"/>
  <sheetViews>
    <sheetView showGridLines="0" zoomScaleNormal="100" workbookViewId="0">
      <pane xSplit="2" ySplit="2" topLeftCell="AF18" activePane="bottomRight" state="frozen"/>
      <selection pane="topRight" activeCell="C1" sqref="C1"/>
      <selection pane="bottomLeft" activeCell="A7" sqref="A7"/>
      <selection pane="bottomRight" activeCell="BY46" sqref="BY46:CI46"/>
    </sheetView>
  </sheetViews>
  <sheetFormatPr defaultRowHeight="13.5" outlineLevelRow="1" outlineLevelCol="1"/>
  <cols>
    <col min="1" max="1" width="3.625" style="282" customWidth="1"/>
    <col min="2" max="2" width="35.75" style="125" bestFit="1" customWidth="1"/>
    <col min="3" max="6" width="9" style="125" hidden="1" customWidth="1" outlineLevel="1"/>
    <col min="7" max="7" width="9" style="143" customWidth="1" collapsed="1"/>
    <col min="8" max="11" width="9" style="125" hidden="1" customWidth="1" outlineLevel="1"/>
    <col min="12" max="12" width="9" style="143" customWidth="1" collapsed="1"/>
    <col min="13" max="16" width="9" style="125" hidden="1" customWidth="1" outlineLevel="1"/>
    <col min="17" max="17" width="9" style="143" customWidth="1" collapsed="1"/>
    <col min="18" max="21" width="9" style="125" hidden="1" customWidth="1" outlineLevel="1"/>
    <col min="22" max="22" width="9" style="143" customWidth="1" collapsed="1"/>
    <col min="23" max="26" width="9" style="125" hidden="1" customWidth="1" outlineLevel="1"/>
    <col min="27" max="27" width="9" style="143" customWidth="1" collapsed="1"/>
    <col min="28" max="31" width="9" style="125" hidden="1" customWidth="1" outlineLevel="1"/>
    <col min="32" max="32" width="9" style="143" customWidth="1" collapsed="1"/>
    <col min="33" max="36" width="9" style="125" hidden="1" customWidth="1" outlineLevel="1"/>
    <col min="37" max="37" width="9" style="143" collapsed="1"/>
    <col min="38" max="41" width="9" style="125" hidden="1" customWidth="1" outlineLevel="1"/>
    <col min="42" max="42" width="9" style="143" collapsed="1"/>
    <col min="43" max="46" width="9" style="125" hidden="1" customWidth="1" outlineLevel="1"/>
    <col min="47" max="47" width="9" style="143" collapsed="1"/>
    <col min="48" max="51" width="9" style="125" hidden="1" customWidth="1" outlineLevel="1"/>
    <col min="52" max="52" width="9" style="143" collapsed="1"/>
    <col min="53" max="56" width="9" style="125" hidden="1" customWidth="1" outlineLevel="1"/>
    <col min="57" max="57" width="9" style="143" collapsed="1"/>
    <col min="58" max="61" width="9" style="125" hidden="1" customWidth="1" outlineLevel="1"/>
    <col min="62" max="62" width="9" style="125" collapsed="1"/>
    <col min="63" max="66" width="0" style="125" hidden="1" customWidth="1" outlineLevel="1"/>
    <col min="67" max="67" width="9" style="125" collapsed="1"/>
    <col min="68" max="71" width="0" style="125" hidden="1" customWidth="1" outlineLevel="1"/>
    <col min="72" max="72" width="9" style="125" collapsed="1"/>
    <col min="73" max="76" width="0" style="125" hidden="1" customWidth="1" outlineLevel="1"/>
    <col min="77" max="77" width="9" style="125" collapsed="1"/>
    <col min="78" max="81" width="0" style="125" hidden="1" customWidth="1" outlineLevel="1"/>
    <col min="82" max="82" width="9" style="125" collapsed="1"/>
    <col min="83" max="86" width="0" style="125" hidden="1" customWidth="1" outlineLevel="1"/>
    <col min="87" max="87" width="9" style="125" collapsed="1"/>
    <col min="88" max="91" width="0" style="125" hidden="1" customWidth="1" outlineLevel="1"/>
    <col min="92" max="92" width="9" style="125" collapsed="1"/>
    <col min="93" max="96" width="0" style="125" hidden="1" customWidth="1" outlineLevel="1"/>
    <col min="97" max="97" width="9" style="125" collapsed="1"/>
    <col min="98" max="101" width="0" style="125" hidden="1" customWidth="1" outlineLevel="1"/>
    <col min="102" max="102" width="9" style="125" collapsed="1"/>
    <col min="103" max="106" width="0" style="125" hidden="1" customWidth="1" outlineLevel="1"/>
    <col min="107" max="107" width="9" style="125" collapsed="1"/>
    <col min="108" max="111" width="0" style="125" hidden="1" customWidth="1" outlineLevel="1"/>
    <col min="112" max="112" width="9" style="125" collapsed="1"/>
    <col min="113" max="113" width="9" style="125"/>
    <col min="120" max="16384" width="9" style="125"/>
  </cols>
  <sheetData>
    <row r="1" spans="1:119" ht="15.75" customHeight="1">
      <c r="A1" s="135"/>
      <c r="B1" s="134"/>
      <c r="C1" s="134"/>
      <c r="D1" s="134"/>
      <c r="E1" s="134"/>
      <c r="F1" s="134"/>
      <c r="G1" s="129"/>
      <c r="H1" s="134"/>
      <c r="I1" s="134"/>
      <c r="J1" s="134"/>
      <c r="K1" s="134"/>
      <c r="L1" s="129"/>
      <c r="M1" s="134"/>
      <c r="N1" s="134"/>
      <c r="O1" s="134"/>
      <c r="P1" s="134"/>
      <c r="Q1" s="129"/>
      <c r="R1" s="134"/>
      <c r="S1" s="134"/>
      <c r="T1" s="134"/>
      <c r="U1" s="134"/>
      <c r="V1" s="129"/>
      <c r="W1" s="134"/>
      <c r="X1" s="134"/>
      <c r="Y1" s="134"/>
      <c r="Z1" s="134"/>
      <c r="AA1" s="129"/>
      <c r="AB1" s="134"/>
      <c r="AC1" s="134"/>
      <c r="AD1" s="134"/>
      <c r="AE1" s="134"/>
      <c r="AF1" s="129"/>
      <c r="AG1" s="134"/>
      <c r="AH1" s="134"/>
      <c r="AI1" s="134"/>
      <c r="AJ1" s="134"/>
      <c r="AK1" s="129"/>
      <c r="AL1" s="134"/>
      <c r="AM1" s="134"/>
      <c r="AN1" s="134"/>
      <c r="AO1" s="134"/>
      <c r="AP1" s="129"/>
      <c r="AQ1" s="134"/>
      <c r="AR1" s="134"/>
      <c r="AS1" s="134"/>
      <c r="AT1" s="134"/>
      <c r="AU1" s="157"/>
      <c r="AV1" s="134"/>
      <c r="AW1" s="134"/>
      <c r="AX1" s="134"/>
      <c r="AY1" s="134"/>
      <c r="AZ1" s="129"/>
      <c r="BA1" s="134"/>
      <c r="BB1" s="134"/>
      <c r="BC1" s="134"/>
      <c r="BD1" s="134"/>
      <c r="BE1" s="129"/>
      <c r="BF1" s="134"/>
    </row>
    <row r="2" spans="1:119" s="132" customFormat="1" ht="15.75" customHeight="1" thickBot="1">
      <c r="A2" s="316"/>
      <c r="B2" s="303" t="s">
        <v>747</v>
      </c>
      <c r="C2" s="1110">
        <v>2009</v>
      </c>
      <c r="D2" s="1110"/>
      <c r="E2" s="1110"/>
      <c r="F2" s="1110"/>
      <c r="G2" s="1110"/>
      <c r="H2" s="1110">
        <f>C2+1</f>
        <v>2010</v>
      </c>
      <c r="I2" s="1110"/>
      <c r="J2" s="1110"/>
      <c r="K2" s="1110"/>
      <c r="L2" s="1110"/>
      <c r="M2" s="1111">
        <f>H2+1</f>
        <v>2011</v>
      </c>
      <c r="N2" s="1111"/>
      <c r="O2" s="1111"/>
      <c r="P2" s="1111"/>
      <c r="Q2" s="1111"/>
      <c r="R2" s="1112">
        <v>2012</v>
      </c>
      <c r="S2" s="1112"/>
      <c r="T2" s="1112"/>
      <c r="U2" s="1112"/>
      <c r="V2" s="1112"/>
      <c r="W2" s="1112">
        <v>2013</v>
      </c>
      <c r="X2" s="1112"/>
      <c r="Y2" s="1112"/>
      <c r="Z2" s="1112"/>
      <c r="AA2" s="1112"/>
      <c r="AB2" s="1111">
        <v>2014</v>
      </c>
      <c r="AC2" s="1111"/>
      <c r="AD2" s="1111"/>
      <c r="AE2" s="1111"/>
      <c r="AF2" s="1111"/>
      <c r="AG2" s="1111">
        <f>AB2+1</f>
        <v>2015</v>
      </c>
      <c r="AH2" s="1111"/>
      <c r="AI2" s="1111"/>
      <c r="AJ2" s="1111"/>
      <c r="AK2" s="1111"/>
      <c r="AL2" s="1111">
        <f>AG2+1</f>
        <v>2016</v>
      </c>
      <c r="AM2" s="1111"/>
      <c r="AN2" s="1111"/>
      <c r="AO2" s="1111"/>
      <c r="AP2" s="1111"/>
      <c r="AQ2" s="1112">
        <f>AL2+1</f>
        <v>2017</v>
      </c>
      <c r="AR2" s="1112"/>
      <c r="AS2" s="1112"/>
      <c r="AT2" s="1112"/>
      <c r="AU2" s="1112"/>
      <c r="AV2" s="1113">
        <f>AQ2+1</f>
        <v>2018</v>
      </c>
      <c r="AW2" s="1113"/>
      <c r="AX2" s="1113"/>
      <c r="AY2" s="1113"/>
      <c r="AZ2" s="1113"/>
      <c r="BA2" s="1113">
        <f>AV2+1</f>
        <v>2019</v>
      </c>
      <c r="BB2" s="1113"/>
      <c r="BC2" s="1113"/>
      <c r="BD2" s="1113"/>
      <c r="BE2" s="1113"/>
      <c r="BF2" s="1113">
        <f>BA2+1</f>
        <v>2020</v>
      </c>
      <c r="BG2" s="1113"/>
      <c r="BH2" s="1113"/>
      <c r="BI2" s="1113"/>
      <c r="BJ2" s="1113"/>
      <c r="BK2" s="1021"/>
      <c r="BL2" s="1021"/>
      <c r="BM2" s="1021"/>
      <c r="BN2" s="1021"/>
      <c r="BO2" s="995">
        <v>2021</v>
      </c>
      <c r="BP2" s="995"/>
      <c r="BQ2" s="995"/>
      <c r="BR2" s="995"/>
      <c r="BS2" s="995"/>
      <c r="BT2" s="995">
        <f>BO2+1</f>
        <v>2022</v>
      </c>
      <c r="BU2" s="995"/>
      <c r="BV2" s="995"/>
      <c r="BW2" s="995"/>
      <c r="BX2" s="995"/>
      <c r="BY2" s="995">
        <f>BT2+1</f>
        <v>2023</v>
      </c>
      <c r="BZ2" s="995"/>
      <c r="CA2" s="995"/>
      <c r="CB2" s="995"/>
      <c r="CC2" s="995"/>
      <c r="CD2" s="995">
        <f>BY2+1</f>
        <v>2024</v>
      </c>
      <c r="CE2" s="995"/>
      <c r="CF2" s="995"/>
      <c r="CG2" s="995"/>
      <c r="CH2" s="995"/>
      <c r="CI2" s="995">
        <f>CD2+1</f>
        <v>2025</v>
      </c>
      <c r="CJ2" s="995"/>
      <c r="CK2" s="995"/>
      <c r="CL2" s="995"/>
      <c r="CM2" s="995"/>
      <c r="CN2" s="995">
        <f>CI2+1</f>
        <v>2026</v>
      </c>
      <c r="CO2" s="995"/>
      <c r="CP2" s="995"/>
      <c r="CQ2" s="995"/>
      <c r="CR2" s="995"/>
      <c r="CS2" s="995">
        <f>CN2+1</f>
        <v>2027</v>
      </c>
      <c r="CT2" s="995"/>
      <c r="CU2" s="995"/>
      <c r="CV2" s="995"/>
      <c r="CW2" s="995"/>
      <c r="CX2" s="995">
        <f>CS2+1</f>
        <v>2028</v>
      </c>
      <c r="CY2" s="995"/>
      <c r="CZ2" s="995"/>
      <c r="DA2" s="995"/>
      <c r="DB2" s="995"/>
      <c r="DC2" s="995">
        <f>CX2+1</f>
        <v>2029</v>
      </c>
      <c r="DD2" s="995"/>
      <c r="DE2" s="995"/>
      <c r="DF2" s="995"/>
      <c r="DG2" s="995"/>
      <c r="DH2" s="995">
        <f>DC2+1</f>
        <v>2030</v>
      </c>
      <c r="DJ2"/>
      <c r="DK2"/>
      <c r="DL2"/>
      <c r="DM2"/>
      <c r="DN2"/>
      <c r="DO2"/>
    </row>
    <row r="3" spans="1:119" ht="6.75" customHeight="1">
      <c r="C3" s="283"/>
      <c r="D3" s="143"/>
      <c r="E3" s="143"/>
      <c r="F3" s="143"/>
      <c r="H3" s="143"/>
      <c r="I3" s="143"/>
      <c r="J3" s="143"/>
      <c r="K3" s="143"/>
      <c r="M3" s="143"/>
      <c r="N3" s="143"/>
      <c r="O3" s="143"/>
      <c r="P3" s="143"/>
      <c r="R3" s="143"/>
      <c r="S3" s="143"/>
      <c r="T3" s="143"/>
      <c r="U3" s="143"/>
      <c r="W3" s="143"/>
      <c r="X3" s="143"/>
      <c r="Y3" s="143"/>
      <c r="Z3" s="143"/>
      <c r="AB3" s="143"/>
      <c r="AC3" s="143"/>
      <c r="AD3" s="143"/>
      <c r="AE3" s="143"/>
      <c r="AG3" s="143"/>
      <c r="AH3" s="143"/>
      <c r="AI3" s="143"/>
      <c r="AJ3" s="143"/>
      <c r="AL3" s="143"/>
      <c r="AM3" s="143"/>
      <c r="AN3" s="143"/>
      <c r="AO3" s="143"/>
      <c r="AQ3" s="143"/>
      <c r="AR3" s="143"/>
      <c r="AS3" s="143"/>
      <c r="AT3" s="143"/>
      <c r="AV3" s="143"/>
      <c r="AW3" s="143"/>
      <c r="AX3" s="143"/>
      <c r="AY3" s="143"/>
      <c r="BA3" s="143"/>
      <c r="BB3" s="143"/>
      <c r="BC3" s="143"/>
      <c r="BD3" s="143"/>
      <c r="BF3" s="143"/>
      <c r="BG3" s="143"/>
      <c r="BH3" s="143"/>
      <c r="BI3" s="143"/>
      <c r="BJ3" s="143"/>
      <c r="BK3" s="143"/>
      <c r="BL3" s="143"/>
      <c r="BM3" s="143"/>
      <c r="BN3" s="143"/>
      <c r="BO3" s="143"/>
      <c r="BP3" s="143"/>
      <c r="BQ3" s="143"/>
      <c r="BR3" s="143"/>
      <c r="BS3" s="143"/>
      <c r="BT3" s="143"/>
      <c r="BU3" s="143"/>
      <c r="BV3" s="143"/>
      <c r="BW3" s="143"/>
      <c r="BX3" s="143"/>
      <c r="BY3" s="143"/>
      <c r="BZ3" s="143"/>
      <c r="CA3" s="143"/>
      <c r="CB3" s="143"/>
      <c r="CC3" s="143"/>
      <c r="CD3" s="143"/>
      <c r="CE3" s="143"/>
      <c r="CF3" s="143"/>
      <c r="CG3" s="143"/>
      <c r="CH3" s="143"/>
      <c r="CI3" s="143"/>
      <c r="CJ3" s="143"/>
      <c r="CK3" s="143"/>
      <c r="CL3" s="143"/>
      <c r="CM3" s="143"/>
      <c r="CN3" s="143"/>
      <c r="CO3" s="143"/>
      <c r="CP3" s="143"/>
      <c r="CQ3" s="143"/>
      <c r="CR3" s="143"/>
      <c r="CS3" s="143"/>
      <c r="CT3" s="143"/>
      <c r="CU3" s="143"/>
      <c r="CV3" s="143"/>
      <c r="CW3" s="143"/>
      <c r="CX3" s="143"/>
      <c r="CY3" s="143"/>
      <c r="CZ3" s="143"/>
      <c r="DA3" s="143"/>
      <c r="DB3" s="143"/>
      <c r="DC3" s="143"/>
      <c r="DD3" s="143"/>
      <c r="DE3" s="143"/>
      <c r="DF3" s="143"/>
      <c r="DG3" s="143"/>
      <c r="DH3" s="143"/>
      <c r="DI3" s="143"/>
    </row>
    <row r="4" spans="1:119" ht="15.75" customHeight="1">
      <c r="B4" s="125" t="s">
        <v>26</v>
      </c>
      <c r="C4" s="283"/>
      <c r="D4" s="143"/>
      <c r="E4" s="143"/>
      <c r="F4" s="143"/>
      <c r="G4" s="407">
        <v>207.07499999999999</v>
      </c>
      <c r="H4" s="407"/>
      <c r="I4" s="407"/>
      <c r="J4" s="407"/>
      <c r="K4" s="407"/>
      <c r="L4" s="407">
        <v>112.572</v>
      </c>
      <c r="M4" s="407"/>
      <c r="N4" s="407"/>
      <c r="O4" s="407"/>
      <c r="P4" s="407"/>
      <c r="Q4" s="407">
        <v>483.61</v>
      </c>
      <c r="R4" s="407"/>
      <c r="S4" s="407"/>
      <c r="T4" s="407"/>
      <c r="U4" s="407"/>
      <c r="V4" s="407">
        <v>230.27600000000001</v>
      </c>
      <c r="W4" s="154"/>
      <c r="X4" s="154"/>
      <c r="Y4" s="154"/>
      <c r="Z4" s="154"/>
      <c r="AA4" s="407">
        <v>535.60799999999995</v>
      </c>
      <c r="AB4" s="154"/>
      <c r="AC4" s="154"/>
      <c r="AD4" s="154"/>
      <c r="AE4" s="154"/>
      <c r="AF4" s="407">
        <v>648.71900000000005</v>
      </c>
      <c r="AG4" s="154"/>
      <c r="AH4" s="154"/>
      <c r="AI4" s="154"/>
      <c r="AJ4" s="154"/>
      <c r="AK4" s="407">
        <v>809.10199999999998</v>
      </c>
      <c r="AL4" s="154"/>
      <c r="AM4" s="154"/>
      <c r="AN4" s="154"/>
      <c r="AO4" s="154"/>
      <c r="AP4" s="407">
        <v>535.20299999999997</v>
      </c>
      <c r="AQ4" s="154"/>
      <c r="AR4" s="154"/>
      <c r="AS4" s="154"/>
      <c r="AT4" s="154"/>
      <c r="AU4" s="407">
        <v>812.73299999999995</v>
      </c>
      <c r="AV4" s="154"/>
      <c r="AW4" s="154"/>
      <c r="AX4" s="154"/>
      <c r="AY4" s="154"/>
      <c r="AZ4" s="304">
        <f>CF!AZ40</f>
        <v>2517.6017369841829</v>
      </c>
      <c r="BA4" s="154"/>
      <c r="BB4" s="154"/>
      <c r="BC4" s="154"/>
      <c r="BD4" s="154"/>
      <c r="BE4" s="304">
        <f>CF!BE40</f>
        <v>4484.6526223256114</v>
      </c>
      <c r="BF4" s="154"/>
      <c r="BG4" s="154"/>
      <c r="BH4" s="154"/>
      <c r="BI4" s="154"/>
      <c r="BJ4" s="304">
        <f>CF!BJ40</f>
        <v>6855.9576589205808</v>
      </c>
      <c r="BK4" s="304"/>
      <c r="BL4" s="304"/>
      <c r="BM4" s="304"/>
      <c r="BN4" s="304"/>
      <c r="BO4" s="304">
        <f>CF!BO40</f>
        <v>9741.4762235732978</v>
      </c>
      <c r="BP4" s="304"/>
      <c r="BQ4" s="304"/>
      <c r="BR4" s="304"/>
      <c r="BS4" s="304"/>
      <c r="BT4" s="304">
        <f>CF!BT40</f>
        <v>13159.958711266539</v>
      </c>
      <c r="BU4" s="304"/>
      <c r="BV4" s="304"/>
      <c r="BW4" s="304"/>
      <c r="BX4" s="304"/>
      <c r="BY4" s="304">
        <f>CF!BY40</f>
        <v>17015.151426778484</v>
      </c>
      <c r="BZ4" s="304"/>
      <c r="CA4" s="304"/>
      <c r="CB4" s="304"/>
      <c r="CC4" s="304"/>
      <c r="CD4" s="304">
        <f>CF!CD40</f>
        <v>21268.150119689115</v>
      </c>
      <c r="CE4" s="304"/>
      <c r="CF4" s="304"/>
      <c r="CG4" s="304"/>
      <c r="CH4" s="304"/>
      <c r="CI4" s="304">
        <f>CF!CI40</f>
        <v>25985.662091096376</v>
      </c>
      <c r="CJ4" s="304"/>
      <c r="CK4" s="304"/>
      <c r="CL4" s="304"/>
      <c r="CM4" s="304"/>
      <c r="CN4" s="304">
        <f>CF!CN40</f>
        <v>30888.80485132242</v>
      </c>
      <c r="CO4" s="304"/>
      <c r="CP4" s="304"/>
      <c r="CQ4" s="304"/>
      <c r="CR4" s="304"/>
      <c r="CS4" s="304">
        <f>CF!CS40</f>
        <v>35682.598596569296</v>
      </c>
      <c r="CT4" s="304"/>
      <c r="CU4" s="304"/>
      <c r="CV4" s="304"/>
      <c r="CW4" s="304"/>
      <c r="CX4" s="304">
        <f>CF!CX40</f>
        <v>40707.440420702136</v>
      </c>
      <c r="CY4" s="304"/>
      <c r="CZ4" s="304"/>
      <c r="DA4" s="304"/>
      <c r="DB4" s="304"/>
      <c r="DC4" s="304">
        <f>CF!DC40</f>
        <v>45436.522752912853</v>
      </c>
      <c r="DD4" s="304"/>
      <c r="DE4" s="304"/>
      <c r="DF4" s="304"/>
      <c r="DG4" s="304"/>
      <c r="DH4" s="304">
        <f>CF!DH40</f>
        <v>50153.712502937182</v>
      </c>
      <c r="DI4" s="143"/>
    </row>
    <row r="5" spans="1:119" ht="15.75" customHeight="1">
      <c r="B5" s="176" t="s">
        <v>233</v>
      </c>
      <c r="C5" s="283"/>
      <c r="D5" s="143"/>
      <c r="E5" s="143"/>
      <c r="F5" s="143"/>
      <c r="G5" s="407">
        <v>134.255</v>
      </c>
      <c r="H5" s="407"/>
      <c r="I5" s="407"/>
      <c r="J5" s="407"/>
      <c r="K5" s="407"/>
      <c r="L5" s="407">
        <v>136.79599999999999</v>
      </c>
      <c r="M5" s="407"/>
      <c r="N5" s="407"/>
      <c r="O5" s="407"/>
      <c r="P5" s="407"/>
      <c r="Q5" s="407">
        <v>43.332000000000001</v>
      </c>
      <c r="R5" s="407"/>
      <c r="S5" s="407"/>
      <c r="T5" s="407"/>
      <c r="U5" s="407"/>
      <c r="V5" s="407">
        <v>77.819000000000003</v>
      </c>
      <c r="W5" s="154"/>
      <c r="X5" s="154"/>
      <c r="Y5" s="154"/>
      <c r="Z5" s="154"/>
      <c r="AA5" s="407">
        <v>158.376</v>
      </c>
      <c r="AB5" s="154"/>
      <c r="AC5" s="154"/>
      <c r="AD5" s="154"/>
      <c r="AE5" s="154"/>
      <c r="AF5" s="407">
        <v>251.761</v>
      </c>
      <c r="AG5" s="154"/>
      <c r="AH5" s="154"/>
      <c r="AI5" s="154"/>
      <c r="AJ5" s="154"/>
      <c r="AK5" s="407">
        <v>236.12100000000001</v>
      </c>
      <c r="AL5" s="154"/>
      <c r="AM5" s="154"/>
      <c r="AN5" s="154"/>
      <c r="AO5" s="154"/>
      <c r="AP5" s="407">
        <v>503.48099999999999</v>
      </c>
      <c r="AQ5" s="154"/>
      <c r="AR5" s="154"/>
      <c r="AS5" s="154"/>
      <c r="AT5" s="154"/>
      <c r="AU5" s="407">
        <v>596.84699999999998</v>
      </c>
      <c r="AV5" s="154"/>
      <c r="AW5" s="154"/>
      <c r="AX5" s="154"/>
      <c r="AY5" s="154"/>
      <c r="AZ5" s="304">
        <f>AU5</f>
        <v>596.84699999999998</v>
      </c>
      <c r="BA5" s="154"/>
      <c r="BB5" s="154"/>
      <c r="BC5" s="154"/>
      <c r="BD5" s="154"/>
      <c r="BE5" s="304">
        <f>AZ5</f>
        <v>596.84699999999998</v>
      </c>
      <c r="BF5" s="154"/>
      <c r="BG5" s="154"/>
      <c r="BH5" s="154"/>
      <c r="BI5" s="154"/>
      <c r="BJ5" s="304">
        <f>BE5</f>
        <v>596.84699999999998</v>
      </c>
      <c r="BK5" s="304"/>
      <c r="BL5" s="304"/>
      <c r="BM5" s="304"/>
      <c r="BN5" s="304"/>
      <c r="BO5" s="304">
        <f>BJ5</f>
        <v>596.84699999999998</v>
      </c>
      <c r="BP5" s="304"/>
      <c r="BQ5" s="304"/>
      <c r="BR5" s="304"/>
      <c r="BS5" s="304"/>
      <c r="BT5" s="304">
        <f>BO5</f>
        <v>596.84699999999998</v>
      </c>
      <c r="BU5" s="304"/>
      <c r="BV5" s="304"/>
      <c r="BW5" s="304"/>
      <c r="BX5" s="304"/>
      <c r="BY5" s="304">
        <f>BT5</f>
        <v>596.84699999999998</v>
      </c>
      <c r="BZ5" s="304"/>
      <c r="CA5" s="304"/>
      <c r="CB5" s="304"/>
      <c r="CC5" s="304"/>
      <c r="CD5" s="304">
        <f>BY5</f>
        <v>596.84699999999998</v>
      </c>
      <c r="CE5" s="304"/>
      <c r="CF5" s="304"/>
      <c r="CG5" s="304"/>
      <c r="CH5" s="304"/>
      <c r="CI5" s="304">
        <f>CD5</f>
        <v>596.84699999999998</v>
      </c>
      <c r="CJ5" s="304"/>
      <c r="CK5" s="304"/>
      <c r="CL5" s="304"/>
      <c r="CM5" s="304"/>
      <c r="CN5" s="304">
        <f>CI5</f>
        <v>596.84699999999998</v>
      </c>
      <c r="CO5" s="304"/>
      <c r="CP5" s="304"/>
      <c r="CQ5" s="304"/>
      <c r="CR5" s="304"/>
      <c r="CS5" s="304">
        <f>CN5</f>
        <v>596.84699999999998</v>
      </c>
      <c r="CT5" s="304"/>
      <c r="CU5" s="304"/>
      <c r="CV5" s="304"/>
      <c r="CW5" s="304"/>
      <c r="CX5" s="304">
        <f>CS5</f>
        <v>596.84699999999998</v>
      </c>
      <c r="CY5" s="304"/>
      <c r="CZ5" s="304"/>
      <c r="DA5" s="304"/>
      <c r="DB5" s="304"/>
      <c r="DC5" s="304">
        <f>CX5</f>
        <v>596.84699999999998</v>
      </c>
      <c r="DD5" s="304"/>
      <c r="DE5" s="304"/>
      <c r="DF5" s="304"/>
      <c r="DG5" s="304"/>
      <c r="DH5" s="304">
        <f>DC5</f>
        <v>596.84699999999998</v>
      </c>
      <c r="DI5" s="143"/>
    </row>
    <row r="6" spans="1:119" ht="15.75" customHeight="1">
      <c r="B6" s="176" t="s">
        <v>234</v>
      </c>
      <c r="C6" s="283"/>
      <c r="D6" s="143"/>
      <c r="E6" s="143"/>
      <c r="F6" s="143"/>
      <c r="G6" s="407">
        <v>2.8650000000000002</v>
      </c>
      <c r="H6" s="407"/>
      <c r="I6" s="407"/>
      <c r="J6" s="407"/>
      <c r="K6" s="407"/>
      <c r="L6" s="407">
        <v>13.509</v>
      </c>
      <c r="M6" s="407"/>
      <c r="N6" s="407"/>
      <c r="O6" s="407"/>
      <c r="P6" s="407"/>
      <c r="Q6" s="407">
        <v>28.254000000000001</v>
      </c>
      <c r="R6" s="407"/>
      <c r="S6" s="407"/>
      <c r="T6" s="407"/>
      <c r="U6" s="407"/>
      <c r="V6" s="407">
        <v>593.20699999999999</v>
      </c>
      <c r="W6" s="154"/>
      <c r="X6" s="154"/>
      <c r="Y6" s="154"/>
      <c r="Z6" s="154"/>
      <c r="AA6" s="407">
        <v>787.07100000000003</v>
      </c>
      <c r="AB6" s="154"/>
      <c r="AC6" s="154"/>
      <c r="AD6" s="154"/>
      <c r="AE6" s="154"/>
      <c r="AF6" s="407">
        <v>739.37900000000002</v>
      </c>
      <c r="AG6" s="154"/>
      <c r="AH6" s="154"/>
      <c r="AI6" s="154"/>
      <c r="AJ6" s="154"/>
      <c r="AK6" s="407">
        <v>1152.489</v>
      </c>
      <c r="AL6" s="154"/>
      <c r="AM6" s="154"/>
      <c r="AN6" s="154"/>
      <c r="AO6" s="154"/>
      <c r="AP6" s="407">
        <v>1343.3679999999999</v>
      </c>
      <c r="AQ6" s="154"/>
      <c r="AR6" s="154"/>
      <c r="AS6" s="154"/>
      <c r="AT6" s="154"/>
      <c r="AU6" s="407">
        <v>1538.6420000000001</v>
      </c>
      <c r="AV6" s="154"/>
      <c r="AW6" s="154"/>
      <c r="AX6" s="154"/>
      <c r="AY6" s="154"/>
      <c r="AZ6" s="305">
        <f>AZ51*IS!AZ4/360</f>
        <v>1565.9686292085191</v>
      </c>
      <c r="BA6" s="154"/>
      <c r="BB6" s="154"/>
      <c r="BC6" s="154"/>
      <c r="BD6" s="154"/>
      <c r="BE6" s="305">
        <f>BE51*IS!BE4/360</f>
        <v>1595.7988943882103</v>
      </c>
      <c r="BF6" s="154"/>
      <c r="BG6" s="154"/>
      <c r="BH6" s="154"/>
      <c r="BI6" s="154"/>
      <c r="BJ6" s="305">
        <f>BJ51*IS!BJ4/360</f>
        <v>1693.4352048163148</v>
      </c>
      <c r="BK6" s="305"/>
      <c r="BL6" s="305"/>
      <c r="BM6" s="305"/>
      <c r="BN6" s="305"/>
      <c r="BO6" s="305">
        <f>BO51*IS!BO4/360</f>
        <v>1723.1672451636473</v>
      </c>
      <c r="BP6" s="305"/>
      <c r="BQ6" s="305"/>
      <c r="BR6" s="305"/>
      <c r="BS6" s="305"/>
      <c r="BT6" s="305">
        <f>BT51*IS!BT4/360</f>
        <v>1735.0877972902417</v>
      </c>
      <c r="BU6" s="305"/>
      <c r="BV6" s="305"/>
      <c r="BW6" s="305"/>
      <c r="BX6" s="305"/>
      <c r="BY6" s="305">
        <f>BY51*IS!BY4/360</f>
        <v>1719.6177883713465</v>
      </c>
      <c r="BZ6" s="305"/>
      <c r="CA6" s="305"/>
      <c r="CB6" s="305"/>
      <c r="CC6" s="305"/>
      <c r="CD6" s="305">
        <f>CD51*IS!CD4/360</f>
        <v>1734.2767913666112</v>
      </c>
      <c r="CE6" s="305"/>
      <c r="CF6" s="305"/>
      <c r="CG6" s="305"/>
      <c r="CH6" s="305"/>
      <c r="CI6" s="305">
        <f>CI51*IS!CI4/360</f>
        <v>1744.2096833489925</v>
      </c>
      <c r="CJ6" s="305"/>
      <c r="CK6" s="305"/>
      <c r="CL6" s="305"/>
      <c r="CM6" s="305"/>
      <c r="CN6" s="305">
        <f>CN51*IS!CN4/360</f>
        <v>1636.8435716115673</v>
      </c>
      <c r="CO6" s="305"/>
      <c r="CP6" s="305"/>
      <c r="CQ6" s="305"/>
      <c r="CR6" s="305"/>
      <c r="CS6" s="305">
        <f>CS51*IS!CS4/360</f>
        <v>1535.8699290623665</v>
      </c>
      <c r="CT6" s="305"/>
      <c r="CU6" s="305"/>
      <c r="CV6" s="305"/>
      <c r="CW6" s="305"/>
      <c r="CX6" s="305">
        <f>CX51*IS!CX4/360</f>
        <v>1415.4951202167204</v>
      </c>
      <c r="CY6" s="305"/>
      <c r="CZ6" s="305"/>
      <c r="DA6" s="305"/>
      <c r="DB6" s="305"/>
      <c r="DC6" s="305">
        <f>DC51*IS!DC4/360</f>
        <v>1273.6281826256825</v>
      </c>
      <c r="DD6" s="305"/>
      <c r="DE6" s="305"/>
      <c r="DF6" s="305"/>
      <c r="DG6" s="305"/>
      <c r="DH6" s="305">
        <f>DH51*IS!DH4/360</f>
        <v>1391.3353679982038</v>
      </c>
      <c r="DI6" s="143"/>
    </row>
    <row r="7" spans="1:119" ht="15.75" customHeight="1">
      <c r="B7" s="176" t="s">
        <v>235</v>
      </c>
      <c r="C7" s="283"/>
      <c r="D7" s="143"/>
      <c r="E7" s="143"/>
      <c r="F7" s="143"/>
      <c r="G7" s="407">
        <v>62.703000000000003</v>
      </c>
      <c r="H7" s="407"/>
      <c r="I7" s="407"/>
      <c r="J7" s="407"/>
      <c r="K7" s="407"/>
      <c r="L7" s="407">
        <v>79.602999999999994</v>
      </c>
      <c r="M7" s="407"/>
      <c r="N7" s="407"/>
      <c r="O7" s="407"/>
      <c r="P7" s="407"/>
      <c r="Q7" s="407">
        <v>74.781000000000006</v>
      </c>
      <c r="R7" s="407"/>
      <c r="S7" s="407"/>
      <c r="T7" s="407"/>
      <c r="U7" s="407"/>
      <c r="V7" s="407">
        <v>99.912999999999997</v>
      </c>
      <c r="W7" s="154"/>
      <c r="X7" s="154"/>
      <c r="Y7" s="154"/>
      <c r="Z7" s="154"/>
      <c r="AA7" s="407">
        <v>104.70699999999999</v>
      </c>
      <c r="AB7" s="154"/>
      <c r="AC7" s="154"/>
      <c r="AD7" s="154"/>
      <c r="AE7" s="154"/>
      <c r="AF7" s="826">
        <v>121.05800000000001</v>
      </c>
      <c r="AG7" s="154"/>
      <c r="AH7" s="154"/>
      <c r="AI7" s="154"/>
      <c r="AJ7" s="154"/>
      <c r="AK7" s="407">
        <v>153.15199999999999</v>
      </c>
      <c r="AL7" s="154"/>
      <c r="AM7" s="154"/>
      <c r="AN7" s="154"/>
      <c r="AO7" s="154"/>
      <c r="AP7" s="407">
        <v>92.989000000000004</v>
      </c>
      <c r="AQ7" s="154"/>
      <c r="AR7" s="154"/>
      <c r="AS7" s="154"/>
      <c r="AT7" s="154"/>
      <c r="AU7" s="407">
        <v>193.684</v>
      </c>
      <c r="AV7" s="154"/>
      <c r="AW7" s="154"/>
      <c r="AX7" s="154"/>
      <c r="AY7" s="154"/>
      <c r="AZ7" s="304">
        <f>AU7</f>
        <v>193.684</v>
      </c>
      <c r="BA7" s="154"/>
      <c r="BB7" s="154"/>
      <c r="BC7" s="154"/>
      <c r="BD7" s="154"/>
      <c r="BE7" s="304">
        <f>AZ7</f>
        <v>193.684</v>
      </c>
      <c r="BF7" s="154"/>
      <c r="BG7" s="154"/>
      <c r="BH7" s="154"/>
      <c r="BI7" s="154"/>
      <c r="BJ7" s="304">
        <f>BE7</f>
        <v>193.684</v>
      </c>
      <c r="BK7" s="304"/>
      <c r="BL7" s="304"/>
      <c r="BM7" s="304"/>
      <c r="BN7" s="304"/>
      <c r="BO7" s="304">
        <f>BJ7</f>
        <v>193.684</v>
      </c>
      <c r="BP7" s="304"/>
      <c r="BQ7" s="304"/>
      <c r="BR7" s="304"/>
      <c r="BS7" s="304"/>
      <c r="BT7" s="304">
        <f>BO7</f>
        <v>193.684</v>
      </c>
      <c r="BU7" s="304"/>
      <c r="BV7" s="304"/>
      <c r="BW7" s="304"/>
      <c r="BX7" s="304"/>
      <c r="BY7" s="304">
        <f>BT7</f>
        <v>193.684</v>
      </c>
      <c r="BZ7" s="304"/>
      <c r="CA7" s="304"/>
      <c r="CB7" s="304"/>
      <c r="CC7" s="304"/>
      <c r="CD7" s="304">
        <f>BY7</f>
        <v>193.684</v>
      </c>
      <c r="CE7" s="304"/>
      <c r="CF7" s="304"/>
      <c r="CG7" s="304"/>
      <c r="CH7" s="304"/>
      <c r="CI7" s="304">
        <f>CD7</f>
        <v>193.684</v>
      </c>
      <c r="CJ7" s="304"/>
      <c r="CK7" s="304"/>
      <c r="CL7" s="304"/>
      <c r="CM7" s="304"/>
      <c r="CN7" s="304">
        <f>CI7</f>
        <v>193.684</v>
      </c>
      <c r="CO7" s="304"/>
      <c r="CP7" s="304"/>
      <c r="CQ7" s="304"/>
      <c r="CR7" s="304"/>
      <c r="CS7" s="304">
        <f>CN7</f>
        <v>193.684</v>
      </c>
      <c r="CT7" s="304"/>
      <c r="CU7" s="304"/>
      <c r="CV7" s="304"/>
      <c r="CW7" s="304"/>
      <c r="CX7" s="304">
        <f>CS7</f>
        <v>193.684</v>
      </c>
      <c r="CY7" s="304"/>
      <c r="CZ7" s="304"/>
      <c r="DA7" s="304"/>
      <c r="DB7" s="304"/>
      <c r="DC7" s="304">
        <f>CX7</f>
        <v>193.684</v>
      </c>
      <c r="DD7" s="304"/>
      <c r="DE7" s="304"/>
      <c r="DF7" s="304"/>
      <c r="DG7" s="304"/>
      <c r="DH7" s="304">
        <f>DC7</f>
        <v>193.684</v>
      </c>
      <c r="DI7" s="143"/>
    </row>
    <row r="8" spans="1:119" ht="15.75" customHeight="1">
      <c r="B8" s="830" t="s">
        <v>799</v>
      </c>
      <c r="C8" s="283"/>
      <c r="D8" s="143"/>
      <c r="E8" s="143"/>
      <c r="F8" s="143"/>
      <c r="G8" s="407">
        <v>0</v>
      </c>
      <c r="H8" s="407"/>
      <c r="I8" s="407"/>
      <c r="J8" s="407"/>
      <c r="K8" s="407"/>
      <c r="L8" s="407">
        <v>0</v>
      </c>
      <c r="M8" s="407"/>
      <c r="N8" s="407"/>
      <c r="O8" s="407"/>
      <c r="P8" s="407"/>
      <c r="Q8" s="407">
        <v>0</v>
      </c>
      <c r="R8" s="407"/>
      <c r="S8" s="407"/>
      <c r="T8" s="407"/>
      <c r="U8" s="407"/>
      <c r="V8" s="407">
        <v>0</v>
      </c>
      <c r="W8" s="154"/>
      <c r="X8" s="154"/>
      <c r="Y8" s="154"/>
      <c r="Z8" s="154"/>
      <c r="AA8" s="407">
        <v>63.189</v>
      </c>
      <c r="AB8" s="154"/>
      <c r="AC8" s="154"/>
      <c r="AD8" s="154"/>
      <c r="AE8" s="154"/>
      <c r="AF8" s="826">
        <v>156.96199999999999</v>
      </c>
      <c r="AG8" s="154"/>
      <c r="AH8" s="154"/>
      <c r="AI8" s="154"/>
      <c r="AJ8" s="154"/>
      <c r="AK8" s="407">
        <v>162.15199999999999</v>
      </c>
      <c r="AL8" s="154"/>
      <c r="AM8" s="154"/>
      <c r="AN8" s="154"/>
      <c r="AO8" s="154"/>
      <c r="AP8" s="407">
        <v>175.26300000000001</v>
      </c>
      <c r="AQ8" s="154"/>
      <c r="AR8" s="154"/>
      <c r="AS8" s="154"/>
      <c r="AT8" s="154"/>
      <c r="AU8" s="407">
        <v>242.01400000000001</v>
      </c>
      <c r="AV8" s="154"/>
      <c r="AW8" s="154"/>
      <c r="AX8" s="154"/>
      <c r="AY8" s="154"/>
      <c r="AZ8" s="304">
        <f>AU8</f>
        <v>242.01400000000001</v>
      </c>
      <c r="BA8" s="154"/>
      <c r="BB8" s="154"/>
      <c r="BC8" s="154"/>
      <c r="BD8" s="154"/>
      <c r="BE8" s="304">
        <f>AZ8</f>
        <v>242.01400000000001</v>
      </c>
      <c r="BF8" s="154"/>
      <c r="BG8" s="154"/>
      <c r="BH8" s="154"/>
      <c r="BI8" s="154"/>
      <c r="BJ8" s="304">
        <f>BE8</f>
        <v>242.01400000000001</v>
      </c>
      <c r="BK8" s="304"/>
      <c r="BL8" s="304"/>
      <c r="BM8" s="304"/>
      <c r="BN8" s="304"/>
      <c r="BO8" s="304">
        <f>BJ8</f>
        <v>242.01400000000001</v>
      </c>
      <c r="BP8" s="304"/>
      <c r="BQ8" s="304"/>
      <c r="BR8" s="304"/>
      <c r="BS8" s="304"/>
      <c r="BT8" s="304">
        <f>BO8</f>
        <v>242.01400000000001</v>
      </c>
      <c r="BU8" s="304"/>
      <c r="BV8" s="304"/>
      <c r="BW8" s="304"/>
      <c r="BX8" s="304"/>
      <c r="BY8" s="304">
        <f>BT8</f>
        <v>242.01400000000001</v>
      </c>
      <c r="BZ8" s="304"/>
      <c r="CA8" s="304"/>
      <c r="CB8" s="304"/>
      <c r="CC8" s="304"/>
      <c r="CD8" s="304">
        <f>BY8</f>
        <v>242.01400000000001</v>
      </c>
      <c r="CE8" s="304"/>
      <c r="CF8" s="304"/>
      <c r="CG8" s="304"/>
      <c r="CH8" s="304"/>
      <c r="CI8" s="304">
        <f>CD8</f>
        <v>242.01400000000001</v>
      </c>
      <c r="CJ8" s="304"/>
      <c r="CK8" s="304"/>
      <c r="CL8" s="304"/>
      <c r="CM8" s="304"/>
      <c r="CN8" s="304">
        <f>CI8</f>
        <v>242.01400000000001</v>
      </c>
      <c r="CO8" s="304"/>
      <c r="CP8" s="304"/>
      <c r="CQ8" s="304"/>
      <c r="CR8" s="304"/>
      <c r="CS8" s="304">
        <f>CN8</f>
        <v>242.01400000000001</v>
      </c>
      <c r="CT8" s="304"/>
      <c r="CU8" s="304"/>
      <c r="CV8" s="304"/>
      <c r="CW8" s="304"/>
      <c r="CX8" s="304">
        <f>CS8</f>
        <v>242.01400000000001</v>
      </c>
      <c r="CY8" s="304"/>
      <c r="CZ8" s="304"/>
      <c r="DA8" s="304"/>
      <c r="DB8" s="304"/>
      <c r="DC8" s="304">
        <f>CX8</f>
        <v>242.01400000000001</v>
      </c>
      <c r="DD8" s="304"/>
      <c r="DE8" s="304"/>
      <c r="DF8" s="304"/>
      <c r="DG8" s="304"/>
      <c r="DH8" s="304">
        <f>DC8</f>
        <v>242.01400000000001</v>
      </c>
      <c r="DI8" s="143"/>
    </row>
    <row r="9" spans="1:119" ht="15.75" customHeight="1">
      <c r="B9" s="176" t="s">
        <v>754</v>
      </c>
      <c r="C9" s="283"/>
      <c r="D9" s="143"/>
      <c r="E9" s="143"/>
      <c r="F9" s="143"/>
      <c r="G9" s="407">
        <v>0</v>
      </c>
      <c r="H9" s="407"/>
      <c r="I9" s="407"/>
      <c r="J9" s="407"/>
      <c r="K9" s="407"/>
      <c r="L9" s="407">
        <v>0</v>
      </c>
      <c r="M9" s="407"/>
      <c r="N9" s="407"/>
      <c r="O9" s="407"/>
      <c r="P9" s="407"/>
      <c r="Q9" s="407">
        <f>V9+CF!Q14</f>
        <v>28.638000000000002</v>
      </c>
      <c r="R9" s="407"/>
      <c r="S9" s="407"/>
      <c r="T9" s="407"/>
      <c r="U9" s="407"/>
      <c r="V9" s="407">
        <v>28.638000000000002</v>
      </c>
      <c r="W9" s="154"/>
      <c r="X9" s="154"/>
      <c r="Y9" s="154"/>
      <c r="Z9" s="154"/>
      <c r="AA9" s="407">
        <v>70.353999999999999</v>
      </c>
      <c r="AB9" s="154"/>
      <c r="AC9" s="154"/>
      <c r="AD9" s="154"/>
      <c r="AE9" s="154"/>
      <c r="AF9" s="407">
        <v>128.86099999999999</v>
      </c>
      <c r="AG9" s="154"/>
      <c r="AH9" s="154"/>
      <c r="AI9" s="154"/>
      <c r="AJ9" s="154"/>
      <c r="AK9" s="407">
        <v>238.578</v>
      </c>
      <c r="AL9" s="154"/>
      <c r="AM9" s="154"/>
      <c r="AN9" s="154"/>
      <c r="AO9" s="154"/>
      <c r="AP9" s="407">
        <v>399.35599999999999</v>
      </c>
      <c r="AQ9" s="154"/>
      <c r="AR9" s="154"/>
      <c r="AS9" s="154"/>
      <c r="AT9" s="154"/>
      <c r="AU9" s="407">
        <v>726.13800000000003</v>
      </c>
      <c r="AV9" s="154"/>
      <c r="AW9" s="154"/>
      <c r="AX9" s="154"/>
      <c r="AY9" s="154"/>
      <c r="AZ9" s="304">
        <f>AU9*1.1</f>
        <v>798.75180000000012</v>
      </c>
      <c r="BA9" s="154"/>
      <c r="BB9" s="154"/>
      <c r="BC9" s="154"/>
      <c r="BD9" s="154"/>
      <c r="BE9" s="304">
        <f>AZ9*1.1</f>
        <v>878.62698000000023</v>
      </c>
      <c r="BF9" s="154"/>
      <c r="BG9" s="154"/>
      <c r="BH9" s="154"/>
      <c r="BI9" s="154"/>
      <c r="BJ9" s="304">
        <f>BE9*1.1</f>
        <v>966.48967800000037</v>
      </c>
      <c r="BK9" s="304"/>
      <c r="BL9" s="304"/>
      <c r="BM9" s="304"/>
      <c r="BN9" s="304"/>
      <c r="BO9" s="304">
        <f>BJ9*1.1</f>
        <v>1063.1386458000004</v>
      </c>
      <c r="BP9" s="304"/>
      <c r="BQ9" s="304"/>
      <c r="BR9" s="304"/>
      <c r="BS9" s="304"/>
      <c r="BT9" s="304">
        <f>BO9*1.1</f>
        <v>1169.4525103800006</v>
      </c>
      <c r="BU9" s="304"/>
      <c r="BV9" s="304"/>
      <c r="BW9" s="304"/>
      <c r="BX9" s="304"/>
      <c r="BY9" s="304">
        <f>BT9*1.1</f>
        <v>1286.3977614180008</v>
      </c>
      <c r="BZ9" s="304"/>
      <c r="CA9" s="304"/>
      <c r="CB9" s="304"/>
      <c r="CC9" s="304"/>
      <c r="CD9" s="304">
        <f>BY9*1.1</f>
        <v>1415.037537559801</v>
      </c>
      <c r="CE9" s="304"/>
      <c r="CF9" s="304"/>
      <c r="CG9" s="304"/>
      <c r="CH9" s="304"/>
      <c r="CI9" s="304">
        <f>CD9*1.05</f>
        <v>1485.789414437791</v>
      </c>
      <c r="CJ9" s="304"/>
      <c r="CK9" s="304"/>
      <c r="CL9" s="304"/>
      <c r="CM9" s="304"/>
      <c r="CN9" s="304">
        <f>CI9*1.05</f>
        <v>1560.0788851596806</v>
      </c>
      <c r="CO9" s="304"/>
      <c r="CP9" s="304"/>
      <c r="CQ9" s="304"/>
      <c r="CR9" s="304"/>
      <c r="CS9" s="304">
        <f>CN9*1.05</f>
        <v>1638.0828294176647</v>
      </c>
      <c r="CT9" s="304"/>
      <c r="CU9" s="304"/>
      <c r="CV9" s="304"/>
      <c r="CW9" s="304"/>
      <c r="CX9" s="304">
        <f>CS9*1.05</f>
        <v>1719.9869708885481</v>
      </c>
      <c r="CY9" s="304"/>
      <c r="CZ9" s="304"/>
      <c r="DA9" s="304"/>
      <c r="DB9" s="304"/>
      <c r="DC9" s="304">
        <f>CX9*1.05</f>
        <v>1805.9863194329755</v>
      </c>
      <c r="DD9" s="304"/>
      <c r="DE9" s="304"/>
      <c r="DF9" s="304"/>
      <c r="DG9" s="304"/>
      <c r="DH9" s="304">
        <f>DC9*1.05</f>
        <v>1896.2856354046244</v>
      </c>
      <c r="DI9" s="143"/>
    </row>
    <row r="10" spans="1:119" ht="15.75" customHeight="1">
      <c r="B10" s="176" t="s">
        <v>236</v>
      </c>
      <c r="C10" s="283"/>
      <c r="D10" s="143"/>
      <c r="E10" s="143"/>
      <c r="F10" s="143"/>
      <c r="G10" s="407">
        <v>0</v>
      </c>
      <c r="H10" s="407"/>
      <c r="I10" s="407"/>
      <c r="J10" s="407"/>
      <c r="K10" s="407"/>
      <c r="L10" s="407">
        <v>0</v>
      </c>
      <c r="M10" s="407"/>
      <c r="N10" s="407"/>
      <c r="O10" s="407"/>
      <c r="P10" s="407"/>
      <c r="Q10" s="407">
        <v>0</v>
      </c>
      <c r="R10" s="407"/>
      <c r="S10" s="407"/>
      <c r="T10" s="407"/>
      <c r="U10" s="407"/>
      <c r="V10" s="407">
        <v>148.13399999999999</v>
      </c>
      <c r="W10" s="154"/>
      <c r="X10" s="154"/>
      <c r="Y10" s="154"/>
      <c r="Z10" s="154"/>
      <c r="AA10" s="407">
        <v>44.677</v>
      </c>
      <c r="AB10" s="154"/>
      <c r="AC10" s="154"/>
      <c r="AD10" s="154"/>
      <c r="AE10" s="154"/>
      <c r="AF10" s="407">
        <v>49.234999999999999</v>
      </c>
      <c r="AG10" s="154"/>
      <c r="AH10" s="154"/>
      <c r="AI10" s="154"/>
      <c r="AJ10" s="154"/>
      <c r="AK10" s="407">
        <v>0</v>
      </c>
      <c r="AL10" s="154"/>
      <c r="AM10" s="154"/>
      <c r="AN10" s="154"/>
      <c r="AO10" s="154"/>
      <c r="AP10" s="407">
        <v>0</v>
      </c>
      <c r="AQ10" s="154"/>
      <c r="AR10" s="154"/>
      <c r="AS10" s="154"/>
      <c r="AT10" s="154"/>
      <c r="AU10" s="407">
        <v>0</v>
      </c>
      <c r="AV10" s="154"/>
      <c r="AW10" s="154"/>
      <c r="AX10" s="154"/>
      <c r="AY10" s="154"/>
      <c r="AZ10" s="304">
        <f>AU10</f>
        <v>0</v>
      </c>
      <c r="BA10" s="154"/>
      <c r="BB10" s="154"/>
      <c r="BC10" s="154"/>
      <c r="BD10" s="154"/>
      <c r="BE10" s="304">
        <f>AZ10</f>
        <v>0</v>
      </c>
      <c r="BF10" s="154"/>
      <c r="BG10" s="154"/>
      <c r="BH10" s="154"/>
      <c r="BI10" s="154"/>
      <c r="BJ10" s="304">
        <f>BE10</f>
        <v>0</v>
      </c>
      <c r="BK10" s="304"/>
      <c r="BL10" s="304"/>
      <c r="BM10" s="304"/>
      <c r="BN10" s="304"/>
      <c r="BO10" s="304">
        <f>BJ10</f>
        <v>0</v>
      </c>
      <c r="BP10" s="304"/>
      <c r="BQ10" s="304"/>
      <c r="BR10" s="304"/>
      <c r="BS10" s="304"/>
      <c r="BT10" s="304">
        <f>BO10</f>
        <v>0</v>
      </c>
      <c r="BU10" s="304"/>
      <c r="BV10" s="304"/>
      <c r="BW10" s="304"/>
      <c r="BX10" s="304"/>
      <c r="BY10" s="304">
        <f>BT10</f>
        <v>0</v>
      </c>
      <c r="BZ10" s="304"/>
      <c r="CA10" s="304"/>
      <c r="CB10" s="304"/>
      <c r="CC10" s="304"/>
      <c r="CD10" s="304">
        <f>BY10</f>
        <v>0</v>
      </c>
      <c r="CE10" s="304"/>
      <c r="CF10" s="304"/>
      <c r="CG10" s="304"/>
      <c r="CH10" s="304"/>
      <c r="CI10" s="304">
        <f>CD10</f>
        <v>0</v>
      </c>
      <c r="CJ10" s="304"/>
      <c r="CK10" s="304"/>
      <c r="CL10" s="304"/>
      <c r="CM10" s="304"/>
      <c r="CN10" s="304">
        <f>CI10</f>
        <v>0</v>
      </c>
      <c r="CO10" s="304"/>
      <c r="CP10" s="304"/>
      <c r="CQ10" s="304"/>
      <c r="CR10" s="304"/>
      <c r="CS10" s="304">
        <f>CN10</f>
        <v>0</v>
      </c>
      <c r="CT10" s="304"/>
      <c r="CU10" s="304"/>
      <c r="CV10" s="304"/>
      <c r="CW10" s="304"/>
      <c r="CX10" s="304">
        <f>CS10</f>
        <v>0</v>
      </c>
      <c r="CY10" s="304"/>
      <c r="CZ10" s="304"/>
      <c r="DA10" s="304"/>
      <c r="DB10" s="304"/>
      <c r="DC10" s="304">
        <f>CX10</f>
        <v>0</v>
      </c>
      <c r="DD10" s="304"/>
      <c r="DE10" s="304"/>
      <c r="DF10" s="304"/>
      <c r="DG10" s="304"/>
      <c r="DH10" s="304">
        <f>DC10</f>
        <v>0</v>
      </c>
      <c r="DI10" s="143"/>
    </row>
    <row r="11" spans="1:119" ht="15.75" customHeight="1">
      <c r="B11" s="125" t="s">
        <v>27</v>
      </c>
      <c r="C11" s="283"/>
      <c r="D11" s="143"/>
      <c r="E11" s="143"/>
      <c r="F11" s="143"/>
      <c r="G11" s="407">
        <v>18.61</v>
      </c>
      <c r="H11" s="407"/>
      <c r="I11" s="407"/>
      <c r="J11" s="407"/>
      <c r="K11" s="407"/>
      <c r="L11" s="407">
        <v>15.141999999999999</v>
      </c>
      <c r="M11" s="407"/>
      <c r="N11" s="407"/>
      <c r="O11" s="407"/>
      <c r="P11" s="407"/>
      <c r="Q11" s="407">
        <f>35.8-Q9</f>
        <v>7.1619999999999955</v>
      </c>
      <c r="R11" s="407"/>
      <c r="S11" s="407"/>
      <c r="T11" s="407"/>
      <c r="U11" s="407"/>
      <c r="V11" s="407">
        <v>28.024999999999999</v>
      </c>
      <c r="W11" s="154"/>
      <c r="X11" s="154"/>
      <c r="Y11" s="154"/>
      <c r="Z11" s="154"/>
      <c r="AA11" s="826">
        <v>32.951999999999998</v>
      </c>
      <c r="AB11" s="154"/>
      <c r="AC11" s="154"/>
      <c r="AD11" s="154"/>
      <c r="AE11" s="154"/>
      <c r="AF11" s="407">
        <v>71.486000000000004</v>
      </c>
      <c r="AG11" s="154"/>
      <c r="AH11" s="154"/>
      <c r="AI11" s="154"/>
      <c r="AJ11" s="154"/>
      <c r="AK11" s="407">
        <v>163.501</v>
      </c>
      <c r="AL11" s="154"/>
      <c r="AM11" s="154"/>
      <c r="AN11" s="154"/>
      <c r="AO11" s="154"/>
      <c r="AP11" s="407">
        <v>130.52799999999999</v>
      </c>
      <c r="AQ11" s="154"/>
      <c r="AR11" s="154"/>
      <c r="AS11" s="154"/>
      <c r="AT11" s="154"/>
      <c r="AU11" s="407">
        <v>224.97200000000001</v>
      </c>
      <c r="AV11" s="154"/>
      <c r="AW11" s="154"/>
      <c r="AX11" s="154"/>
      <c r="AY11" s="154"/>
      <c r="AZ11" s="304">
        <f>AU11</f>
        <v>224.97200000000001</v>
      </c>
      <c r="BA11" s="154"/>
      <c r="BB11" s="154"/>
      <c r="BC11" s="154"/>
      <c r="BD11" s="154"/>
      <c r="BE11" s="304">
        <f>AZ11</f>
        <v>224.97200000000001</v>
      </c>
      <c r="BF11" s="154"/>
      <c r="BG11" s="154"/>
      <c r="BH11" s="154"/>
      <c r="BI11" s="154"/>
      <c r="BJ11" s="304">
        <f>BE11</f>
        <v>224.97200000000001</v>
      </c>
      <c r="BK11" s="304"/>
      <c r="BL11" s="304"/>
      <c r="BM11" s="304"/>
      <c r="BN11" s="304"/>
      <c r="BO11" s="304">
        <f>BJ11</f>
        <v>224.97200000000001</v>
      </c>
      <c r="BP11" s="304"/>
      <c r="BQ11" s="304"/>
      <c r="BR11" s="304"/>
      <c r="BS11" s="304"/>
      <c r="BT11" s="304">
        <f>BO11</f>
        <v>224.97200000000001</v>
      </c>
      <c r="BU11" s="304"/>
      <c r="BV11" s="304"/>
      <c r="BW11" s="304"/>
      <c r="BX11" s="304"/>
      <c r="BY11" s="304">
        <f>BT11</f>
        <v>224.97200000000001</v>
      </c>
      <c r="BZ11" s="304"/>
      <c r="CA11" s="304"/>
      <c r="CB11" s="304"/>
      <c r="CC11" s="304"/>
      <c r="CD11" s="304">
        <f>BY11</f>
        <v>224.97200000000001</v>
      </c>
      <c r="CE11" s="304"/>
      <c r="CF11" s="304"/>
      <c r="CG11" s="304"/>
      <c r="CH11" s="304"/>
      <c r="CI11" s="304">
        <f>CD11</f>
        <v>224.97200000000001</v>
      </c>
      <c r="CJ11" s="304"/>
      <c r="CK11" s="304"/>
      <c r="CL11" s="304"/>
      <c r="CM11" s="304"/>
      <c r="CN11" s="304">
        <f>CI11</f>
        <v>224.97200000000001</v>
      </c>
      <c r="CO11" s="304"/>
      <c r="CP11" s="304"/>
      <c r="CQ11" s="304"/>
      <c r="CR11" s="304"/>
      <c r="CS11" s="304">
        <f>CN11</f>
        <v>224.97200000000001</v>
      </c>
      <c r="CT11" s="304"/>
      <c r="CU11" s="304"/>
      <c r="CV11" s="304"/>
      <c r="CW11" s="304"/>
      <c r="CX11" s="304">
        <f>CS11</f>
        <v>224.97200000000001</v>
      </c>
      <c r="CY11" s="304"/>
      <c r="CZ11" s="304"/>
      <c r="DA11" s="304"/>
      <c r="DB11" s="304"/>
      <c r="DC11" s="304">
        <f>CX11</f>
        <v>224.97200000000001</v>
      </c>
      <c r="DD11" s="304"/>
      <c r="DE11" s="304"/>
      <c r="DF11" s="304"/>
      <c r="DG11" s="304"/>
      <c r="DH11" s="304">
        <f>DC11</f>
        <v>224.97200000000001</v>
      </c>
      <c r="DI11" s="143"/>
    </row>
    <row r="12" spans="1:119" ht="15.75" customHeight="1">
      <c r="A12" s="282" t="s">
        <v>1</v>
      </c>
      <c r="B12" s="243" t="s">
        <v>28</v>
      </c>
      <c r="C12" s="306"/>
      <c r="D12" s="274"/>
      <c r="E12" s="274"/>
      <c r="F12" s="274"/>
      <c r="G12" s="307">
        <f>G4+G5+G6+G7+G10+G11+G9+G8</f>
        <v>425.50800000000004</v>
      </c>
      <c r="H12" s="308"/>
      <c r="I12" s="308"/>
      <c r="J12" s="308"/>
      <c r="K12" s="308"/>
      <c r="L12" s="307">
        <f>L4+L5+L6+L7+L10+L11+L9+L8</f>
        <v>357.62200000000001</v>
      </c>
      <c r="M12" s="308"/>
      <c r="N12" s="308"/>
      <c r="O12" s="308"/>
      <c r="P12" s="308"/>
      <c r="Q12" s="307">
        <f>Q4+Q5+Q6+Q7+Q10+Q11+Q9+Q8</f>
        <v>665.77700000000016</v>
      </c>
      <c r="R12" s="308"/>
      <c r="S12" s="308"/>
      <c r="T12" s="308"/>
      <c r="U12" s="308"/>
      <c r="V12" s="307">
        <f>V4+V5+V6+V7+V10+V11+V9+V8</f>
        <v>1206.0119999999999</v>
      </c>
      <c r="W12" s="308"/>
      <c r="X12" s="308"/>
      <c r="Y12" s="308"/>
      <c r="Z12" s="308"/>
      <c r="AA12" s="307">
        <f>AA4+AA5+AA6+AA7+AA10+AA11+AA9+AA8</f>
        <v>1796.9339999999997</v>
      </c>
      <c r="AB12" s="307">
        <f t="shared" ref="AB12:BI12" si="0">AB4+AB5+AB6+AB7+AB10+AB11+AB9</f>
        <v>0</v>
      </c>
      <c r="AC12" s="307">
        <f t="shared" si="0"/>
        <v>0</v>
      </c>
      <c r="AD12" s="307">
        <f t="shared" si="0"/>
        <v>0</v>
      </c>
      <c r="AE12" s="307">
        <f t="shared" si="0"/>
        <v>0</v>
      </c>
      <c r="AF12" s="307">
        <f>AF4+AF5+AF6+AF7+AF10+AF11+AF9+AF8</f>
        <v>2167.4609999999998</v>
      </c>
      <c r="AG12" s="307"/>
      <c r="AH12" s="307"/>
      <c r="AI12" s="307"/>
      <c r="AJ12" s="307"/>
      <c r="AK12" s="307">
        <f>AK4+AK5+AK6+AK7+AK10+AK11+AK9+AK8</f>
        <v>2915.0950000000003</v>
      </c>
      <c r="AL12" s="307">
        <f t="shared" si="0"/>
        <v>0</v>
      </c>
      <c r="AM12" s="307">
        <f t="shared" si="0"/>
        <v>0</v>
      </c>
      <c r="AN12" s="307">
        <f t="shared" si="0"/>
        <v>0</v>
      </c>
      <c r="AO12" s="307">
        <f t="shared" si="0"/>
        <v>0</v>
      </c>
      <c r="AP12" s="307">
        <f>AP4+AP5+AP6+AP7+AP10+AP11+AP9+AP8</f>
        <v>3180.1879999999992</v>
      </c>
      <c r="AQ12" s="307">
        <f t="shared" si="0"/>
        <v>0</v>
      </c>
      <c r="AR12" s="307">
        <f t="shared" si="0"/>
        <v>0</v>
      </c>
      <c r="AS12" s="307">
        <f t="shared" si="0"/>
        <v>0</v>
      </c>
      <c r="AT12" s="307">
        <f t="shared" si="0"/>
        <v>0</v>
      </c>
      <c r="AU12" s="307">
        <f>AU4+AU5+AU6+AU7+AU10+AU11+AU9+AU8</f>
        <v>4335.03</v>
      </c>
      <c r="AV12" s="307">
        <f t="shared" si="0"/>
        <v>0</v>
      </c>
      <c r="AW12" s="307">
        <f t="shared" si="0"/>
        <v>0</v>
      </c>
      <c r="AX12" s="307">
        <f t="shared" si="0"/>
        <v>0</v>
      </c>
      <c r="AY12" s="307">
        <f t="shared" si="0"/>
        <v>0</v>
      </c>
      <c r="AZ12" s="307">
        <f>AZ4+AZ5+AZ6+AZ7+AZ10+AZ11+AZ9+AZ8</f>
        <v>6139.8391661927017</v>
      </c>
      <c r="BA12" s="307">
        <f t="shared" si="0"/>
        <v>0</v>
      </c>
      <c r="BB12" s="307">
        <f t="shared" si="0"/>
        <v>0</v>
      </c>
      <c r="BC12" s="307">
        <f t="shared" si="0"/>
        <v>0</v>
      </c>
      <c r="BD12" s="307">
        <f t="shared" si="0"/>
        <v>0</v>
      </c>
      <c r="BE12" s="307">
        <f>BE4+BE5+BE6+BE7+BE10+BE11+BE9+BE8</f>
        <v>8216.5954967138205</v>
      </c>
      <c r="BF12" s="307">
        <f t="shared" si="0"/>
        <v>0</v>
      </c>
      <c r="BG12" s="307">
        <f t="shared" si="0"/>
        <v>0</v>
      </c>
      <c r="BH12" s="307">
        <f t="shared" si="0"/>
        <v>0</v>
      </c>
      <c r="BI12" s="307">
        <f t="shared" si="0"/>
        <v>0</v>
      </c>
      <c r="BJ12" s="307">
        <f>BJ4+BJ5+BJ6+BJ7+BJ10+BJ11+BJ9+BJ8</f>
        <v>10773.399541736893</v>
      </c>
      <c r="BK12" s="304"/>
      <c r="BL12" s="304"/>
      <c r="BM12" s="304"/>
      <c r="BN12" s="304"/>
      <c r="BO12" s="307">
        <f t="shared" ref="BO12:DH12" si="1">BO4+BO5+BO6+BO7+BO10+BO11+BO9+BO8</f>
        <v>13785.299114536943</v>
      </c>
      <c r="BP12" s="304">
        <f t="shared" si="1"/>
        <v>0</v>
      </c>
      <c r="BQ12" s="304">
        <f t="shared" si="1"/>
        <v>0</v>
      </c>
      <c r="BR12" s="304">
        <f t="shared" si="1"/>
        <v>0</v>
      </c>
      <c r="BS12" s="304">
        <f t="shared" si="1"/>
        <v>0</v>
      </c>
      <c r="BT12" s="307">
        <f t="shared" si="1"/>
        <v>17322.016018936778</v>
      </c>
      <c r="BU12" s="307">
        <f t="shared" si="1"/>
        <v>0</v>
      </c>
      <c r="BV12" s="307">
        <f t="shared" si="1"/>
        <v>0</v>
      </c>
      <c r="BW12" s="307">
        <f t="shared" si="1"/>
        <v>0</v>
      </c>
      <c r="BX12" s="307">
        <f t="shared" si="1"/>
        <v>0</v>
      </c>
      <c r="BY12" s="307">
        <f t="shared" si="1"/>
        <v>21278.683976567834</v>
      </c>
      <c r="BZ12" s="307">
        <f t="shared" si="1"/>
        <v>0</v>
      </c>
      <c r="CA12" s="307">
        <f t="shared" si="1"/>
        <v>0</v>
      </c>
      <c r="CB12" s="307">
        <f t="shared" si="1"/>
        <v>0</v>
      </c>
      <c r="CC12" s="307">
        <f t="shared" si="1"/>
        <v>0</v>
      </c>
      <c r="CD12" s="307">
        <f t="shared" si="1"/>
        <v>25674.98144861553</v>
      </c>
      <c r="CE12" s="307">
        <f t="shared" si="1"/>
        <v>0</v>
      </c>
      <c r="CF12" s="307">
        <f t="shared" si="1"/>
        <v>0</v>
      </c>
      <c r="CG12" s="307">
        <f t="shared" si="1"/>
        <v>0</v>
      </c>
      <c r="CH12" s="307">
        <f t="shared" si="1"/>
        <v>0</v>
      </c>
      <c r="CI12" s="307">
        <f t="shared" si="1"/>
        <v>30473.178188883161</v>
      </c>
      <c r="CJ12" s="307">
        <f t="shared" si="1"/>
        <v>0</v>
      </c>
      <c r="CK12" s="307">
        <f t="shared" si="1"/>
        <v>0</v>
      </c>
      <c r="CL12" s="307">
        <f t="shared" si="1"/>
        <v>0</v>
      </c>
      <c r="CM12" s="307">
        <f t="shared" si="1"/>
        <v>0</v>
      </c>
      <c r="CN12" s="307">
        <f t="shared" si="1"/>
        <v>35343.244308093679</v>
      </c>
      <c r="CO12" s="307">
        <f t="shared" si="1"/>
        <v>0</v>
      </c>
      <c r="CP12" s="307">
        <f t="shared" si="1"/>
        <v>0</v>
      </c>
      <c r="CQ12" s="307">
        <f t="shared" si="1"/>
        <v>0</v>
      </c>
      <c r="CR12" s="307">
        <f t="shared" si="1"/>
        <v>0</v>
      </c>
      <c r="CS12" s="307">
        <f t="shared" si="1"/>
        <v>40114.068355049341</v>
      </c>
      <c r="CT12" s="307">
        <f t="shared" si="1"/>
        <v>0</v>
      </c>
      <c r="CU12" s="307">
        <f t="shared" si="1"/>
        <v>0</v>
      </c>
      <c r="CV12" s="307">
        <f t="shared" si="1"/>
        <v>0</v>
      </c>
      <c r="CW12" s="307">
        <f t="shared" si="1"/>
        <v>0</v>
      </c>
      <c r="CX12" s="307">
        <f t="shared" si="1"/>
        <v>45100.43951180741</v>
      </c>
      <c r="CY12" s="307">
        <f t="shared" si="1"/>
        <v>0</v>
      </c>
      <c r="CZ12" s="307">
        <f t="shared" si="1"/>
        <v>0</v>
      </c>
      <c r="DA12" s="307">
        <f t="shared" si="1"/>
        <v>0</v>
      </c>
      <c r="DB12" s="307">
        <f t="shared" si="1"/>
        <v>0</v>
      </c>
      <c r="DC12" s="307">
        <f t="shared" si="1"/>
        <v>49773.654254971516</v>
      </c>
      <c r="DD12" s="307">
        <f t="shared" si="1"/>
        <v>0</v>
      </c>
      <c r="DE12" s="307">
        <f t="shared" si="1"/>
        <v>0</v>
      </c>
      <c r="DF12" s="307">
        <f t="shared" si="1"/>
        <v>0</v>
      </c>
      <c r="DG12" s="307">
        <f t="shared" si="1"/>
        <v>0</v>
      </c>
      <c r="DH12" s="307">
        <f t="shared" si="1"/>
        <v>54698.850506340015</v>
      </c>
      <c r="DI12" s="143"/>
    </row>
    <row r="13" spans="1:119" ht="5.25" customHeight="1">
      <c r="C13" s="283"/>
      <c r="D13" s="143"/>
      <c r="E13" s="143"/>
      <c r="F13" s="143"/>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54"/>
      <c r="AO13" s="154"/>
      <c r="AP13" s="154"/>
      <c r="AQ13" s="154"/>
      <c r="AR13" s="154"/>
      <c r="AS13" s="154"/>
      <c r="AT13" s="154"/>
      <c r="AU13" s="154"/>
      <c r="AV13" s="154"/>
      <c r="AW13" s="154"/>
      <c r="AX13" s="154"/>
      <c r="AY13" s="154"/>
      <c r="AZ13" s="154"/>
      <c r="BA13" s="154"/>
      <c r="BB13" s="154"/>
      <c r="BC13" s="154"/>
      <c r="BD13" s="154"/>
      <c r="BE13" s="154"/>
      <c r="BF13" s="154"/>
      <c r="BG13" s="154"/>
      <c r="BH13" s="154"/>
      <c r="BI13" s="154"/>
      <c r="BJ13" s="154"/>
      <c r="BK13" s="154"/>
      <c r="BL13" s="154"/>
      <c r="BM13" s="154"/>
      <c r="BN13" s="154"/>
      <c r="BO13" s="154"/>
      <c r="BP13" s="154"/>
      <c r="BQ13" s="154"/>
      <c r="BR13" s="154"/>
      <c r="BS13" s="154"/>
      <c r="BT13" s="154"/>
      <c r="BU13" s="154"/>
      <c r="BV13" s="154"/>
      <c r="BW13" s="154"/>
      <c r="BX13" s="154"/>
      <c r="BY13" s="154"/>
      <c r="BZ13" s="154"/>
      <c r="CA13" s="154"/>
      <c r="CB13" s="154"/>
      <c r="CC13" s="154"/>
      <c r="CD13" s="154"/>
      <c r="CE13" s="154"/>
      <c r="CF13" s="154"/>
      <c r="CG13" s="154"/>
      <c r="CH13" s="154"/>
      <c r="CI13" s="154"/>
      <c r="CJ13" s="154"/>
      <c r="CK13" s="154"/>
      <c r="CL13" s="154"/>
      <c r="CM13" s="154"/>
      <c r="CN13" s="154"/>
      <c r="CO13" s="154"/>
      <c r="CP13" s="154"/>
      <c r="CQ13" s="154"/>
      <c r="CR13" s="154"/>
      <c r="CS13" s="154"/>
      <c r="CT13" s="154"/>
      <c r="CU13" s="154"/>
      <c r="CV13" s="154"/>
      <c r="CW13" s="154"/>
      <c r="CX13" s="154"/>
      <c r="CY13" s="154"/>
      <c r="CZ13" s="154"/>
      <c r="DA13" s="154"/>
      <c r="DB13" s="154"/>
      <c r="DC13" s="154"/>
      <c r="DD13" s="154"/>
      <c r="DE13" s="154"/>
      <c r="DF13" s="154"/>
      <c r="DG13" s="154"/>
      <c r="DH13" s="154"/>
      <c r="DI13" s="143"/>
    </row>
    <row r="14" spans="1:119" ht="15.75" customHeight="1">
      <c r="B14" s="176" t="s">
        <v>237</v>
      </c>
      <c r="C14" s="283"/>
      <c r="D14" s="143"/>
      <c r="E14" s="143"/>
      <c r="F14" s="143"/>
      <c r="G14" s="407">
        <v>1.6</v>
      </c>
      <c r="H14" s="407"/>
      <c r="I14" s="407"/>
      <c r="J14" s="407"/>
      <c r="K14" s="407"/>
      <c r="L14" s="407">
        <v>7.5179999999999998</v>
      </c>
      <c r="M14" s="407"/>
      <c r="N14" s="407"/>
      <c r="O14" s="407"/>
      <c r="P14" s="407"/>
      <c r="Q14" s="407">
        <v>7.7210000000000001</v>
      </c>
      <c r="R14" s="407"/>
      <c r="S14" s="407"/>
      <c r="T14" s="407"/>
      <c r="U14" s="407"/>
      <c r="V14" s="407">
        <v>8.1859999999999999</v>
      </c>
      <c r="W14" s="154"/>
      <c r="X14" s="154"/>
      <c r="Y14" s="154"/>
      <c r="Z14" s="154"/>
      <c r="AA14" s="304">
        <v>0</v>
      </c>
      <c r="AB14" s="154"/>
      <c r="AC14" s="154"/>
      <c r="AD14" s="154"/>
      <c r="AE14" s="154"/>
      <c r="AF14" s="407">
        <v>0</v>
      </c>
      <c r="AG14" s="154"/>
      <c r="AH14" s="154"/>
      <c r="AI14" s="154"/>
      <c r="AJ14" s="154"/>
      <c r="AK14" s="407">
        <v>0</v>
      </c>
      <c r="AL14" s="154"/>
      <c r="AM14" s="154"/>
      <c r="AN14" s="154"/>
      <c r="AO14" s="154"/>
      <c r="AP14" s="407">
        <v>0</v>
      </c>
      <c r="AQ14" s="154"/>
      <c r="AR14" s="154"/>
      <c r="AS14" s="154"/>
      <c r="AT14" s="154"/>
      <c r="AU14" s="407">
        <v>0</v>
      </c>
      <c r="AV14" s="154"/>
      <c r="AW14" s="154"/>
      <c r="AX14" s="154"/>
      <c r="AY14" s="154"/>
      <c r="AZ14" s="304">
        <f>AU14</f>
        <v>0</v>
      </c>
      <c r="BA14" s="154"/>
      <c r="BB14" s="154"/>
      <c r="BC14" s="154"/>
      <c r="BD14" s="154"/>
      <c r="BE14" s="304">
        <f>AZ14</f>
        <v>0</v>
      </c>
      <c r="BF14" s="154"/>
      <c r="BG14" s="154"/>
      <c r="BH14" s="154"/>
      <c r="BI14" s="154"/>
      <c r="BJ14" s="304">
        <f>BE14</f>
        <v>0</v>
      </c>
      <c r="BK14" s="304"/>
      <c r="BL14" s="304"/>
      <c r="BM14" s="304"/>
      <c r="BN14" s="304"/>
      <c r="BO14" s="304">
        <f>BJ14</f>
        <v>0</v>
      </c>
      <c r="BP14" s="304"/>
      <c r="BQ14" s="304"/>
      <c r="BR14" s="304"/>
      <c r="BS14" s="304"/>
      <c r="BT14" s="304">
        <f>BO14</f>
        <v>0</v>
      </c>
      <c r="BU14" s="304"/>
      <c r="BV14" s="304"/>
      <c r="BW14" s="304"/>
      <c r="BX14" s="304"/>
      <c r="BY14" s="304">
        <f>BT14</f>
        <v>0</v>
      </c>
      <c r="BZ14" s="304"/>
      <c r="CA14" s="304"/>
      <c r="CB14" s="304"/>
      <c r="CC14" s="304"/>
      <c r="CD14" s="304">
        <f>BY14</f>
        <v>0</v>
      </c>
      <c r="CE14" s="304"/>
      <c r="CF14" s="304"/>
      <c r="CG14" s="304"/>
      <c r="CH14" s="304"/>
      <c r="CI14" s="304">
        <f>CD14</f>
        <v>0</v>
      </c>
      <c r="CJ14" s="304"/>
      <c r="CK14" s="304"/>
      <c r="CL14" s="304"/>
      <c r="CM14" s="304"/>
      <c r="CN14" s="304">
        <f>CI14</f>
        <v>0</v>
      </c>
      <c r="CO14" s="304"/>
      <c r="CP14" s="304"/>
      <c r="CQ14" s="304"/>
      <c r="CR14" s="304"/>
      <c r="CS14" s="304">
        <f>CN14</f>
        <v>0</v>
      </c>
      <c r="CT14" s="304"/>
      <c r="CU14" s="304"/>
      <c r="CV14" s="304"/>
      <c r="CW14" s="304"/>
      <c r="CX14" s="304">
        <f>CS14</f>
        <v>0</v>
      </c>
      <c r="CY14" s="304"/>
      <c r="CZ14" s="304"/>
      <c r="DA14" s="304"/>
      <c r="DB14" s="304"/>
      <c r="DC14" s="304">
        <f>CX14</f>
        <v>0</v>
      </c>
      <c r="DD14" s="304"/>
      <c r="DE14" s="304"/>
      <c r="DF14" s="304"/>
      <c r="DG14" s="304"/>
      <c r="DH14" s="304">
        <f>DC14</f>
        <v>0</v>
      </c>
      <c r="DI14" s="143"/>
    </row>
    <row r="15" spans="1:119" ht="15.75" customHeight="1">
      <c r="B15" s="176" t="s">
        <v>233</v>
      </c>
      <c r="C15" s="283"/>
      <c r="D15" s="143"/>
      <c r="E15" s="143"/>
      <c r="F15" s="143"/>
      <c r="G15" s="407">
        <v>47.08</v>
      </c>
      <c r="H15" s="407"/>
      <c r="I15" s="407"/>
      <c r="J15" s="407"/>
      <c r="K15" s="407"/>
      <c r="L15" s="407">
        <v>370.053</v>
      </c>
      <c r="M15" s="407"/>
      <c r="N15" s="407"/>
      <c r="O15" s="407"/>
      <c r="P15" s="407"/>
      <c r="Q15" s="407">
        <v>275.887</v>
      </c>
      <c r="R15" s="407"/>
      <c r="S15" s="407"/>
      <c r="T15" s="407"/>
      <c r="U15" s="407"/>
      <c r="V15" s="407">
        <v>271.23</v>
      </c>
      <c r="W15" s="154"/>
      <c r="X15" s="154"/>
      <c r="Y15" s="154"/>
      <c r="Z15" s="154"/>
      <c r="AA15" s="407">
        <v>389.89100000000002</v>
      </c>
      <c r="AB15" s="154"/>
      <c r="AC15" s="154"/>
      <c r="AD15" s="154"/>
      <c r="AE15" s="154"/>
      <c r="AF15" s="407">
        <v>460.154</v>
      </c>
      <c r="AG15" s="154"/>
      <c r="AH15" s="154"/>
      <c r="AI15" s="154"/>
      <c r="AJ15" s="154"/>
      <c r="AK15" s="407">
        <v>632.16200000000003</v>
      </c>
      <c r="AL15" s="154"/>
      <c r="AM15" s="154"/>
      <c r="AN15" s="154"/>
      <c r="AO15" s="154"/>
      <c r="AP15" s="407">
        <v>864.26</v>
      </c>
      <c r="AQ15" s="154"/>
      <c r="AR15" s="154"/>
      <c r="AS15" s="154"/>
      <c r="AT15" s="154"/>
      <c r="AU15" s="407">
        <v>1486.4939999999999</v>
      </c>
      <c r="AV15" s="154"/>
      <c r="AW15" s="154"/>
      <c r="AX15" s="154"/>
      <c r="AY15" s="154"/>
      <c r="AZ15" s="304">
        <f>AU15</f>
        <v>1486.4939999999999</v>
      </c>
      <c r="BA15" s="154"/>
      <c r="BB15" s="154"/>
      <c r="BC15" s="154"/>
      <c r="BD15" s="154"/>
      <c r="BE15" s="304">
        <f>AZ15</f>
        <v>1486.4939999999999</v>
      </c>
      <c r="BF15" s="154"/>
      <c r="BG15" s="154"/>
      <c r="BH15" s="154"/>
      <c r="BI15" s="154"/>
      <c r="BJ15" s="304">
        <f>BE15</f>
        <v>1486.4939999999999</v>
      </c>
      <c r="BK15" s="304"/>
      <c r="BL15" s="304"/>
      <c r="BM15" s="304"/>
      <c r="BN15" s="304"/>
      <c r="BO15" s="304">
        <f t="shared" ref="BO15:DH15" si="2">BJ15</f>
        <v>1486.4939999999999</v>
      </c>
      <c r="BP15" s="304">
        <f t="shared" si="2"/>
        <v>0</v>
      </c>
      <c r="BQ15" s="304">
        <f t="shared" si="2"/>
        <v>0</v>
      </c>
      <c r="BR15" s="304">
        <f t="shared" si="2"/>
        <v>0</v>
      </c>
      <c r="BS15" s="304">
        <f t="shared" si="2"/>
        <v>0</v>
      </c>
      <c r="BT15" s="304">
        <f t="shared" si="2"/>
        <v>1486.4939999999999</v>
      </c>
      <c r="BU15" s="304">
        <f t="shared" si="2"/>
        <v>0</v>
      </c>
      <c r="BV15" s="304">
        <f t="shared" si="2"/>
        <v>0</v>
      </c>
      <c r="BW15" s="304">
        <f t="shared" si="2"/>
        <v>0</v>
      </c>
      <c r="BX15" s="304">
        <f t="shared" si="2"/>
        <v>0</v>
      </c>
      <c r="BY15" s="304">
        <f t="shared" si="2"/>
        <v>1486.4939999999999</v>
      </c>
      <c r="BZ15" s="304">
        <f t="shared" si="2"/>
        <v>0</v>
      </c>
      <c r="CA15" s="304">
        <f t="shared" si="2"/>
        <v>0</v>
      </c>
      <c r="CB15" s="304">
        <f t="shared" si="2"/>
        <v>0</v>
      </c>
      <c r="CC15" s="304">
        <f t="shared" si="2"/>
        <v>0</v>
      </c>
      <c r="CD15" s="304">
        <f t="shared" si="2"/>
        <v>1486.4939999999999</v>
      </c>
      <c r="CE15" s="304">
        <f t="shared" si="2"/>
        <v>0</v>
      </c>
      <c r="CF15" s="304">
        <f t="shared" si="2"/>
        <v>0</v>
      </c>
      <c r="CG15" s="304">
        <f t="shared" si="2"/>
        <v>0</v>
      </c>
      <c r="CH15" s="304">
        <f t="shared" si="2"/>
        <v>0</v>
      </c>
      <c r="CI15" s="304">
        <f t="shared" si="2"/>
        <v>1486.4939999999999</v>
      </c>
      <c r="CJ15" s="304">
        <f t="shared" si="2"/>
        <v>0</v>
      </c>
      <c r="CK15" s="304">
        <f t="shared" si="2"/>
        <v>0</v>
      </c>
      <c r="CL15" s="304">
        <f t="shared" si="2"/>
        <v>0</v>
      </c>
      <c r="CM15" s="304">
        <f t="shared" si="2"/>
        <v>0</v>
      </c>
      <c r="CN15" s="304">
        <f t="shared" si="2"/>
        <v>1486.4939999999999</v>
      </c>
      <c r="CO15" s="304">
        <f t="shared" si="2"/>
        <v>0</v>
      </c>
      <c r="CP15" s="304">
        <f t="shared" si="2"/>
        <v>0</v>
      </c>
      <c r="CQ15" s="304">
        <f t="shared" si="2"/>
        <v>0</v>
      </c>
      <c r="CR15" s="304">
        <f t="shared" si="2"/>
        <v>0</v>
      </c>
      <c r="CS15" s="304">
        <f t="shared" si="2"/>
        <v>1486.4939999999999</v>
      </c>
      <c r="CT15" s="304">
        <f t="shared" si="2"/>
        <v>0</v>
      </c>
      <c r="CU15" s="304">
        <f t="shared" si="2"/>
        <v>0</v>
      </c>
      <c r="CV15" s="304">
        <f t="shared" si="2"/>
        <v>0</v>
      </c>
      <c r="CW15" s="304">
        <f t="shared" si="2"/>
        <v>0</v>
      </c>
      <c r="CX15" s="304">
        <f t="shared" si="2"/>
        <v>1486.4939999999999</v>
      </c>
      <c r="CY15" s="304">
        <f t="shared" si="2"/>
        <v>0</v>
      </c>
      <c r="CZ15" s="304">
        <f t="shared" si="2"/>
        <v>0</v>
      </c>
      <c r="DA15" s="304">
        <f t="shared" si="2"/>
        <v>0</v>
      </c>
      <c r="DB15" s="304">
        <f t="shared" si="2"/>
        <v>0</v>
      </c>
      <c r="DC15" s="304">
        <f t="shared" si="2"/>
        <v>1486.4939999999999</v>
      </c>
      <c r="DD15" s="304">
        <f t="shared" si="2"/>
        <v>0</v>
      </c>
      <c r="DE15" s="304">
        <f t="shared" si="2"/>
        <v>0</v>
      </c>
      <c r="DF15" s="304">
        <f t="shared" si="2"/>
        <v>0</v>
      </c>
      <c r="DG15" s="304">
        <f t="shared" si="2"/>
        <v>0</v>
      </c>
      <c r="DH15" s="304">
        <f t="shared" si="2"/>
        <v>1486.4939999999999</v>
      </c>
      <c r="DI15" s="143"/>
    </row>
    <row r="16" spans="1:119" ht="15.75" hidden="1" customHeight="1" outlineLevel="1">
      <c r="B16" s="176" t="s">
        <v>186</v>
      </c>
      <c r="C16" s="283"/>
      <c r="D16" s="143"/>
      <c r="E16" s="143"/>
      <c r="F16" s="143"/>
      <c r="G16" s="154"/>
      <c r="H16" s="154"/>
      <c r="I16" s="154"/>
      <c r="J16" s="154"/>
      <c r="K16" s="154"/>
      <c r="L16" s="154"/>
      <c r="M16" s="154"/>
      <c r="N16" s="154"/>
      <c r="O16" s="154"/>
      <c r="P16" s="154"/>
      <c r="Q16" s="154"/>
      <c r="R16" s="154"/>
      <c r="S16" s="154"/>
      <c r="T16" s="154"/>
      <c r="U16" s="154"/>
      <c r="V16" s="304"/>
      <c r="W16" s="154"/>
      <c r="X16" s="154"/>
      <c r="Y16" s="154"/>
      <c r="Z16" s="154"/>
      <c r="AA16" s="304"/>
      <c r="AB16" s="154"/>
      <c r="AC16" s="154"/>
      <c r="AD16" s="154"/>
      <c r="AE16" s="154"/>
      <c r="AF16" s="304"/>
      <c r="AG16" s="154"/>
      <c r="AH16" s="154"/>
      <c r="AI16" s="154"/>
      <c r="AJ16" s="154"/>
      <c r="AK16" s="304"/>
      <c r="AL16" s="154"/>
      <c r="AM16" s="154"/>
      <c r="AN16" s="154"/>
      <c r="AO16" s="154"/>
      <c r="AP16" s="304"/>
      <c r="AQ16" s="154"/>
      <c r="AR16" s="154"/>
      <c r="AS16" s="154"/>
      <c r="AT16" s="154"/>
      <c r="AU16" s="407">
        <f>-CF!AU24</f>
        <v>272.62599999999998</v>
      </c>
      <c r="AV16" s="154"/>
      <c r="AW16" s="154"/>
      <c r="AX16" s="154"/>
      <c r="AY16" s="154"/>
      <c r="AZ16" s="304">
        <f>-CF!AZ24</f>
        <v>422.57029999999997</v>
      </c>
      <c r="BA16" s="154"/>
      <c r="BB16" s="154"/>
      <c r="BC16" s="154"/>
      <c r="BD16" s="154"/>
      <c r="BE16" s="304">
        <f>-CF!BE24</f>
        <v>431.02170599999999</v>
      </c>
      <c r="BF16" s="154"/>
      <c r="BG16" s="154"/>
      <c r="BH16" s="154"/>
      <c r="BI16" s="154"/>
      <c r="BJ16" s="304">
        <f>-CF!BJ24</f>
        <v>439.64214012000002</v>
      </c>
      <c r="BK16" s="304"/>
      <c r="BL16" s="304"/>
      <c r="BM16" s="304"/>
      <c r="BN16" s="304"/>
      <c r="BO16" s="304">
        <f>-CF!BO24</f>
        <v>448.43498292240002</v>
      </c>
      <c r="BP16" s="304"/>
      <c r="BQ16" s="304"/>
      <c r="BR16" s="304"/>
      <c r="BS16" s="304"/>
      <c r="BT16" s="304">
        <f>-CF!BT24</f>
        <v>457.40368258084806</v>
      </c>
      <c r="BU16" s="304"/>
      <c r="BV16" s="304"/>
      <c r="BW16" s="304"/>
      <c r="BX16" s="304"/>
      <c r="BY16" s="304">
        <f>-CF!BY24</f>
        <v>466.55175623246504</v>
      </c>
      <c r="BZ16" s="304"/>
      <c r="CA16" s="304"/>
      <c r="CB16" s="304"/>
      <c r="CC16" s="304"/>
      <c r="CD16" s="304">
        <f>-CF!CD24</f>
        <v>475.88279135711434</v>
      </c>
      <c r="CE16" s="304"/>
      <c r="CF16" s="304"/>
      <c r="CG16" s="304"/>
      <c r="CH16" s="304"/>
      <c r="CI16" s="304">
        <f>-CF!CI24</f>
        <v>485.40044718425662</v>
      </c>
      <c r="CJ16" s="304"/>
      <c r="CK16" s="304"/>
      <c r="CL16" s="304"/>
      <c r="CM16" s="304"/>
      <c r="CN16" s="304">
        <f>-CF!CN24</f>
        <v>495.10845612794174</v>
      </c>
      <c r="CO16" s="304"/>
      <c r="CP16" s="304"/>
      <c r="CQ16" s="304"/>
      <c r="CR16" s="304"/>
      <c r="CS16" s="304">
        <f>-CF!CS24</f>
        <v>505.0106252505006</v>
      </c>
      <c r="CT16" s="304"/>
      <c r="CU16" s="304"/>
      <c r="CV16" s="304"/>
      <c r="CW16" s="304"/>
      <c r="CX16" s="304">
        <f>-CF!CX24</f>
        <v>515.1108377555106</v>
      </c>
      <c r="CY16" s="304"/>
      <c r="CZ16" s="304"/>
      <c r="DA16" s="304"/>
      <c r="DB16" s="304"/>
      <c r="DC16" s="304">
        <f>-CF!DC24</f>
        <v>525.41305451062078</v>
      </c>
      <c r="DD16" s="304"/>
      <c r="DE16" s="304"/>
      <c r="DF16" s="304"/>
      <c r="DG16" s="304"/>
      <c r="DH16" s="304">
        <f>-CF!DH24</f>
        <v>535.92131560083317</v>
      </c>
      <c r="DI16" s="143"/>
    </row>
    <row r="17" spans="1:113" ht="15.75" hidden="1" customHeight="1" outlineLevel="1">
      <c r="B17" s="176" t="s">
        <v>187</v>
      </c>
      <c r="C17" s="283"/>
      <c r="D17" s="143"/>
      <c r="E17" s="143"/>
      <c r="F17" s="143"/>
      <c r="G17" s="154"/>
      <c r="H17" s="154"/>
      <c r="I17" s="154"/>
      <c r="J17" s="154"/>
      <c r="K17" s="154"/>
      <c r="L17" s="154"/>
      <c r="M17" s="154"/>
      <c r="N17" s="154"/>
      <c r="O17" s="154"/>
      <c r="P17" s="154"/>
      <c r="Q17" s="154"/>
      <c r="R17" s="154"/>
      <c r="S17" s="154"/>
      <c r="T17" s="154"/>
      <c r="U17" s="154"/>
      <c r="V17" s="304"/>
      <c r="W17" s="154"/>
      <c r="X17" s="154"/>
      <c r="Y17" s="154"/>
      <c r="Z17" s="154"/>
      <c r="AA17" s="304"/>
      <c r="AB17" s="154"/>
      <c r="AC17" s="154"/>
      <c r="AD17" s="154"/>
      <c r="AE17" s="154"/>
      <c r="AF17" s="304"/>
      <c r="AG17" s="154"/>
      <c r="AH17" s="154"/>
      <c r="AI17" s="154"/>
      <c r="AJ17" s="154"/>
      <c r="AK17" s="304"/>
      <c r="AL17" s="154"/>
      <c r="AM17" s="154"/>
      <c r="AN17" s="154"/>
      <c r="AO17" s="154"/>
      <c r="AP17" s="304"/>
      <c r="AQ17" s="154"/>
      <c r="AR17" s="154"/>
      <c r="AS17" s="154"/>
      <c r="AT17" s="154"/>
      <c r="AU17" s="407">
        <f>-CF!AU6</f>
        <v>-145.46700000000001</v>
      </c>
      <c r="AV17" s="154"/>
      <c r="AW17" s="154"/>
      <c r="AX17" s="154"/>
      <c r="AY17" s="154"/>
      <c r="AZ17" s="304">
        <f>-CF!AZ6</f>
        <v>-152.74035000000001</v>
      </c>
      <c r="BA17" s="154"/>
      <c r="BB17" s="154"/>
      <c r="BC17" s="154"/>
      <c r="BD17" s="154"/>
      <c r="BE17" s="304">
        <f>-CF!BE6</f>
        <v>-160.37736750000002</v>
      </c>
      <c r="BF17" s="154"/>
      <c r="BG17" s="154"/>
      <c r="BH17" s="154"/>
      <c r="BI17" s="154"/>
      <c r="BJ17" s="304">
        <f>-CF!BJ6</f>
        <v>-168.39623587500003</v>
      </c>
      <c r="BK17" s="304"/>
      <c r="BL17" s="304"/>
      <c r="BM17" s="304"/>
      <c r="BN17" s="304"/>
      <c r="BO17" s="304">
        <f>-CF!BO6</f>
        <v>-176.81604766875003</v>
      </c>
      <c r="BP17" s="304"/>
      <c r="BQ17" s="304"/>
      <c r="BR17" s="304"/>
      <c r="BS17" s="304"/>
      <c r="BT17" s="304">
        <f>-CF!BT6</f>
        <v>-185.65685005218754</v>
      </c>
      <c r="BU17" s="304"/>
      <c r="BV17" s="304"/>
      <c r="BW17" s="304"/>
      <c r="BX17" s="304"/>
      <c r="BY17" s="304">
        <f>-CF!BY6</f>
        <v>-194.93969255479692</v>
      </c>
      <c r="BZ17" s="304"/>
      <c r="CA17" s="304"/>
      <c r="CB17" s="304"/>
      <c r="CC17" s="304"/>
      <c r="CD17" s="304">
        <f>-CF!CD6</f>
        <v>-204.68667718253678</v>
      </c>
      <c r="CE17" s="304"/>
      <c r="CF17" s="304"/>
      <c r="CG17" s="304"/>
      <c r="CH17" s="304"/>
      <c r="CI17" s="304">
        <f>-CF!CI6</f>
        <v>-214.92101104166363</v>
      </c>
      <c r="CJ17" s="304"/>
      <c r="CK17" s="304"/>
      <c r="CL17" s="304"/>
      <c r="CM17" s="304"/>
      <c r="CN17" s="304">
        <f>-CF!CN6</f>
        <v>-225.66706159374684</v>
      </c>
      <c r="CO17" s="304"/>
      <c r="CP17" s="304"/>
      <c r="CQ17" s="304"/>
      <c r="CR17" s="304"/>
      <c r="CS17" s="304">
        <f>-CF!CS6</f>
        <v>-236.95041467343418</v>
      </c>
      <c r="CT17" s="304"/>
      <c r="CU17" s="304"/>
      <c r="CV17" s="304"/>
      <c r="CW17" s="304"/>
      <c r="CX17" s="304">
        <f>-CF!CX6</f>
        <v>-248.79793540710591</v>
      </c>
      <c r="CY17" s="304"/>
      <c r="CZ17" s="304"/>
      <c r="DA17" s="304"/>
      <c r="DB17" s="304"/>
      <c r="DC17" s="304">
        <f>-CF!DC6</f>
        <v>-261.2378321774612</v>
      </c>
      <c r="DD17" s="304"/>
      <c r="DE17" s="304"/>
      <c r="DF17" s="304"/>
      <c r="DG17" s="304"/>
      <c r="DH17" s="304">
        <f>-CF!DH6</f>
        <v>-274.29972378633425</v>
      </c>
      <c r="DI17" s="143"/>
    </row>
    <row r="18" spans="1:113" ht="15.75" customHeight="1" collapsed="1">
      <c r="B18" s="125" t="s">
        <v>29</v>
      </c>
      <c r="C18" s="283"/>
      <c r="D18" s="143"/>
      <c r="E18" s="143"/>
      <c r="F18" s="143"/>
      <c r="G18" s="407">
        <v>259.67599999999999</v>
      </c>
      <c r="H18" s="407"/>
      <c r="I18" s="407"/>
      <c r="J18" s="407"/>
      <c r="K18" s="407"/>
      <c r="L18" s="407">
        <v>347.45</v>
      </c>
      <c r="M18" s="407"/>
      <c r="N18" s="407"/>
      <c r="O18" s="407"/>
      <c r="P18" s="407"/>
      <c r="Q18" s="407">
        <v>367.95499999999998</v>
      </c>
      <c r="R18" s="407"/>
      <c r="S18" s="407"/>
      <c r="T18" s="407"/>
      <c r="U18" s="407"/>
      <c r="V18" s="407">
        <v>379.94</v>
      </c>
      <c r="W18" s="154"/>
      <c r="X18" s="154"/>
      <c r="Y18" s="154"/>
      <c r="Z18" s="154"/>
      <c r="AA18" s="407">
        <v>526.98299999999995</v>
      </c>
      <c r="AB18" s="154"/>
      <c r="AC18" s="154"/>
      <c r="AD18" s="154"/>
      <c r="AE18" s="154"/>
      <c r="AF18" s="407">
        <v>974.30899999999997</v>
      </c>
      <c r="AG18" s="154"/>
      <c r="AH18" s="154"/>
      <c r="AI18" s="154"/>
      <c r="AJ18" s="154"/>
      <c r="AK18" s="407">
        <v>1594.12</v>
      </c>
      <c r="AL18" s="154"/>
      <c r="AM18" s="154"/>
      <c r="AN18" s="154"/>
      <c r="AO18" s="154"/>
      <c r="AP18" s="407">
        <v>2083.4209999999998</v>
      </c>
      <c r="AQ18" s="154"/>
      <c r="AR18" s="154"/>
      <c r="AS18" s="154"/>
      <c r="AT18" s="154"/>
      <c r="AU18" s="407">
        <v>2358.605</v>
      </c>
      <c r="AV18" s="154"/>
      <c r="AW18" s="154"/>
      <c r="AX18" s="154"/>
      <c r="AY18" s="154"/>
      <c r="AZ18" s="304">
        <f>AU18+AZ16+AZ17</f>
        <v>2628.4349499999998</v>
      </c>
      <c r="BA18" s="154"/>
      <c r="BB18" s="154"/>
      <c r="BC18" s="154"/>
      <c r="BD18" s="154"/>
      <c r="BE18" s="304">
        <f>AZ18+BE16+BE17</f>
        <v>2899.0792884999996</v>
      </c>
      <c r="BF18" s="154"/>
      <c r="BG18" s="154"/>
      <c r="BH18" s="154"/>
      <c r="BI18" s="154"/>
      <c r="BJ18" s="304">
        <f>BE18+BJ16+BJ17</f>
        <v>3170.3251927449996</v>
      </c>
      <c r="BK18" s="304"/>
      <c r="BL18" s="304"/>
      <c r="BM18" s="304"/>
      <c r="BN18" s="304"/>
      <c r="BO18" s="304">
        <f>BJ18+BO16+BO17</f>
        <v>3441.9441279986499</v>
      </c>
      <c r="BP18" s="304"/>
      <c r="BQ18" s="304"/>
      <c r="BR18" s="304"/>
      <c r="BS18" s="304"/>
      <c r="BT18" s="304">
        <f>BO18+BT16+BT17</f>
        <v>3713.6909605273104</v>
      </c>
      <c r="BU18" s="304"/>
      <c r="BV18" s="304"/>
      <c r="BW18" s="304"/>
      <c r="BX18" s="304"/>
      <c r="BY18" s="304">
        <f>BT18+BY16+BY17</f>
        <v>3985.3030242049781</v>
      </c>
      <c r="BZ18" s="304"/>
      <c r="CA18" s="304"/>
      <c r="CB18" s="304"/>
      <c r="CC18" s="304"/>
      <c r="CD18" s="304">
        <f>BY18+CD16+CD17</f>
        <v>4256.499138379555</v>
      </c>
      <c r="CE18" s="304"/>
      <c r="CF18" s="304"/>
      <c r="CG18" s="304"/>
      <c r="CH18" s="304"/>
      <c r="CI18" s="304">
        <f>CD18+CI16+CI17</f>
        <v>4526.9785745221479</v>
      </c>
      <c r="CJ18" s="304"/>
      <c r="CK18" s="304"/>
      <c r="CL18" s="304"/>
      <c r="CM18" s="304"/>
      <c r="CN18" s="304">
        <f>CI18+CN16+CN17</f>
        <v>4796.4199690563428</v>
      </c>
      <c r="CO18" s="304"/>
      <c r="CP18" s="304"/>
      <c r="CQ18" s="304"/>
      <c r="CR18" s="304"/>
      <c r="CS18" s="304">
        <f>CN18+CS16+CS17</f>
        <v>5064.4801796334086</v>
      </c>
      <c r="CT18" s="304"/>
      <c r="CU18" s="304"/>
      <c r="CV18" s="304"/>
      <c r="CW18" s="304"/>
      <c r="CX18" s="304">
        <f>CS18+CX16+CX17</f>
        <v>5330.793081981813</v>
      </c>
      <c r="CY18" s="304"/>
      <c r="CZ18" s="304"/>
      <c r="DA18" s="304"/>
      <c r="DB18" s="304"/>
      <c r="DC18" s="304">
        <f>CX18+DC16+DC17</f>
        <v>5594.9683043149726</v>
      </c>
      <c r="DD18" s="304"/>
      <c r="DE18" s="304"/>
      <c r="DF18" s="304"/>
      <c r="DG18" s="304"/>
      <c r="DH18" s="304">
        <f>DC18+DH16+DH17</f>
        <v>5856.5898961294715</v>
      </c>
      <c r="DI18" s="143"/>
    </row>
    <row r="19" spans="1:113" ht="15.75" customHeight="1">
      <c r="B19" s="176" t="s">
        <v>236</v>
      </c>
      <c r="C19" s="283"/>
      <c r="D19" s="143"/>
      <c r="E19" s="143"/>
      <c r="F19" s="143"/>
      <c r="G19" s="407">
        <v>0</v>
      </c>
      <c r="H19" s="407"/>
      <c r="I19" s="407"/>
      <c r="J19" s="407"/>
      <c r="K19" s="407"/>
      <c r="L19" s="407">
        <v>0</v>
      </c>
      <c r="M19" s="407"/>
      <c r="N19" s="407"/>
      <c r="O19" s="407"/>
      <c r="P19" s="407"/>
      <c r="Q19" s="407">
        <v>0</v>
      </c>
      <c r="R19" s="407"/>
      <c r="S19" s="407"/>
      <c r="T19" s="407"/>
      <c r="U19" s="407"/>
      <c r="V19" s="407">
        <v>192.02199999999999</v>
      </c>
      <c r="W19" s="154"/>
      <c r="X19" s="154"/>
      <c r="Y19" s="154"/>
      <c r="Z19" s="154"/>
      <c r="AA19" s="407">
        <v>231.87799999999999</v>
      </c>
      <c r="AB19" s="154"/>
      <c r="AC19" s="154"/>
      <c r="AD19" s="154"/>
      <c r="AE19" s="154"/>
      <c r="AF19" s="407">
        <v>266.86900000000003</v>
      </c>
      <c r="AG19" s="154"/>
      <c r="AH19" s="154"/>
      <c r="AI19" s="154"/>
      <c r="AJ19" s="154"/>
      <c r="AK19" s="407">
        <v>461.94499999999999</v>
      </c>
      <c r="AL19" s="154"/>
      <c r="AM19" s="154"/>
      <c r="AN19" s="154"/>
      <c r="AO19" s="154"/>
      <c r="AP19" s="407">
        <v>825.303</v>
      </c>
      <c r="AQ19" s="154"/>
      <c r="AR19" s="154"/>
      <c r="AS19" s="154"/>
      <c r="AT19" s="154"/>
      <c r="AU19" s="407">
        <v>506.291</v>
      </c>
      <c r="AV19" s="154"/>
      <c r="AW19" s="154"/>
      <c r="AX19" s="154"/>
      <c r="AY19" s="154"/>
      <c r="AZ19" s="304">
        <f>AU19</f>
        <v>506.291</v>
      </c>
      <c r="BA19" s="154"/>
      <c r="BB19" s="154"/>
      <c r="BC19" s="154"/>
      <c r="BD19" s="154"/>
      <c r="BE19" s="304">
        <f>AZ19</f>
        <v>506.291</v>
      </c>
      <c r="BF19" s="154"/>
      <c r="BG19" s="154"/>
      <c r="BH19" s="154"/>
      <c r="BI19" s="154"/>
      <c r="BJ19" s="304">
        <f>BE19</f>
        <v>506.291</v>
      </c>
      <c r="BK19" s="304"/>
      <c r="BL19" s="304"/>
      <c r="BM19" s="304"/>
      <c r="BN19" s="304"/>
      <c r="BO19" s="304">
        <f>BJ19</f>
        <v>506.291</v>
      </c>
      <c r="BP19" s="304"/>
      <c r="BQ19" s="304"/>
      <c r="BR19" s="304"/>
      <c r="BS19" s="304"/>
      <c r="BT19" s="304">
        <f>BO19</f>
        <v>506.291</v>
      </c>
      <c r="BU19" s="304"/>
      <c r="BV19" s="304"/>
      <c r="BW19" s="304"/>
      <c r="BX19" s="304"/>
      <c r="BY19" s="304">
        <f>BT19</f>
        <v>506.291</v>
      </c>
      <c r="BZ19" s="304"/>
      <c r="CA19" s="304"/>
      <c r="CB19" s="304"/>
      <c r="CC19" s="304"/>
      <c r="CD19" s="304">
        <f>BY19</f>
        <v>506.291</v>
      </c>
      <c r="CE19" s="304"/>
      <c r="CF19" s="304"/>
      <c r="CG19" s="304"/>
      <c r="CH19" s="304"/>
      <c r="CI19" s="304">
        <f>CD19</f>
        <v>506.291</v>
      </c>
      <c r="CJ19" s="304"/>
      <c r="CK19" s="304"/>
      <c r="CL19" s="304"/>
      <c r="CM19" s="304"/>
      <c r="CN19" s="304">
        <f>CI19</f>
        <v>506.291</v>
      </c>
      <c r="CO19" s="304"/>
      <c r="CP19" s="304"/>
      <c r="CQ19" s="304"/>
      <c r="CR19" s="304"/>
      <c r="CS19" s="304">
        <f>CN19</f>
        <v>506.291</v>
      </c>
      <c r="CT19" s="304"/>
      <c r="CU19" s="304"/>
      <c r="CV19" s="304"/>
      <c r="CW19" s="304"/>
      <c r="CX19" s="304">
        <f>CS19</f>
        <v>506.291</v>
      </c>
      <c r="CY19" s="304"/>
      <c r="CZ19" s="304"/>
      <c r="DA19" s="304"/>
      <c r="DB19" s="304"/>
      <c r="DC19" s="304">
        <f>CX19</f>
        <v>506.291</v>
      </c>
      <c r="DD19" s="304"/>
      <c r="DE19" s="304"/>
      <c r="DF19" s="304"/>
      <c r="DG19" s="304"/>
      <c r="DH19" s="304">
        <f>DC19</f>
        <v>506.291</v>
      </c>
      <c r="DI19" s="143"/>
    </row>
    <row r="20" spans="1:113" ht="15.75" customHeight="1">
      <c r="B20" s="125" t="s">
        <v>30</v>
      </c>
      <c r="C20" s="283"/>
      <c r="D20" s="143"/>
      <c r="E20" s="143"/>
      <c r="F20" s="143"/>
      <c r="G20" s="407">
        <v>7.3380000000000001</v>
      </c>
      <c r="H20" s="407"/>
      <c r="I20" s="407"/>
      <c r="J20" s="407"/>
      <c r="K20" s="407"/>
      <c r="L20" s="407">
        <v>6.7889999999999997</v>
      </c>
      <c r="M20" s="407"/>
      <c r="N20" s="407"/>
      <c r="O20" s="407"/>
      <c r="P20" s="407"/>
      <c r="Q20" s="407">
        <v>6.2430000000000003</v>
      </c>
      <c r="R20" s="407"/>
      <c r="S20" s="407"/>
      <c r="T20" s="407"/>
      <c r="U20" s="407"/>
      <c r="V20" s="407">
        <v>23.1</v>
      </c>
      <c r="W20" s="154"/>
      <c r="X20" s="154"/>
      <c r="Y20" s="154"/>
      <c r="Z20" s="154"/>
      <c r="AA20" s="407">
        <v>5.327</v>
      </c>
      <c r="AB20" s="154"/>
      <c r="AC20" s="154"/>
      <c r="AD20" s="154"/>
      <c r="AE20" s="154"/>
      <c r="AF20" s="407">
        <v>3.0339999999999998</v>
      </c>
      <c r="AG20" s="154"/>
      <c r="AH20" s="154"/>
      <c r="AI20" s="154"/>
      <c r="AJ20" s="154"/>
      <c r="AK20" s="407">
        <v>5.81</v>
      </c>
      <c r="AL20" s="154"/>
      <c r="AM20" s="154"/>
      <c r="AN20" s="154"/>
      <c r="AO20" s="154"/>
      <c r="AP20" s="407">
        <v>20.294</v>
      </c>
      <c r="AQ20" s="154"/>
      <c r="AR20" s="154"/>
      <c r="AS20" s="154"/>
      <c r="AT20" s="154"/>
      <c r="AU20" s="407">
        <v>77.866</v>
      </c>
      <c r="AV20" s="154"/>
      <c r="AW20" s="154"/>
      <c r="AX20" s="154"/>
      <c r="AY20" s="154"/>
      <c r="AZ20" s="304">
        <f>AU20</f>
        <v>77.866</v>
      </c>
      <c r="BA20" s="154"/>
      <c r="BB20" s="154"/>
      <c r="BC20" s="154"/>
      <c r="BD20" s="154"/>
      <c r="BE20" s="304">
        <f>AZ20</f>
        <v>77.866</v>
      </c>
      <c r="BF20" s="154"/>
      <c r="BG20" s="154"/>
      <c r="BH20" s="154"/>
      <c r="BI20" s="154"/>
      <c r="BJ20" s="304">
        <f>BE20</f>
        <v>77.866</v>
      </c>
      <c r="BK20" s="304"/>
      <c r="BL20" s="304"/>
      <c r="BM20" s="304"/>
      <c r="BN20" s="304"/>
      <c r="BO20" s="304">
        <f>BJ20</f>
        <v>77.866</v>
      </c>
      <c r="BP20" s="304"/>
      <c r="BQ20" s="304"/>
      <c r="BR20" s="304"/>
      <c r="BS20" s="304"/>
      <c r="BT20" s="304">
        <f>BO20</f>
        <v>77.866</v>
      </c>
      <c r="BU20" s="304"/>
      <c r="BV20" s="304"/>
      <c r="BW20" s="304"/>
      <c r="BX20" s="304"/>
      <c r="BY20" s="304">
        <f>BT20</f>
        <v>77.866</v>
      </c>
      <c r="BZ20" s="304"/>
      <c r="CA20" s="304"/>
      <c r="CB20" s="304"/>
      <c r="CC20" s="304"/>
      <c r="CD20" s="304">
        <f>BY20</f>
        <v>77.866</v>
      </c>
      <c r="CE20" s="304"/>
      <c r="CF20" s="304"/>
      <c r="CG20" s="304"/>
      <c r="CH20" s="304"/>
      <c r="CI20" s="304">
        <f>CD20</f>
        <v>77.866</v>
      </c>
      <c r="CJ20" s="304"/>
      <c r="CK20" s="304"/>
      <c r="CL20" s="304"/>
      <c r="CM20" s="304"/>
      <c r="CN20" s="304">
        <f>CI20</f>
        <v>77.866</v>
      </c>
      <c r="CO20" s="304"/>
      <c r="CP20" s="304"/>
      <c r="CQ20" s="304"/>
      <c r="CR20" s="304"/>
      <c r="CS20" s="304">
        <f>CN20</f>
        <v>77.866</v>
      </c>
      <c r="CT20" s="304"/>
      <c r="CU20" s="304"/>
      <c r="CV20" s="304"/>
      <c r="CW20" s="304"/>
      <c r="CX20" s="304">
        <f>CS20</f>
        <v>77.866</v>
      </c>
      <c r="CY20" s="304"/>
      <c r="CZ20" s="304"/>
      <c r="DA20" s="304"/>
      <c r="DB20" s="304"/>
      <c r="DC20" s="304">
        <f>CX20</f>
        <v>77.866</v>
      </c>
      <c r="DD20" s="304"/>
      <c r="DE20" s="304"/>
      <c r="DF20" s="304"/>
      <c r="DG20" s="304"/>
      <c r="DH20" s="304">
        <f>DC20</f>
        <v>77.866</v>
      </c>
      <c r="DI20" s="143"/>
    </row>
    <row r="21" spans="1:113" ht="15.75" customHeight="1" thickBot="1">
      <c r="A21" s="282" t="s">
        <v>1</v>
      </c>
      <c r="B21" s="309" t="s">
        <v>31</v>
      </c>
      <c r="C21" s="298"/>
      <c r="D21" s="299"/>
      <c r="E21" s="299"/>
      <c r="F21" s="299"/>
      <c r="G21" s="408">
        <f>G12+SUM(G14:G15,G18:G20)</f>
        <v>741.202</v>
      </c>
      <c r="H21" s="228"/>
      <c r="I21" s="228"/>
      <c r="J21" s="228"/>
      <c r="K21" s="228"/>
      <c r="L21" s="408">
        <f>L12+SUM(L14:L15,L18:L20)</f>
        <v>1089.432</v>
      </c>
      <c r="M21" s="228"/>
      <c r="N21" s="228"/>
      <c r="O21" s="228"/>
      <c r="P21" s="228"/>
      <c r="Q21" s="408">
        <f>Q12+SUM(Q14:Q15,Q18:Q20)</f>
        <v>1323.5830000000001</v>
      </c>
      <c r="R21" s="228"/>
      <c r="S21" s="228"/>
      <c r="T21" s="228"/>
      <c r="U21" s="228"/>
      <c r="V21" s="408">
        <f>V12+SUM(V14:V15,V18:V20)</f>
        <v>2080.4899999999998</v>
      </c>
      <c r="W21" s="228"/>
      <c r="X21" s="228"/>
      <c r="Y21" s="228"/>
      <c r="Z21" s="228"/>
      <c r="AA21" s="408">
        <f>AA12+SUM(AA14:AA15,AA18:AA20)</f>
        <v>2951.0129999999999</v>
      </c>
      <c r="AB21" s="228"/>
      <c r="AC21" s="228"/>
      <c r="AD21" s="228"/>
      <c r="AE21" s="228"/>
      <c r="AF21" s="408">
        <f>AF12+SUM(AF14:AF15,AF18:AF20)</f>
        <v>3871.8269999999998</v>
      </c>
      <c r="AG21" s="228"/>
      <c r="AH21" s="228"/>
      <c r="AI21" s="228"/>
      <c r="AJ21" s="228"/>
      <c r="AK21" s="408">
        <f>AK12+SUM(AK14:AK15,AK18:AK20)</f>
        <v>5609.1320000000005</v>
      </c>
      <c r="AL21" s="228">
        <f t="shared" ref="AL21" si="3">AL12+AL18+AL20</f>
        <v>0</v>
      </c>
      <c r="AM21" s="228">
        <f t="shared" ref="AM21:BI21" si="4">AM12+AM18+AM20</f>
        <v>0</v>
      </c>
      <c r="AN21" s="228">
        <f t="shared" si="4"/>
        <v>0</v>
      </c>
      <c r="AO21" s="228">
        <f t="shared" si="4"/>
        <v>0</v>
      </c>
      <c r="AP21" s="408">
        <f>AP12+SUM(AP14:AP15,AP18:AP20)</f>
        <v>6973.4659999999985</v>
      </c>
      <c r="AQ21" s="228">
        <f t="shared" si="4"/>
        <v>0</v>
      </c>
      <c r="AR21" s="228">
        <f t="shared" si="4"/>
        <v>0</v>
      </c>
      <c r="AS21" s="228">
        <f t="shared" si="4"/>
        <v>0</v>
      </c>
      <c r="AT21" s="228">
        <f t="shared" si="4"/>
        <v>0</v>
      </c>
      <c r="AU21" s="408">
        <f>AU12+SUM(AU14:AU15,AU18:AU20)</f>
        <v>8764.2860000000001</v>
      </c>
      <c r="AV21" s="228">
        <f t="shared" si="4"/>
        <v>0</v>
      </c>
      <c r="AW21" s="228">
        <f t="shared" si="4"/>
        <v>0</v>
      </c>
      <c r="AX21" s="228">
        <f t="shared" si="4"/>
        <v>0</v>
      </c>
      <c r="AY21" s="228">
        <f t="shared" si="4"/>
        <v>0</v>
      </c>
      <c r="AZ21" s="408">
        <f>AZ12+SUM(AZ14:AZ15,AZ18:AZ20)</f>
        <v>10838.925116192702</v>
      </c>
      <c r="BA21" s="228">
        <f t="shared" si="4"/>
        <v>0</v>
      </c>
      <c r="BB21" s="228">
        <f t="shared" si="4"/>
        <v>0</v>
      </c>
      <c r="BC21" s="228">
        <f t="shared" si="4"/>
        <v>0</v>
      </c>
      <c r="BD21" s="228">
        <f t="shared" si="4"/>
        <v>0</v>
      </c>
      <c r="BE21" s="408">
        <f>BE12+SUM(BE14:BE15,BE18:BE20)</f>
        <v>13186.325785213819</v>
      </c>
      <c r="BF21" s="228">
        <f t="shared" si="4"/>
        <v>0</v>
      </c>
      <c r="BG21" s="228">
        <f t="shared" si="4"/>
        <v>0</v>
      </c>
      <c r="BH21" s="228">
        <f t="shared" si="4"/>
        <v>0</v>
      </c>
      <c r="BI21" s="228">
        <f t="shared" si="4"/>
        <v>0</v>
      </c>
      <c r="BJ21" s="408">
        <f>BJ12+SUM(BJ14:BJ15,BJ18:BJ20)</f>
        <v>16014.375734481893</v>
      </c>
      <c r="BK21" s="836"/>
      <c r="BL21" s="836"/>
      <c r="BM21" s="836"/>
      <c r="BN21" s="836"/>
      <c r="BO21" s="408">
        <f t="shared" ref="BO21:DH21" si="5">BO12+SUM(BO14:BO15,BO18:BO20)</f>
        <v>19297.894242535593</v>
      </c>
      <c r="BP21" s="836">
        <f t="shared" si="5"/>
        <v>0</v>
      </c>
      <c r="BQ21" s="836">
        <f t="shared" si="5"/>
        <v>0</v>
      </c>
      <c r="BR21" s="836">
        <f t="shared" si="5"/>
        <v>0</v>
      </c>
      <c r="BS21" s="836">
        <f t="shared" si="5"/>
        <v>0</v>
      </c>
      <c r="BT21" s="408">
        <f t="shared" si="5"/>
        <v>23106.35797946409</v>
      </c>
      <c r="BU21" s="836">
        <f t="shared" si="5"/>
        <v>0</v>
      </c>
      <c r="BV21" s="836">
        <f t="shared" si="5"/>
        <v>0</v>
      </c>
      <c r="BW21" s="836">
        <f t="shared" si="5"/>
        <v>0</v>
      </c>
      <c r="BX21" s="836">
        <f t="shared" si="5"/>
        <v>0</v>
      </c>
      <c r="BY21" s="408">
        <f t="shared" si="5"/>
        <v>27334.638000772811</v>
      </c>
      <c r="BZ21" s="836">
        <f t="shared" si="5"/>
        <v>0</v>
      </c>
      <c r="CA21" s="836">
        <f t="shared" si="5"/>
        <v>0</v>
      </c>
      <c r="CB21" s="836">
        <f t="shared" si="5"/>
        <v>0</v>
      </c>
      <c r="CC21" s="836">
        <f t="shared" si="5"/>
        <v>0</v>
      </c>
      <c r="CD21" s="408">
        <f t="shared" si="5"/>
        <v>32002.131586995085</v>
      </c>
      <c r="CE21" s="836">
        <f t="shared" si="5"/>
        <v>0</v>
      </c>
      <c r="CF21" s="836">
        <f t="shared" si="5"/>
        <v>0</v>
      </c>
      <c r="CG21" s="836">
        <f t="shared" si="5"/>
        <v>0</v>
      </c>
      <c r="CH21" s="836">
        <f t="shared" si="5"/>
        <v>0</v>
      </c>
      <c r="CI21" s="408">
        <f t="shared" si="5"/>
        <v>37070.807763405312</v>
      </c>
      <c r="CJ21" s="836">
        <f t="shared" si="5"/>
        <v>0</v>
      </c>
      <c r="CK21" s="836">
        <f t="shared" si="5"/>
        <v>0</v>
      </c>
      <c r="CL21" s="836">
        <f t="shared" si="5"/>
        <v>0</v>
      </c>
      <c r="CM21" s="836">
        <f t="shared" si="5"/>
        <v>0</v>
      </c>
      <c r="CN21" s="408">
        <f t="shared" si="5"/>
        <v>42210.315277150024</v>
      </c>
      <c r="CO21" s="836">
        <f t="shared" si="5"/>
        <v>0</v>
      </c>
      <c r="CP21" s="836">
        <f t="shared" si="5"/>
        <v>0</v>
      </c>
      <c r="CQ21" s="836">
        <f t="shared" si="5"/>
        <v>0</v>
      </c>
      <c r="CR21" s="836">
        <f t="shared" si="5"/>
        <v>0</v>
      </c>
      <c r="CS21" s="408">
        <f t="shared" si="5"/>
        <v>47249.199534682746</v>
      </c>
      <c r="CT21" s="836">
        <f t="shared" si="5"/>
        <v>0</v>
      </c>
      <c r="CU21" s="836">
        <f t="shared" si="5"/>
        <v>0</v>
      </c>
      <c r="CV21" s="836">
        <f t="shared" si="5"/>
        <v>0</v>
      </c>
      <c r="CW21" s="836">
        <f t="shared" si="5"/>
        <v>0</v>
      </c>
      <c r="CX21" s="408">
        <f t="shared" si="5"/>
        <v>52501.883593789222</v>
      </c>
      <c r="CY21" s="836">
        <f t="shared" si="5"/>
        <v>0</v>
      </c>
      <c r="CZ21" s="836">
        <f t="shared" si="5"/>
        <v>0</v>
      </c>
      <c r="DA21" s="836">
        <f t="shared" si="5"/>
        <v>0</v>
      </c>
      <c r="DB21" s="836">
        <f t="shared" si="5"/>
        <v>0</v>
      </c>
      <c r="DC21" s="408">
        <f t="shared" si="5"/>
        <v>57439.273559286492</v>
      </c>
      <c r="DD21" s="836">
        <f t="shared" si="5"/>
        <v>0</v>
      </c>
      <c r="DE21" s="836">
        <f t="shared" si="5"/>
        <v>0</v>
      </c>
      <c r="DF21" s="836">
        <f t="shared" si="5"/>
        <v>0</v>
      </c>
      <c r="DG21" s="836">
        <f t="shared" si="5"/>
        <v>0</v>
      </c>
      <c r="DH21" s="408">
        <f t="shared" si="5"/>
        <v>62626.091402469487</v>
      </c>
      <c r="DI21" s="143"/>
    </row>
    <row r="22" spans="1:113" ht="15.75" customHeight="1" thickTop="1">
      <c r="C22" s="283"/>
      <c r="D22" s="143"/>
      <c r="E22" s="143"/>
      <c r="F22" s="143"/>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54"/>
      <c r="AO22" s="154"/>
      <c r="AP22" s="154"/>
      <c r="AQ22" s="154"/>
      <c r="AR22" s="154"/>
      <c r="AS22" s="154"/>
      <c r="AT22" s="154"/>
      <c r="AU22" s="154"/>
      <c r="AV22" s="154"/>
      <c r="AW22" s="154"/>
      <c r="AX22" s="154"/>
      <c r="AY22" s="154"/>
      <c r="AZ22" s="154"/>
      <c r="BA22" s="154"/>
      <c r="BB22" s="154"/>
      <c r="BC22" s="154"/>
      <c r="BD22" s="154"/>
      <c r="BE22" s="154"/>
      <c r="BF22" s="154"/>
      <c r="BG22" s="154"/>
      <c r="BH22" s="154"/>
      <c r="BI22" s="154"/>
      <c r="BJ22" s="154"/>
      <c r="BK22" s="154"/>
      <c r="BL22" s="154"/>
      <c r="BM22" s="154"/>
      <c r="BN22" s="154"/>
      <c r="BO22" s="154"/>
      <c r="BP22" s="154"/>
      <c r="BQ22" s="154"/>
      <c r="BR22" s="154"/>
      <c r="BS22" s="154"/>
      <c r="BT22" s="154"/>
      <c r="BU22" s="154"/>
      <c r="BV22" s="154"/>
      <c r="BW22" s="154"/>
      <c r="BX22" s="154"/>
      <c r="BY22" s="154"/>
      <c r="BZ22" s="154"/>
      <c r="CA22" s="154"/>
      <c r="CB22" s="154"/>
      <c r="CC22" s="154"/>
      <c r="CD22" s="154"/>
      <c r="CE22" s="154"/>
      <c r="CF22" s="154"/>
      <c r="CG22" s="154"/>
      <c r="CH22" s="154"/>
      <c r="CI22" s="154"/>
      <c r="CJ22" s="154"/>
      <c r="CK22" s="154"/>
      <c r="CL22" s="154"/>
      <c r="CM22" s="154"/>
      <c r="CN22" s="154"/>
      <c r="CO22" s="154"/>
      <c r="CP22" s="154"/>
      <c r="CQ22" s="154"/>
      <c r="CR22" s="154"/>
      <c r="CS22" s="154"/>
      <c r="CT22" s="154"/>
      <c r="CU22" s="154"/>
      <c r="CV22" s="154"/>
      <c r="CW22" s="154"/>
      <c r="CX22" s="154"/>
      <c r="CY22" s="154"/>
      <c r="CZ22" s="154"/>
      <c r="DA22" s="154"/>
      <c r="DB22" s="154"/>
      <c r="DC22" s="154"/>
      <c r="DD22" s="154"/>
      <c r="DE22" s="154"/>
      <c r="DF22" s="154"/>
      <c r="DG22" s="154"/>
      <c r="DH22" s="154"/>
      <c r="DI22" s="143"/>
    </row>
    <row r="23" spans="1:113" ht="15.75" customHeight="1">
      <c r="B23" s="176" t="s">
        <v>238</v>
      </c>
      <c r="C23" s="283"/>
      <c r="D23" s="143"/>
      <c r="E23" s="143"/>
      <c r="F23" s="143"/>
      <c r="G23" s="407">
        <v>49.030999999999999</v>
      </c>
      <c r="H23" s="407"/>
      <c r="I23" s="407"/>
      <c r="J23" s="407"/>
      <c r="K23" s="407"/>
      <c r="L23" s="407">
        <v>53.658000000000001</v>
      </c>
      <c r="M23" s="407"/>
      <c r="N23" s="407"/>
      <c r="O23" s="407"/>
      <c r="P23" s="407"/>
      <c r="Q23" s="407">
        <v>95.625</v>
      </c>
      <c r="R23" s="407"/>
      <c r="S23" s="407"/>
      <c r="T23" s="407"/>
      <c r="U23" s="407"/>
      <c r="V23" s="407">
        <v>111.345</v>
      </c>
      <c r="W23" s="154"/>
      <c r="X23" s="154"/>
      <c r="Y23" s="154"/>
      <c r="Z23" s="154"/>
      <c r="AA23" s="407">
        <v>250.89599999999999</v>
      </c>
      <c r="AB23" s="154"/>
      <c r="AC23" s="154"/>
      <c r="AD23" s="154"/>
      <c r="AE23" s="154"/>
      <c r="AF23" s="407">
        <v>484.22800000000001</v>
      </c>
      <c r="AG23" s="154"/>
      <c r="AH23" s="154"/>
      <c r="AI23" s="154"/>
      <c r="AJ23" s="154"/>
      <c r="AK23" s="407">
        <v>644.11199999999997</v>
      </c>
      <c r="AL23" s="154"/>
      <c r="AM23" s="154"/>
      <c r="AN23" s="154"/>
      <c r="AO23" s="154"/>
      <c r="AP23" s="407">
        <v>879.096</v>
      </c>
      <c r="AQ23" s="154"/>
      <c r="AR23" s="154"/>
      <c r="AS23" s="154"/>
      <c r="AT23" s="154"/>
      <c r="AU23" s="407">
        <v>815.07799999999997</v>
      </c>
      <c r="AV23" s="154"/>
      <c r="AW23" s="154"/>
      <c r="AX23" s="154"/>
      <c r="AY23" s="154"/>
      <c r="AZ23" s="305">
        <f>AU23*1.05</f>
        <v>855.83190000000002</v>
      </c>
      <c r="BA23" s="154"/>
      <c r="BB23" s="154"/>
      <c r="BC23" s="154"/>
      <c r="BD23" s="154"/>
      <c r="BE23" s="305">
        <f>AZ23*1.05</f>
        <v>898.62349500000005</v>
      </c>
      <c r="BF23" s="154"/>
      <c r="BG23" s="154"/>
      <c r="BH23" s="154"/>
      <c r="BI23" s="154"/>
      <c r="BJ23" s="305">
        <f>BE23*1.05</f>
        <v>943.55466975000013</v>
      </c>
      <c r="BK23" s="305"/>
      <c r="BL23" s="305"/>
      <c r="BM23" s="305"/>
      <c r="BN23" s="305"/>
      <c r="BO23" s="305">
        <f t="shared" ref="BO23:DH23" si="6">BJ23*1.05</f>
        <v>990.73240323750019</v>
      </c>
      <c r="BP23" s="305">
        <f t="shared" si="6"/>
        <v>0</v>
      </c>
      <c r="BQ23" s="305">
        <f t="shared" si="6"/>
        <v>0</v>
      </c>
      <c r="BR23" s="305">
        <f t="shared" si="6"/>
        <v>0</v>
      </c>
      <c r="BS23" s="305">
        <f t="shared" si="6"/>
        <v>0</v>
      </c>
      <c r="BT23" s="305">
        <f t="shared" si="6"/>
        <v>1040.2690233993753</v>
      </c>
      <c r="BU23" s="305">
        <f t="shared" si="6"/>
        <v>0</v>
      </c>
      <c r="BV23" s="305">
        <f t="shared" si="6"/>
        <v>0</v>
      </c>
      <c r="BW23" s="305">
        <f t="shared" si="6"/>
        <v>0</v>
      </c>
      <c r="BX23" s="305">
        <f t="shared" si="6"/>
        <v>0</v>
      </c>
      <c r="BY23" s="305">
        <f t="shared" si="6"/>
        <v>1092.2824745693442</v>
      </c>
      <c r="BZ23" s="305">
        <f t="shared" si="6"/>
        <v>0</v>
      </c>
      <c r="CA23" s="305">
        <f t="shared" si="6"/>
        <v>0</v>
      </c>
      <c r="CB23" s="305">
        <f t="shared" si="6"/>
        <v>0</v>
      </c>
      <c r="CC23" s="305">
        <f t="shared" si="6"/>
        <v>0</v>
      </c>
      <c r="CD23" s="305">
        <f t="shared" si="6"/>
        <v>1146.8965982978116</v>
      </c>
      <c r="CE23" s="305">
        <f t="shared" si="6"/>
        <v>0</v>
      </c>
      <c r="CF23" s="305">
        <f t="shared" si="6"/>
        <v>0</v>
      </c>
      <c r="CG23" s="305">
        <f t="shared" si="6"/>
        <v>0</v>
      </c>
      <c r="CH23" s="305">
        <f t="shared" si="6"/>
        <v>0</v>
      </c>
      <c r="CI23" s="305">
        <f t="shared" si="6"/>
        <v>1204.2414282127022</v>
      </c>
      <c r="CJ23" s="305">
        <f t="shared" si="6"/>
        <v>0</v>
      </c>
      <c r="CK23" s="305">
        <f t="shared" si="6"/>
        <v>0</v>
      </c>
      <c r="CL23" s="305">
        <f t="shared" si="6"/>
        <v>0</v>
      </c>
      <c r="CM23" s="305">
        <f t="shared" si="6"/>
        <v>0</v>
      </c>
      <c r="CN23" s="305">
        <f t="shared" si="6"/>
        <v>1264.4534996233374</v>
      </c>
      <c r="CO23" s="305">
        <f t="shared" si="6"/>
        <v>0</v>
      </c>
      <c r="CP23" s="305">
        <f t="shared" si="6"/>
        <v>0</v>
      </c>
      <c r="CQ23" s="305">
        <f t="shared" si="6"/>
        <v>0</v>
      </c>
      <c r="CR23" s="305">
        <f t="shared" si="6"/>
        <v>0</v>
      </c>
      <c r="CS23" s="305">
        <f t="shared" si="6"/>
        <v>1327.6761746045042</v>
      </c>
      <c r="CT23" s="305">
        <f t="shared" si="6"/>
        <v>0</v>
      </c>
      <c r="CU23" s="305">
        <f t="shared" si="6"/>
        <v>0</v>
      </c>
      <c r="CV23" s="305">
        <f t="shared" si="6"/>
        <v>0</v>
      </c>
      <c r="CW23" s="305">
        <f t="shared" si="6"/>
        <v>0</v>
      </c>
      <c r="CX23" s="305">
        <f t="shared" si="6"/>
        <v>1394.0599833347296</v>
      </c>
      <c r="CY23" s="305">
        <f t="shared" si="6"/>
        <v>0</v>
      </c>
      <c r="CZ23" s="305">
        <f t="shared" si="6"/>
        <v>0</v>
      </c>
      <c r="DA23" s="305">
        <f t="shared" si="6"/>
        <v>0</v>
      </c>
      <c r="DB23" s="305">
        <f t="shared" si="6"/>
        <v>0</v>
      </c>
      <c r="DC23" s="305">
        <f t="shared" si="6"/>
        <v>1463.7629825014662</v>
      </c>
      <c r="DD23" s="305">
        <f t="shared" si="6"/>
        <v>0</v>
      </c>
      <c r="DE23" s="305">
        <f t="shared" si="6"/>
        <v>0</v>
      </c>
      <c r="DF23" s="305">
        <f t="shared" si="6"/>
        <v>0</v>
      </c>
      <c r="DG23" s="305">
        <f t="shared" si="6"/>
        <v>0</v>
      </c>
      <c r="DH23" s="305">
        <f t="shared" si="6"/>
        <v>1536.9511316265396</v>
      </c>
      <c r="DI23" s="143"/>
    </row>
    <row r="24" spans="1:113" ht="15.75" customHeight="1">
      <c r="B24" s="176" t="s">
        <v>239</v>
      </c>
      <c r="C24" s="283"/>
      <c r="D24" s="143"/>
      <c r="E24" s="143"/>
      <c r="F24" s="143"/>
      <c r="G24" s="407">
        <v>17.523</v>
      </c>
      <c r="H24" s="407"/>
      <c r="I24" s="407"/>
      <c r="J24" s="407"/>
      <c r="K24" s="407"/>
      <c r="L24" s="407">
        <v>19.506</v>
      </c>
      <c r="M24" s="407"/>
      <c r="N24" s="407"/>
      <c r="O24" s="407"/>
      <c r="P24" s="407"/>
      <c r="Q24" s="407">
        <v>20.010999999999999</v>
      </c>
      <c r="R24" s="407"/>
      <c r="S24" s="407"/>
      <c r="T24" s="407"/>
      <c r="U24" s="407"/>
      <c r="V24" s="407">
        <v>17.021999999999998</v>
      </c>
      <c r="W24" s="154"/>
      <c r="X24" s="154"/>
      <c r="Y24" s="154"/>
      <c r="Z24" s="154"/>
      <c r="AA24" s="407">
        <v>12.815</v>
      </c>
      <c r="AB24" s="154"/>
      <c r="AC24" s="154"/>
      <c r="AD24" s="154"/>
      <c r="AE24" s="154"/>
      <c r="AF24" s="407">
        <v>15.927</v>
      </c>
      <c r="AG24" s="154"/>
      <c r="AH24" s="154"/>
      <c r="AI24" s="154"/>
      <c r="AJ24" s="154"/>
      <c r="AK24" s="407">
        <v>101.57299999999999</v>
      </c>
      <c r="AL24" s="154"/>
      <c r="AM24" s="154"/>
      <c r="AN24" s="154"/>
      <c r="AO24" s="154"/>
      <c r="AP24" s="407">
        <v>115.267</v>
      </c>
      <c r="AQ24" s="154"/>
      <c r="AR24" s="154"/>
      <c r="AS24" s="154"/>
      <c r="AT24" s="154"/>
      <c r="AU24" s="407">
        <v>177.74600000000001</v>
      </c>
      <c r="AV24" s="154"/>
      <c r="AW24" s="154"/>
      <c r="AX24" s="154"/>
      <c r="AY24" s="154"/>
      <c r="AZ24" s="304">
        <f>AU24</f>
        <v>177.74600000000001</v>
      </c>
      <c r="BA24" s="154"/>
      <c r="BB24" s="154"/>
      <c r="BC24" s="154"/>
      <c r="BD24" s="154"/>
      <c r="BE24" s="304">
        <f>AZ24</f>
        <v>177.74600000000001</v>
      </c>
      <c r="BF24" s="154"/>
      <c r="BG24" s="154"/>
      <c r="BH24" s="154"/>
      <c r="BI24" s="154"/>
      <c r="BJ24" s="304">
        <f>BE24</f>
        <v>177.74600000000001</v>
      </c>
      <c r="BK24" s="304"/>
      <c r="BL24" s="304"/>
      <c r="BM24" s="304"/>
      <c r="BN24" s="304"/>
      <c r="BO24" s="304">
        <f>BJ24</f>
        <v>177.74600000000001</v>
      </c>
      <c r="BP24" s="304"/>
      <c r="BQ24" s="304"/>
      <c r="BR24" s="304"/>
      <c r="BS24" s="304"/>
      <c r="BT24" s="304">
        <f>BO24</f>
        <v>177.74600000000001</v>
      </c>
      <c r="BU24" s="304"/>
      <c r="BV24" s="304"/>
      <c r="BW24" s="304"/>
      <c r="BX24" s="304"/>
      <c r="BY24" s="304">
        <f>BT24</f>
        <v>177.74600000000001</v>
      </c>
      <c r="BZ24" s="304"/>
      <c r="CA24" s="304"/>
      <c r="CB24" s="304"/>
      <c r="CC24" s="304"/>
      <c r="CD24" s="304">
        <f>BY24</f>
        <v>177.74600000000001</v>
      </c>
      <c r="CE24" s="304"/>
      <c r="CF24" s="304"/>
      <c r="CG24" s="304"/>
      <c r="CH24" s="304"/>
      <c r="CI24" s="304">
        <f>CD24</f>
        <v>177.74600000000001</v>
      </c>
      <c r="CJ24" s="304"/>
      <c r="CK24" s="304"/>
      <c r="CL24" s="304"/>
      <c r="CM24" s="304"/>
      <c r="CN24" s="304">
        <f>CI24</f>
        <v>177.74600000000001</v>
      </c>
      <c r="CO24" s="304"/>
      <c r="CP24" s="304"/>
      <c r="CQ24" s="304"/>
      <c r="CR24" s="304"/>
      <c r="CS24" s="304">
        <f>CN24</f>
        <v>177.74600000000001</v>
      </c>
      <c r="CT24" s="304"/>
      <c r="CU24" s="304"/>
      <c r="CV24" s="304"/>
      <c r="CW24" s="304"/>
      <c r="CX24" s="304">
        <f>CS24</f>
        <v>177.74600000000001</v>
      </c>
      <c r="CY24" s="304"/>
      <c r="CZ24" s="304"/>
      <c r="DA24" s="304"/>
      <c r="DB24" s="304"/>
      <c r="DC24" s="304">
        <f>CX24</f>
        <v>177.74600000000001</v>
      </c>
      <c r="DD24" s="304"/>
      <c r="DE24" s="304"/>
      <c r="DF24" s="304"/>
      <c r="DG24" s="304"/>
      <c r="DH24" s="304">
        <f>DC24</f>
        <v>177.74600000000001</v>
      </c>
      <c r="DI24" s="143"/>
    </row>
    <row r="25" spans="1:113" ht="15.75" customHeight="1">
      <c r="B25" s="176" t="s">
        <v>240</v>
      </c>
      <c r="C25" s="283"/>
      <c r="D25" s="143"/>
      <c r="E25" s="143"/>
      <c r="F25" s="143"/>
      <c r="G25" s="407">
        <v>27.021000000000001</v>
      </c>
      <c r="H25" s="407"/>
      <c r="I25" s="407"/>
      <c r="J25" s="407"/>
      <c r="K25" s="407"/>
      <c r="L25" s="407">
        <v>35.216999999999999</v>
      </c>
      <c r="M25" s="407"/>
      <c r="N25" s="407"/>
      <c r="O25" s="407"/>
      <c r="P25" s="407"/>
      <c r="Q25" s="407">
        <v>31.629000000000001</v>
      </c>
      <c r="R25" s="407"/>
      <c r="S25" s="407"/>
      <c r="T25" s="407"/>
      <c r="U25" s="407"/>
      <c r="V25" s="407">
        <v>33.808999999999997</v>
      </c>
      <c r="W25" s="154"/>
      <c r="X25" s="154"/>
      <c r="Y25" s="154"/>
      <c r="Z25" s="154"/>
      <c r="AA25" s="407">
        <v>34.185000000000002</v>
      </c>
      <c r="AB25" s="154"/>
      <c r="AC25" s="154"/>
      <c r="AD25" s="154"/>
      <c r="AE25" s="154"/>
      <c r="AF25" s="407">
        <v>58.097999999999999</v>
      </c>
      <c r="AG25" s="154"/>
      <c r="AH25" s="154"/>
      <c r="AI25" s="154"/>
      <c r="AJ25" s="154"/>
      <c r="AK25" s="407">
        <v>51.914000000000001</v>
      </c>
      <c r="AL25" s="154"/>
      <c r="AM25" s="154"/>
      <c r="AN25" s="154"/>
      <c r="AO25" s="154"/>
      <c r="AP25" s="407">
        <v>116.39700000000001</v>
      </c>
      <c r="AQ25" s="154"/>
      <c r="AR25" s="154"/>
      <c r="AS25" s="154"/>
      <c r="AT25" s="154"/>
      <c r="AU25" s="407">
        <v>142.392</v>
      </c>
      <c r="AV25" s="154"/>
      <c r="AW25" s="154"/>
      <c r="AX25" s="154"/>
      <c r="AY25" s="154"/>
      <c r="AZ25" s="304">
        <f>AU25</f>
        <v>142.392</v>
      </c>
      <c r="BA25" s="154"/>
      <c r="BB25" s="154"/>
      <c r="BC25" s="154"/>
      <c r="BD25" s="154"/>
      <c r="BE25" s="304">
        <f>AZ25</f>
        <v>142.392</v>
      </c>
      <c r="BF25" s="154"/>
      <c r="BG25" s="154"/>
      <c r="BH25" s="154"/>
      <c r="BI25" s="154"/>
      <c r="BJ25" s="304">
        <f>BE25</f>
        <v>142.392</v>
      </c>
      <c r="BK25" s="304"/>
      <c r="BL25" s="304"/>
      <c r="BM25" s="304"/>
      <c r="BN25" s="304"/>
      <c r="BO25" s="304">
        <f>BJ25</f>
        <v>142.392</v>
      </c>
      <c r="BP25" s="304"/>
      <c r="BQ25" s="304"/>
      <c r="BR25" s="304"/>
      <c r="BS25" s="304"/>
      <c r="BT25" s="304">
        <f>BO25</f>
        <v>142.392</v>
      </c>
      <c r="BU25" s="304"/>
      <c r="BV25" s="304"/>
      <c r="BW25" s="304"/>
      <c r="BX25" s="304"/>
      <c r="BY25" s="304">
        <f>BT25</f>
        <v>142.392</v>
      </c>
      <c r="BZ25" s="304"/>
      <c r="CA25" s="304"/>
      <c r="CB25" s="304"/>
      <c r="CC25" s="304"/>
      <c r="CD25" s="304">
        <f>BY25</f>
        <v>142.392</v>
      </c>
      <c r="CE25" s="304"/>
      <c r="CF25" s="304"/>
      <c r="CG25" s="304"/>
      <c r="CH25" s="304"/>
      <c r="CI25" s="304">
        <f>CD25</f>
        <v>142.392</v>
      </c>
      <c r="CJ25" s="304"/>
      <c r="CK25" s="304"/>
      <c r="CL25" s="304"/>
      <c r="CM25" s="304"/>
      <c r="CN25" s="304">
        <f>CI25</f>
        <v>142.392</v>
      </c>
      <c r="CO25" s="304"/>
      <c r="CP25" s="304"/>
      <c r="CQ25" s="304"/>
      <c r="CR25" s="304"/>
      <c r="CS25" s="304">
        <f>CN25</f>
        <v>142.392</v>
      </c>
      <c r="CT25" s="304"/>
      <c r="CU25" s="304"/>
      <c r="CV25" s="304"/>
      <c r="CW25" s="304"/>
      <c r="CX25" s="304">
        <f>CS25</f>
        <v>142.392</v>
      </c>
      <c r="CY25" s="304"/>
      <c r="CZ25" s="304"/>
      <c r="DA25" s="304"/>
      <c r="DB25" s="304"/>
      <c r="DC25" s="304">
        <f>CX25</f>
        <v>142.392</v>
      </c>
      <c r="DD25" s="304"/>
      <c r="DE25" s="304"/>
      <c r="DF25" s="304"/>
      <c r="DG25" s="304"/>
      <c r="DH25" s="304">
        <f>DC25</f>
        <v>142.392</v>
      </c>
      <c r="DI25" s="143"/>
    </row>
    <row r="26" spans="1:113" ht="15.75" customHeight="1">
      <c r="B26" s="176" t="s">
        <v>822</v>
      </c>
      <c r="C26" s="283"/>
      <c r="D26" s="143"/>
      <c r="E26" s="143"/>
      <c r="F26" s="143"/>
      <c r="G26" s="407"/>
      <c r="H26" s="407"/>
      <c r="I26" s="407"/>
      <c r="J26" s="407"/>
      <c r="K26" s="407"/>
      <c r="L26" s="407"/>
      <c r="M26" s="407"/>
      <c r="N26" s="407"/>
      <c r="O26" s="407"/>
      <c r="P26" s="407"/>
      <c r="Q26" s="407"/>
      <c r="R26" s="407"/>
      <c r="S26" s="407"/>
      <c r="T26" s="407"/>
      <c r="U26" s="407"/>
      <c r="V26" s="407"/>
      <c r="W26" s="154"/>
      <c r="X26" s="154"/>
      <c r="Y26" s="154"/>
      <c r="Z26" s="154"/>
      <c r="AA26" s="407"/>
      <c r="AB26" s="154"/>
      <c r="AC26" s="154"/>
      <c r="AD26" s="154"/>
      <c r="AE26" s="154"/>
      <c r="AF26" s="407"/>
      <c r="AG26" s="154"/>
      <c r="AH26" s="154"/>
      <c r="AI26" s="154"/>
      <c r="AJ26" s="154"/>
      <c r="AK26" s="407">
        <v>0</v>
      </c>
      <c r="AL26" s="154"/>
      <c r="AM26" s="154"/>
      <c r="AN26" s="154"/>
      <c r="AO26" s="154"/>
      <c r="AP26" s="407">
        <v>127.274</v>
      </c>
      <c r="AQ26" s="154"/>
      <c r="AR26" s="154"/>
      <c r="AS26" s="154"/>
      <c r="AT26" s="154"/>
      <c r="AU26" s="407">
        <v>0</v>
      </c>
      <c r="AV26" s="154"/>
      <c r="AW26" s="154"/>
      <c r="AX26" s="154"/>
      <c r="AY26" s="154"/>
      <c r="AZ26" s="304">
        <f>AU26</f>
        <v>0</v>
      </c>
      <c r="BA26" s="154"/>
      <c r="BB26" s="154"/>
      <c r="BC26" s="154"/>
      <c r="BD26" s="154"/>
      <c r="BE26" s="304">
        <f>AZ26</f>
        <v>0</v>
      </c>
      <c r="BF26" s="154"/>
      <c r="BG26" s="154"/>
      <c r="BH26" s="154"/>
      <c r="BI26" s="154"/>
      <c r="BJ26" s="304">
        <f>BE26</f>
        <v>0</v>
      </c>
      <c r="BK26" s="304"/>
      <c r="BL26" s="304"/>
      <c r="BM26" s="304"/>
      <c r="BN26" s="304"/>
      <c r="BO26" s="304">
        <f>BJ26</f>
        <v>0</v>
      </c>
      <c r="BP26" s="304"/>
      <c r="BQ26" s="304"/>
      <c r="BR26" s="304"/>
      <c r="BS26" s="304"/>
      <c r="BT26" s="304">
        <f>BO26</f>
        <v>0</v>
      </c>
      <c r="BU26" s="304"/>
      <c r="BV26" s="304"/>
      <c r="BW26" s="304"/>
      <c r="BX26" s="304"/>
      <c r="BY26" s="304">
        <f>BT26</f>
        <v>0</v>
      </c>
      <c r="BZ26" s="304"/>
      <c r="CA26" s="304"/>
      <c r="CB26" s="304"/>
      <c r="CC26" s="304"/>
      <c r="CD26" s="304">
        <f>BY26</f>
        <v>0</v>
      </c>
      <c r="CE26" s="304"/>
      <c r="CF26" s="304"/>
      <c r="CG26" s="304"/>
      <c r="CH26" s="304"/>
      <c r="CI26" s="304">
        <f>CD26</f>
        <v>0</v>
      </c>
      <c r="CJ26" s="304"/>
      <c r="CK26" s="304"/>
      <c r="CL26" s="304"/>
      <c r="CM26" s="304"/>
      <c r="CN26" s="304">
        <f>CI26</f>
        <v>0</v>
      </c>
      <c r="CO26" s="304"/>
      <c r="CP26" s="304"/>
      <c r="CQ26" s="304"/>
      <c r="CR26" s="304"/>
      <c r="CS26" s="304">
        <f>CN26</f>
        <v>0</v>
      </c>
      <c r="CT26" s="304"/>
      <c r="CU26" s="304"/>
      <c r="CV26" s="304"/>
      <c r="CW26" s="304"/>
      <c r="CX26" s="304">
        <f>CS26</f>
        <v>0</v>
      </c>
      <c r="CY26" s="304"/>
      <c r="CZ26" s="304"/>
      <c r="DA26" s="304"/>
      <c r="DB26" s="304"/>
      <c r="DC26" s="304">
        <f>CX26</f>
        <v>0</v>
      </c>
      <c r="DD26" s="304"/>
      <c r="DE26" s="304"/>
      <c r="DF26" s="304"/>
      <c r="DG26" s="304"/>
      <c r="DH26" s="304">
        <f>DC26</f>
        <v>0</v>
      </c>
      <c r="DI26" s="143"/>
    </row>
    <row r="27" spans="1:113" ht="15.75" customHeight="1">
      <c r="B27" s="176" t="s">
        <v>811</v>
      </c>
      <c r="C27" s="283"/>
      <c r="D27" s="143"/>
      <c r="E27" s="143"/>
      <c r="F27" s="143"/>
      <c r="G27" s="407">
        <v>0</v>
      </c>
      <c r="H27" s="407"/>
      <c r="I27" s="407"/>
      <c r="J27" s="407"/>
      <c r="K27" s="407"/>
      <c r="L27" s="407">
        <v>0.67500000000000004</v>
      </c>
      <c r="M27" s="407"/>
      <c r="N27" s="407"/>
      <c r="O27" s="407"/>
      <c r="P27" s="407"/>
      <c r="Q27" s="407">
        <v>1.006</v>
      </c>
      <c r="R27" s="407"/>
      <c r="S27" s="407"/>
      <c r="T27" s="407"/>
      <c r="U27" s="407"/>
      <c r="V27" s="407">
        <v>1.3740000000000001</v>
      </c>
      <c r="W27" s="154"/>
      <c r="X27" s="154"/>
      <c r="Y27" s="154"/>
      <c r="Z27" s="154"/>
      <c r="AA27" s="407">
        <v>0.93899999999999995</v>
      </c>
      <c r="AB27" s="154"/>
      <c r="AC27" s="154"/>
      <c r="AD27" s="154"/>
      <c r="AE27" s="154"/>
      <c r="AF27" s="407">
        <v>96.406999999999996</v>
      </c>
      <c r="AG27" s="154"/>
      <c r="AH27" s="154"/>
      <c r="AI27" s="154"/>
      <c r="AJ27" s="154"/>
      <c r="AK27" s="407">
        <v>13.563000000000001</v>
      </c>
      <c r="AL27" s="154"/>
      <c r="AM27" s="154"/>
      <c r="AN27" s="154"/>
      <c r="AO27" s="154"/>
      <c r="AP27" s="407">
        <v>3.4609999999999999</v>
      </c>
      <c r="AQ27" s="154"/>
      <c r="AR27" s="154"/>
      <c r="AS27" s="154"/>
      <c r="AT27" s="154"/>
      <c r="AU27" s="407">
        <v>0.26700000000000002</v>
      </c>
      <c r="AV27" s="154"/>
      <c r="AW27" s="154"/>
      <c r="AX27" s="154"/>
      <c r="AY27" s="154"/>
      <c r="AZ27" s="304">
        <f>AU27</f>
        <v>0.26700000000000002</v>
      </c>
      <c r="BA27" s="154"/>
      <c r="BB27" s="154"/>
      <c r="BC27" s="154"/>
      <c r="BD27" s="154"/>
      <c r="BE27" s="304">
        <f>AZ27</f>
        <v>0.26700000000000002</v>
      </c>
      <c r="BF27" s="154"/>
      <c r="BG27" s="154"/>
      <c r="BH27" s="154"/>
      <c r="BI27" s="154"/>
      <c r="BJ27" s="304">
        <f>BE27</f>
        <v>0.26700000000000002</v>
      </c>
      <c r="BK27" s="304"/>
      <c r="BL27" s="304"/>
      <c r="BM27" s="304"/>
      <c r="BN27" s="304"/>
      <c r="BO27" s="304">
        <f>BJ27</f>
        <v>0.26700000000000002</v>
      </c>
      <c r="BP27" s="304"/>
      <c r="BQ27" s="304"/>
      <c r="BR27" s="304"/>
      <c r="BS27" s="304"/>
      <c r="BT27" s="304">
        <f>BO27</f>
        <v>0.26700000000000002</v>
      </c>
      <c r="BU27" s="304"/>
      <c r="BV27" s="304"/>
      <c r="BW27" s="304"/>
      <c r="BX27" s="304"/>
      <c r="BY27" s="304">
        <f>BT27</f>
        <v>0.26700000000000002</v>
      </c>
      <c r="BZ27" s="304"/>
      <c r="CA27" s="304"/>
      <c r="CB27" s="304"/>
      <c r="CC27" s="304"/>
      <c r="CD27" s="304">
        <f>BY27</f>
        <v>0.26700000000000002</v>
      </c>
      <c r="CE27" s="304"/>
      <c r="CF27" s="304"/>
      <c r="CG27" s="304"/>
      <c r="CH27" s="304"/>
      <c r="CI27" s="304">
        <f>CD27</f>
        <v>0.26700000000000002</v>
      </c>
      <c r="CJ27" s="304"/>
      <c r="CK27" s="304"/>
      <c r="CL27" s="304"/>
      <c r="CM27" s="304"/>
      <c r="CN27" s="304">
        <f>CI27</f>
        <v>0.26700000000000002</v>
      </c>
      <c r="CO27" s="304"/>
      <c r="CP27" s="304"/>
      <c r="CQ27" s="304"/>
      <c r="CR27" s="304"/>
      <c r="CS27" s="304">
        <f>CN27</f>
        <v>0.26700000000000002</v>
      </c>
      <c r="CT27" s="304"/>
      <c r="CU27" s="304"/>
      <c r="CV27" s="304"/>
      <c r="CW27" s="304"/>
      <c r="CX27" s="304">
        <f>CS27</f>
        <v>0.26700000000000002</v>
      </c>
      <c r="CY27" s="304"/>
      <c r="CZ27" s="304"/>
      <c r="DA27" s="304"/>
      <c r="DB27" s="304"/>
      <c r="DC27" s="304">
        <f>CX27</f>
        <v>0.26700000000000002</v>
      </c>
      <c r="DD27" s="304"/>
      <c r="DE27" s="304"/>
      <c r="DF27" s="304"/>
      <c r="DG27" s="304"/>
      <c r="DH27" s="304">
        <f>DC27</f>
        <v>0.26700000000000002</v>
      </c>
      <c r="DI27" s="143"/>
    </row>
    <row r="28" spans="1:113" ht="15.75" customHeight="1">
      <c r="A28" s="282" t="s">
        <v>1</v>
      </c>
      <c r="B28" s="243" t="s">
        <v>32</v>
      </c>
      <c r="C28" s="306"/>
      <c r="D28" s="274"/>
      <c r="E28" s="274"/>
      <c r="F28" s="274"/>
      <c r="G28" s="307">
        <f>SUM(G23:G27)</f>
        <v>93.575000000000003</v>
      </c>
      <c r="H28" s="308"/>
      <c r="I28" s="308"/>
      <c r="J28" s="308"/>
      <c r="K28" s="308"/>
      <c r="L28" s="307">
        <f>SUM(L23:L27)</f>
        <v>109.056</v>
      </c>
      <c r="M28" s="308"/>
      <c r="N28" s="308"/>
      <c r="O28" s="308"/>
      <c r="P28" s="308"/>
      <c r="Q28" s="307">
        <f>SUM(Q23:Q27)</f>
        <v>148.27099999999999</v>
      </c>
      <c r="R28" s="308"/>
      <c r="S28" s="308"/>
      <c r="T28" s="308"/>
      <c r="U28" s="308"/>
      <c r="V28" s="307">
        <f>SUM(V23:V27)</f>
        <v>163.54999999999998</v>
      </c>
      <c r="W28" s="308"/>
      <c r="X28" s="308"/>
      <c r="Y28" s="308"/>
      <c r="Z28" s="308"/>
      <c r="AA28" s="307">
        <f>SUM(AA23:AA27)</f>
        <v>298.83500000000004</v>
      </c>
      <c r="AB28" s="308"/>
      <c r="AC28" s="308"/>
      <c r="AD28" s="308"/>
      <c r="AE28" s="308"/>
      <c r="AF28" s="307">
        <f>SUM(AF23:AF27)</f>
        <v>654.66000000000008</v>
      </c>
      <c r="AG28" s="308"/>
      <c r="AH28" s="308"/>
      <c r="AI28" s="308"/>
      <c r="AJ28" s="308"/>
      <c r="AK28" s="307">
        <f>SUM(AK23:AK27)</f>
        <v>811.16199999999992</v>
      </c>
      <c r="AL28" s="308" t="e">
        <f>AL23+AL24+AL25+AL27+#REF!+#REF!</f>
        <v>#REF!</v>
      </c>
      <c r="AM28" s="308" t="e">
        <f>AM23+AM24+AM25+AM27+#REF!+#REF!</f>
        <v>#REF!</v>
      </c>
      <c r="AN28" s="308" t="e">
        <f>AN23+AN24+AN25+AN27+#REF!+#REF!</f>
        <v>#REF!</v>
      </c>
      <c r="AO28" s="308" t="e">
        <f>AO23+AO24+AO25+AO27+#REF!+#REF!</f>
        <v>#REF!</v>
      </c>
      <c r="AP28" s="307">
        <f>SUM(AP23:AP27)</f>
        <v>1241.4950000000001</v>
      </c>
      <c r="AQ28" s="308" t="e">
        <f>AQ23+AQ24+AQ25+AQ27+#REF!+#REF!</f>
        <v>#REF!</v>
      </c>
      <c r="AR28" s="308" t="e">
        <f>AR23+AR24+AR25+AR27+#REF!+#REF!</f>
        <v>#REF!</v>
      </c>
      <c r="AS28" s="308" t="e">
        <f>AS23+AS24+AS25+AS27+#REF!+#REF!</f>
        <v>#REF!</v>
      </c>
      <c r="AT28" s="308" t="e">
        <f>AT23+AT24+AT25+AT27+#REF!+#REF!</f>
        <v>#REF!</v>
      </c>
      <c r="AU28" s="307">
        <f>SUM(AU23:AU27)</f>
        <v>1135.4829999999999</v>
      </c>
      <c r="AV28" s="308" t="e">
        <f>AV23+AV24+AV25+AV27+#REF!+#REF!</f>
        <v>#REF!</v>
      </c>
      <c r="AW28" s="308" t="e">
        <f>AW23+AW24+AW25+AW27+#REF!+#REF!</f>
        <v>#REF!</v>
      </c>
      <c r="AX28" s="308" t="e">
        <f>AX23+AX24+AX25+AX27+#REF!+#REF!</f>
        <v>#REF!</v>
      </c>
      <c r="AY28" s="308" t="e">
        <f>AY23+AY24+AY25+AY27+#REF!+#REF!</f>
        <v>#REF!</v>
      </c>
      <c r="AZ28" s="307">
        <f>SUM(AZ23:AZ27)</f>
        <v>1176.2369000000001</v>
      </c>
      <c r="BA28" s="308" t="e">
        <f>BA23+BA24+BA25+BA27+#REF!+#REF!</f>
        <v>#REF!</v>
      </c>
      <c r="BB28" s="308" t="e">
        <f>BB23+BB24+BB25+BB27+#REF!+#REF!</f>
        <v>#REF!</v>
      </c>
      <c r="BC28" s="308" t="e">
        <f>BC23+BC24+BC25+BC27+#REF!+#REF!</f>
        <v>#REF!</v>
      </c>
      <c r="BD28" s="308" t="e">
        <f>BD23+BD24+BD25+BD27+#REF!+#REF!</f>
        <v>#REF!</v>
      </c>
      <c r="BE28" s="307">
        <f>SUM(BE23:BE27)</f>
        <v>1219.0284950000002</v>
      </c>
      <c r="BF28" s="308" t="e">
        <f>BF23+BF24+BF25+BF27+#REF!+#REF!</f>
        <v>#REF!</v>
      </c>
      <c r="BG28" s="308" t="e">
        <f>BG23+BG24+BG25+BG27+#REF!+#REF!</f>
        <v>#REF!</v>
      </c>
      <c r="BH28" s="308" t="e">
        <f>BH23+BH24+BH25+BH27+#REF!+#REF!</f>
        <v>#REF!</v>
      </c>
      <c r="BI28" s="308" t="e">
        <f>BI23+BI24+BI25+BI27+#REF!+#REF!</f>
        <v>#REF!</v>
      </c>
      <c r="BJ28" s="307">
        <f>SUM(BJ23:BJ27)</f>
        <v>1263.9596697500003</v>
      </c>
      <c r="BK28" s="304"/>
      <c r="BL28" s="304"/>
      <c r="BM28" s="304"/>
      <c r="BN28" s="304"/>
      <c r="BO28" s="307">
        <f>SUM(BO23:BO27)</f>
        <v>1311.1374032375004</v>
      </c>
      <c r="BP28" s="304"/>
      <c r="BQ28" s="304"/>
      <c r="BR28" s="304"/>
      <c r="BS28" s="304"/>
      <c r="BT28" s="307">
        <f>SUM(BT23:BT27)</f>
        <v>1360.6740233993755</v>
      </c>
      <c r="BU28" s="304"/>
      <c r="BV28" s="304"/>
      <c r="BW28" s="304"/>
      <c r="BX28" s="304"/>
      <c r="BY28" s="307">
        <f>SUM(BY23:BY27)</f>
        <v>1412.6874745693444</v>
      </c>
      <c r="BZ28" s="304"/>
      <c r="CA28" s="304"/>
      <c r="CB28" s="304"/>
      <c r="CC28" s="304"/>
      <c r="CD28" s="307">
        <f>SUM(CD23:CD27)</f>
        <v>1467.3015982978118</v>
      </c>
      <c r="CE28" s="304"/>
      <c r="CF28" s="304"/>
      <c r="CG28" s="304"/>
      <c r="CH28" s="304"/>
      <c r="CI28" s="307">
        <f>SUM(CI23:CI27)</f>
        <v>1524.6464282127024</v>
      </c>
      <c r="CJ28" s="304"/>
      <c r="CK28" s="304"/>
      <c r="CL28" s="304"/>
      <c r="CM28" s="304"/>
      <c r="CN28" s="307">
        <f>SUM(CN23:CN27)</f>
        <v>1584.8584996233376</v>
      </c>
      <c r="CO28" s="304"/>
      <c r="CP28" s="304"/>
      <c r="CQ28" s="304"/>
      <c r="CR28" s="304"/>
      <c r="CS28" s="307">
        <f>SUM(CS23:CS27)</f>
        <v>1648.0811746045044</v>
      </c>
      <c r="CT28" s="304"/>
      <c r="CU28" s="304"/>
      <c r="CV28" s="304"/>
      <c r="CW28" s="304"/>
      <c r="CX28" s="307">
        <f>SUM(CX23:CX27)</f>
        <v>1714.4649833347298</v>
      </c>
      <c r="CY28" s="304"/>
      <c r="CZ28" s="304"/>
      <c r="DA28" s="304"/>
      <c r="DB28" s="304"/>
      <c r="DC28" s="307">
        <f>SUM(DC23:DC27)</f>
        <v>1784.1679825014664</v>
      </c>
      <c r="DD28" s="304"/>
      <c r="DE28" s="304"/>
      <c r="DF28" s="304"/>
      <c r="DG28" s="304"/>
      <c r="DH28" s="307">
        <f>SUM(DH23:DH27)</f>
        <v>1857.3561316265398</v>
      </c>
      <c r="DI28" s="143"/>
    </row>
    <row r="29" spans="1:113" ht="6.75" customHeight="1">
      <c r="C29" s="283"/>
      <c r="D29" s="143"/>
      <c r="E29" s="143"/>
      <c r="F29" s="143"/>
      <c r="G29" s="154"/>
      <c r="H29" s="154"/>
      <c r="I29" s="154"/>
      <c r="J29" s="154"/>
      <c r="K29" s="154"/>
      <c r="L29" s="154"/>
      <c r="M29" s="154"/>
      <c r="N29" s="154"/>
      <c r="O29" s="154"/>
      <c r="P29" s="154"/>
      <c r="Q29" s="154"/>
      <c r="R29" s="154"/>
      <c r="S29" s="154"/>
      <c r="T29" s="154"/>
      <c r="U29" s="154"/>
      <c r="V29" s="154"/>
      <c r="W29" s="154"/>
      <c r="X29" s="154"/>
      <c r="Y29" s="154"/>
      <c r="Z29" s="154"/>
      <c r="AA29" s="154"/>
      <c r="AB29" s="154"/>
      <c r="AC29" s="154"/>
      <c r="AD29" s="154"/>
      <c r="AE29" s="154"/>
      <c r="AF29" s="154"/>
      <c r="AG29" s="154"/>
      <c r="AH29" s="154"/>
      <c r="AI29" s="154"/>
      <c r="AJ29" s="154"/>
      <c r="AK29" s="154"/>
      <c r="AL29" s="154"/>
      <c r="AM29" s="154"/>
      <c r="AN29" s="154"/>
      <c r="AO29" s="154"/>
      <c r="AP29" s="154"/>
      <c r="AQ29" s="154"/>
      <c r="AR29" s="154"/>
      <c r="AS29" s="154"/>
      <c r="AT29" s="154"/>
      <c r="AU29" s="154"/>
      <c r="AV29" s="154"/>
      <c r="AW29" s="154"/>
      <c r="AX29" s="154"/>
      <c r="AY29" s="154"/>
      <c r="AZ29" s="154"/>
      <c r="BA29" s="154"/>
      <c r="BB29" s="154"/>
      <c r="BC29" s="154"/>
      <c r="BD29" s="154"/>
      <c r="BE29" s="154"/>
      <c r="BF29" s="154"/>
      <c r="BG29" s="154"/>
      <c r="BH29" s="154"/>
      <c r="BI29" s="154"/>
      <c r="BJ29" s="154"/>
      <c r="BK29" s="154"/>
      <c r="BL29" s="154"/>
      <c r="BM29" s="154"/>
      <c r="BN29" s="154"/>
      <c r="BO29" s="154"/>
      <c r="BP29" s="154"/>
      <c r="BQ29" s="154"/>
      <c r="BR29" s="154"/>
      <c r="BS29" s="154"/>
      <c r="BT29" s="154"/>
      <c r="BU29" s="154"/>
      <c r="BV29" s="154"/>
      <c r="BW29" s="154"/>
      <c r="BX29" s="154"/>
      <c r="BY29" s="154"/>
      <c r="BZ29" s="154"/>
      <c r="CA29" s="154"/>
      <c r="CB29" s="154"/>
      <c r="CC29" s="154"/>
      <c r="CD29" s="154"/>
      <c r="CE29" s="154"/>
      <c r="CF29" s="154"/>
      <c r="CG29" s="154"/>
      <c r="CH29" s="154"/>
      <c r="CI29" s="154"/>
      <c r="CJ29" s="154"/>
      <c r="CK29" s="154"/>
      <c r="CL29" s="154"/>
      <c r="CM29" s="154"/>
      <c r="CN29" s="154"/>
      <c r="CO29" s="154"/>
      <c r="CP29" s="154"/>
      <c r="CQ29" s="154"/>
      <c r="CR29" s="154"/>
      <c r="CS29" s="154"/>
      <c r="CT29" s="154"/>
      <c r="CU29" s="154"/>
      <c r="CV29" s="154"/>
      <c r="CW29" s="154"/>
      <c r="CX29" s="154"/>
      <c r="CY29" s="154"/>
      <c r="CZ29" s="154"/>
      <c r="DA29" s="154"/>
      <c r="DB29" s="154"/>
      <c r="DC29" s="154"/>
      <c r="DD29" s="154"/>
      <c r="DE29" s="154"/>
      <c r="DF29" s="154"/>
      <c r="DG29" s="154"/>
      <c r="DH29" s="154"/>
      <c r="DI29" s="143"/>
    </row>
    <row r="30" spans="1:113" ht="15.75" customHeight="1">
      <c r="B30" s="176" t="s">
        <v>239</v>
      </c>
      <c r="C30" s="283"/>
      <c r="D30" s="143"/>
      <c r="E30" s="143"/>
      <c r="F30" s="143"/>
      <c r="G30" s="407">
        <v>90.933000000000007</v>
      </c>
      <c r="H30" s="407"/>
      <c r="I30" s="407"/>
      <c r="J30" s="407"/>
      <c r="K30" s="407"/>
      <c r="L30" s="407">
        <v>97.081000000000003</v>
      </c>
      <c r="M30" s="407"/>
      <c r="N30" s="407"/>
      <c r="O30" s="407"/>
      <c r="P30" s="407"/>
      <c r="Q30" s="407">
        <v>86.016999999999996</v>
      </c>
      <c r="R30" s="407"/>
      <c r="S30" s="407"/>
      <c r="T30" s="407"/>
      <c r="U30" s="407"/>
      <c r="V30" s="407">
        <v>76.52</v>
      </c>
      <c r="W30" s="154"/>
      <c r="X30" s="154"/>
      <c r="Y30" s="154"/>
      <c r="Z30" s="154"/>
      <c r="AA30" s="407">
        <v>76.522000000000006</v>
      </c>
      <c r="AB30" s="154"/>
      <c r="AC30" s="154"/>
      <c r="AD30" s="154"/>
      <c r="AE30" s="154"/>
      <c r="AF30" s="407">
        <v>72.367000000000004</v>
      </c>
      <c r="AG30" s="154"/>
      <c r="AH30" s="154"/>
      <c r="AI30" s="154"/>
      <c r="AJ30" s="154"/>
      <c r="AK30" s="407">
        <v>582.66399999999999</v>
      </c>
      <c r="AL30" s="154"/>
      <c r="AM30" s="154"/>
      <c r="AN30" s="154"/>
      <c r="AO30" s="154"/>
      <c r="AP30" s="407">
        <v>503.47399999999999</v>
      </c>
      <c r="AQ30" s="154"/>
      <c r="AR30" s="154"/>
      <c r="AS30" s="154"/>
      <c r="AT30" s="154"/>
      <c r="AU30" s="407">
        <v>379.93599999999998</v>
      </c>
      <c r="AV30" s="154"/>
      <c r="AW30" s="154"/>
      <c r="AX30" s="154"/>
      <c r="AY30" s="154"/>
      <c r="AZ30" s="304">
        <f>AU30</f>
        <v>379.93599999999998</v>
      </c>
      <c r="BA30" s="154"/>
      <c r="BB30" s="154"/>
      <c r="BC30" s="154"/>
      <c r="BD30" s="154"/>
      <c r="BE30" s="304">
        <f>AZ30</f>
        <v>379.93599999999998</v>
      </c>
      <c r="BF30" s="154"/>
      <c r="BG30" s="154"/>
      <c r="BH30" s="154"/>
      <c r="BI30" s="154"/>
      <c r="BJ30" s="304">
        <f>BE30</f>
        <v>379.93599999999998</v>
      </c>
      <c r="BK30" s="304"/>
      <c r="BL30" s="304"/>
      <c r="BM30" s="304"/>
      <c r="BN30" s="304"/>
      <c r="BO30" s="304">
        <f>BJ30</f>
        <v>379.93599999999998</v>
      </c>
      <c r="BP30" s="304"/>
      <c r="BQ30" s="304"/>
      <c r="BR30" s="304"/>
      <c r="BS30" s="304"/>
      <c r="BT30" s="304">
        <f>BO30</f>
        <v>379.93599999999998</v>
      </c>
      <c r="BU30" s="304"/>
      <c r="BV30" s="304"/>
      <c r="BW30" s="304"/>
      <c r="BX30" s="304"/>
      <c r="BY30" s="304">
        <f>BT30</f>
        <v>379.93599999999998</v>
      </c>
      <c r="BZ30" s="304"/>
      <c r="CA30" s="304"/>
      <c r="CB30" s="304"/>
      <c r="CC30" s="304"/>
      <c r="CD30" s="304">
        <f>BY30</f>
        <v>379.93599999999998</v>
      </c>
      <c r="CE30" s="304"/>
      <c r="CF30" s="304"/>
      <c r="CG30" s="304"/>
      <c r="CH30" s="304"/>
      <c r="CI30" s="304">
        <f>CD30</f>
        <v>379.93599999999998</v>
      </c>
      <c r="CJ30" s="304"/>
      <c r="CK30" s="304"/>
      <c r="CL30" s="304"/>
      <c r="CM30" s="304"/>
      <c r="CN30" s="304">
        <f>CI30</f>
        <v>379.93599999999998</v>
      </c>
      <c r="CO30" s="304"/>
      <c r="CP30" s="304"/>
      <c r="CQ30" s="304"/>
      <c r="CR30" s="304"/>
      <c r="CS30" s="304">
        <f>CN30</f>
        <v>379.93599999999998</v>
      </c>
      <c r="CT30" s="304"/>
      <c r="CU30" s="304"/>
      <c r="CV30" s="304"/>
      <c r="CW30" s="304"/>
      <c r="CX30" s="304">
        <f>CS30</f>
        <v>379.93599999999998</v>
      </c>
      <c r="CY30" s="304"/>
      <c r="CZ30" s="304"/>
      <c r="DA30" s="304"/>
      <c r="DB30" s="304"/>
      <c r="DC30" s="304">
        <f>CX30</f>
        <v>379.93599999999998</v>
      </c>
      <c r="DD30" s="304"/>
      <c r="DE30" s="304"/>
      <c r="DF30" s="304"/>
      <c r="DG30" s="304"/>
      <c r="DH30" s="304">
        <f>DC30</f>
        <v>379.93599999999998</v>
      </c>
      <c r="DI30" s="143"/>
    </row>
    <row r="31" spans="1:113" ht="15.75" customHeight="1">
      <c r="B31" s="176" t="s">
        <v>240</v>
      </c>
      <c r="C31" s="283"/>
      <c r="D31" s="143"/>
      <c r="E31" s="143"/>
      <c r="F31" s="143"/>
      <c r="G31" s="407">
        <v>46.951000000000001</v>
      </c>
      <c r="H31" s="407"/>
      <c r="I31" s="407"/>
      <c r="J31" s="407"/>
      <c r="K31" s="407"/>
      <c r="L31" s="407">
        <v>188.77500000000001</v>
      </c>
      <c r="M31" s="407"/>
      <c r="N31" s="407"/>
      <c r="O31" s="407"/>
      <c r="P31" s="407"/>
      <c r="Q31" s="407">
        <v>162.59299999999999</v>
      </c>
      <c r="R31" s="407"/>
      <c r="S31" s="407"/>
      <c r="T31" s="407"/>
      <c r="U31" s="407"/>
      <c r="V31" s="407">
        <v>131.822</v>
      </c>
      <c r="W31" s="154"/>
      <c r="X31" s="154"/>
      <c r="Y31" s="154"/>
      <c r="Z31" s="154"/>
      <c r="AA31" s="407">
        <v>107.67700000000001</v>
      </c>
      <c r="AB31" s="154"/>
      <c r="AC31" s="154"/>
      <c r="AD31" s="154"/>
      <c r="AE31" s="154"/>
      <c r="AF31" s="407">
        <v>103.90900000000001</v>
      </c>
      <c r="AG31" s="154"/>
      <c r="AH31" s="154"/>
      <c r="AI31" s="154"/>
      <c r="AJ31" s="154"/>
      <c r="AK31" s="407">
        <v>82.015000000000001</v>
      </c>
      <c r="AL31" s="154"/>
      <c r="AM31" s="154"/>
      <c r="AN31" s="154"/>
      <c r="AO31" s="154"/>
      <c r="AP31" s="407">
        <v>327.298</v>
      </c>
      <c r="AQ31" s="154"/>
      <c r="AR31" s="154"/>
      <c r="AS31" s="154"/>
      <c r="AT31" s="154"/>
      <c r="AU31" s="407">
        <v>249.26300000000001</v>
      </c>
      <c r="AV31" s="154"/>
      <c r="AW31" s="154"/>
      <c r="AX31" s="154"/>
      <c r="AY31" s="154"/>
      <c r="AZ31" s="304">
        <f>AU31</f>
        <v>249.26300000000001</v>
      </c>
      <c r="BA31" s="154"/>
      <c r="BB31" s="154"/>
      <c r="BC31" s="154"/>
      <c r="BD31" s="154"/>
      <c r="BE31" s="304">
        <f>AZ31</f>
        <v>249.26300000000001</v>
      </c>
      <c r="BF31" s="154"/>
      <c r="BG31" s="154"/>
      <c r="BH31" s="154"/>
      <c r="BI31" s="154"/>
      <c r="BJ31" s="304">
        <f>BE31</f>
        <v>249.26300000000001</v>
      </c>
      <c r="BK31" s="304"/>
      <c r="BL31" s="304"/>
      <c r="BM31" s="304"/>
      <c r="BN31" s="304"/>
      <c r="BO31" s="304">
        <f>BJ31</f>
        <v>249.26300000000001</v>
      </c>
      <c r="BP31" s="304"/>
      <c r="BQ31" s="304"/>
      <c r="BR31" s="304"/>
      <c r="BS31" s="304"/>
      <c r="BT31" s="304">
        <f>BO31</f>
        <v>249.26300000000001</v>
      </c>
      <c r="BU31" s="304"/>
      <c r="BV31" s="304"/>
      <c r="BW31" s="304"/>
      <c r="BX31" s="304"/>
      <c r="BY31" s="304">
        <f>BT31</f>
        <v>249.26300000000001</v>
      </c>
      <c r="BZ31" s="304"/>
      <c r="CA31" s="304"/>
      <c r="CB31" s="304"/>
      <c r="CC31" s="304"/>
      <c r="CD31" s="304">
        <f>BY31</f>
        <v>249.26300000000001</v>
      </c>
      <c r="CE31" s="304"/>
      <c r="CF31" s="304"/>
      <c r="CG31" s="304"/>
      <c r="CH31" s="304"/>
      <c r="CI31" s="304">
        <f>CD31</f>
        <v>249.26300000000001</v>
      </c>
      <c r="CJ31" s="304"/>
      <c r="CK31" s="304"/>
      <c r="CL31" s="304"/>
      <c r="CM31" s="304"/>
      <c r="CN31" s="304">
        <f>CI31</f>
        <v>249.26300000000001</v>
      </c>
      <c r="CO31" s="304"/>
      <c r="CP31" s="304"/>
      <c r="CQ31" s="304"/>
      <c r="CR31" s="304"/>
      <c r="CS31" s="304">
        <f>CN31</f>
        <v>249.26300000000001</v>
      </c>
      <c r="CT31" s="304"/>
      <c r="CU31" s="304"/>
      <c r="CV31" s="304"/>
      <c r="CW31" s="304"/>
      <c r="CX31" s="304">
        <f>CS31</f>
        <v>249.26300000000001</v>
      </c>
      <c r="CY31" s="304"/>
      <c r="CZ31" s="304"/>
      <c r="DA31" s="304"/>
      <c r="DB31" s="304"/>
      <c r="DC31" s="304">
        <f>CX31</f>
        <v>249.26300000000001</v>
      </c>
      <c r="DD31" s="304"/>
      <c r="DE31" s="304"/>
      <c r="DF31" s="304"/>
      <c r="DG31" s="304"/>
      <c r="DH31" s="304">
        <f>DC31</f>
        <v>249.26300000000001</v>
      </c>
      <c r="DI31" s="143"/>
    </row>
    <row r="32" spans="1:113" ht="15.75" customHeight="1">
      <c r="B32" s="176" t="s">
        <v>241</v>
      </c>
      <c r="C32" s="283"/>
      <c r="D32" s="143"/>
      <c r="E32" s="143"/>
      <c r="F32" s="143"/>
      <c r="G32" s="407">
        <v>109.02200000000001</v>
      </c>
      <c r="H32" s="407"/>
      <c r="I32" s="407"/>
      <c r="J32" s="407"/>
      <c r="K32" s="407"/>
      <c r="L32" s="407">
        <v>159.35499999999999</v>
      </c>
      <c r="M32" s="407"/>
      <c r="N32" s="407"/>
      <c r="O32" s="407"/>
      <c r="P32" s="407"/>
      <c r="Q32" s="407">
        <v>159.50800000000001</v>
      </c>
      <c r="R32" s="407"/>
      <c r="S32" s="407"/>
      <c r="T32" s="407"/>
      <c r="U32" s="407"/>
      <c r="V32" s="407">
        <v>159.43600000000001</v>
      </c>
      <c r="W32" s="154"/>
      <c r="X32" s="154"/>
      <c r="Y32" s="154"/>
      <c r="Z32" s="154"/>
      <c r="AA32" s="407">
        <v>184.25800000000001</v>
      </c>
      <c r="AB32" s="154"/>
      <c r="AC32" s="154"/>
      <c r="AD32" s="154"/>
      <c r="AE32" s="154"/>
      <c r="AF32" s="407">
        <v>310.93799999999999</v>
      </c>
      <c r="AG32" s="154"/>
      <c r="AH32" s="154"/>
      <c r="AI32" s="154"/>
      <c r="AJ32" s="154"/>
      <c r="AK32" s="407">
        <v>362.91899999999998</v>
      </c>
      <c r="AL32" s="154"/>
      <c r="AM32" s="154"/>
      <c r="AN32" s="154"/>
      <c r="AO32" s="154"/>
      <c r="AP32" s="407">
        <v>351.56900000000002</v>
      </c>
      <c r="AQ32" s="154"/>
      <c r="AR32" s="154"/>
      <c r="AS32" s="154"/>
      <c r="AT32" s="154"/>
      <c r="AU32" s="407">
        <v>703.45299999999997</v>
      </c>
      <c r="AV32" s="154"/>
      <c r="AW32" s="154"/>
      <c r="AX32" s="154"/>
      <c r="AY32" s="154"/>
      <c r="AZ32" s="304">
        <f>AU32</f>
        <v>703.45299999999997</v>
      </c>
      <c r="BA32" s="154"/>
      <c r="BB32" s="154"/>
      <c r="BC32" s="154"/>
      <c r="BD32" s="154"/>
      <c r="BE32" s="304">
        <f>AZ32</f>
        <v>703.45299999999997</v>
      </c>
      <c r="BF32" s="154"/>
      <c r="BG32" s="154"/>
      <c r="BH32" s="154"/>
      <c r="BI32" s="154"/>
      <c r="BJ32" s="304">
        <f>BE32</f>
        <v>703.45299999999997</v>
      </c>
      <c r="BK32" s="304"/>
      <c r="BL32" s="304"/>
      <c r="BM32" s="304"/>
      <c r="BN32" s="304"/>
      <c r="BO32" s="304">
        <f>BJ32</f>
        <v>703.45299999999997</v>
      </c>
      <c r="BP32" s="304"/>
      <c r="BQ32" s="304"/>
      <c r="BR32" s="304"/>
      <c r="BS32" s="304"/>
      <c r="BT32" s="304">
        <f>BO32</f>
        <v>703.45299999999997</v>
      </c>
      <c r="BU32" s="304"/>
      <c r="BV32" s="304"/>
      <c r="BW32" s="304"/>
      <c r="BX32" s="304"/>
      <c r="BY32" s="304">
        <f>BT32</f>
        <v>703.45299999999997</v>
      </c>
      <c r="BZ32" s="304"/>
      <c r="CA32" s="304"/>
      <c r="CB32" s="304"/>
      <c r="CC32" s="304"/>
      <c r="CD32" s="304">
        <f>BY32</f>
        <v>703.45299999999997</v>
      </c>
      <c r="CE32" s="304"/>
      <c r="CF32" s="304"/>
      <c r="CG32" s="304"/>
      <c r="CH32" s="304"/>
      <c r="CI32" s="304">
        <f>CD32</f>
        <v>703.45299999999997</v>
      </c>
      <c r="CJ32" s="304"/>
      <c r="CK32" s="304"/>
      <c r="CL32" s="304"/>
      <c r="CM32" s="304"/>
      <c r="CN32" s="304">
        <f>CI32</f>
        <v>703.45299999999997</v>
      </c>
      <c r="CO32" s="304"/>
      <c r="CP32" s="304"/>
      <c r="CQ32" s="304"/>
      <c r="CR32" s="304"/>
      <c r="CS32" s="304">
        <f>CN32</f>
        <v>703.45299999999997</v>
      </c>
      <c r="CT32" s="304"/>
      <c r="CU32" s="304"/>
      <c r="CV32" s="304"/>
      <c r="CW32" s="304"/>
      <c r="CX32" s="304">
        <f>CS32</f>
        <v>703.45299999999997</v>
      </c>
      <c r="CY32" s="304"/>
      <c r="CZ32" s="304"/>
      <c r="DA32" s="304"/>
      <c r="DB32" s="304"/>
      <c r="DC32" s="304">
        <f>CX32</f>
        <v>703.45299999999997</v>
      </c>
      <c r="DD32" s="304"/>
      <c r="DE32" s="304"/>
      <c r="DF32" s="304"/>
      <c r="DG32" s="304"/>
      <c r="DH32" s="304">
        <f>DC32</f>
        <v>703.45299999999997</v>
      </c>
      <c r="DI32" s="143"/>
    </row>
    <row r="33" spans="1:119" ht="15.75" customHeight="1">
      <c r="B33" s="176" t="s">
        <v>242</v>
      </c>
      <c r="C33" s="283"/>
      <c r="D33" s="143"/>
      <c r="E33" s="143"/>
      <c r="F33" s="143"/>
      <c r="G33" s="407">
        <v>0</v>
      </c>
      <c r="H33" s="407"/>
      <c r="I33" s="407"/>
      <c r="J33" s="407"/>
      <c r="K33" s="407"/>
      <c r="L33" s="407">
        <v>0</v>
      </c>
      <c r="M33" s="407"/>
      <c r="N33" s="407"/>
      <c r="O33" s="407"/>
      <c r="P33" s="407"/>
      <c r="Q33" s="407">
        <v>275.01900000000001</v>
      </c>
      <c r="R33" s="407"/>
      <c r="S33" s="407"/>
      <c r="T33" s="407"/>
      <c r="U33" s="407"/>
      <c r="V33" s="407">
        <v>296.51799999999997</v>
      </c>
      <c r="W33" s="154"/>
      <c r="X33" s="154"/>
      <c r="Y33" s="154"/>
      <c r="Z33" s="154"/>
      <c r="AA33" s="407">
        <v>320.315</v>
      </c>
      <c r="AB33" s="154"/>
      <c r="AC33" s="154"/>
      <c r="AD33" s="154"/>
      <c r="AE33" s="154"/>
      <c r="AF33" s="407">
        <v>146.773</v>
      </c>
      <c r="AG33" s="154"/>
      <c r="AH33" s="154"/>
      <c r="AI33" s="154"/>
      <c r="AJ33" s="154"/>
      <c r="AK33" s="826">
        <v>0</v>
      </c>
      <c r="AL33" s="154"/>
      <c r="AM33" s="154"/>
      <c r="AN33" s="154"/>
      <c r="AO33" s="154"/>
      <c r="AP33" s="407">
        <v>0</v>
      </c>
      <c r="AQ33" s="154"/>
      <c r="AR33" s="154"/>
      <c r="AS33" s="154"/>
      <c r="AT33" s="154"/>
      <c r="AU33" s="407">
        <v>0</v>
      </c>
      <c r="AV33" s="154"/>
      <c r="AW33" s="154"/>
      <c r="AX33" s="154"/>
      <c r="AY33" s="154"/>
      <c r="AZ33" s="304">
        <f>AU33</f>
        <v>0</v>
      </c>
      <c r="BA33" s="154"/>
      <c r="BB33" s="154"/>
      <c r="BC33" s="154"/>
      <c r="BD33" s="154"/>
      <c r="BE33" s="304">
        <f>AZ33</f>
        <v>0</v>
      </c>
      <c r="BF33" s="154"/>
      <c r="BG33" s="154"/>
      <c r="BH33" s="154"/>
      <c r="BI33" s="154"/>
      <c r="BJ33" s="304">
        <f>BE33</f>
        <v>0</v>
      </c>
      <c r="BK33" s="304"/>
      <c r="BL33" s="304"/>
      <c r="BM33" s="304"/>
      <c r="BN33" s="304"/>
      <c r="BO33" s="304">
        <f>BJ33</f>
        <v>0</v>
      </c>
      <c r="BP33" s="304"/>
      <c r="BQ33" s="304"/>
      <c r="BR33" s="304"/>
      <c r="BS33" s="304"/>
      <c r="BT33" s="304">
        <f>BO33</f>
        <v>0</v>
      </c>
      <c r="BU33" s="304"/>
      <c r="BV33" s="304"/>
      <c r="BW33" s="304"/>
      <c r="BX33" s="304"/>
      <c r="BY33" s="304">
        <f>BT33</f>
        <v>0</v>
      </c>
      <c r="BZ33" s="304"/>
      <c r="CA33" s="304"/>
      <c r="CB33" s="304"/>
      <c r="CC33" s="304"/>
      <c r="CD33" s="304">
        <f>BY33</f>
        <v>0</v>
      </c>
      <c r="CE33" s="304"/>
      <c r="CF33" s="304"/>
      <c r="CG33" s="304"/>
      <c r="CH33" s="304"/>
      <c r="CI33" s="304">
        <f>CD33</f>
        <v>0</v>
      </c>
      <c r="CJ33" s="304"/>
      <c r="CK33" s="304"/>
      <c r="CL33" s="304"/>
      <c r="CM33" s="304"/>
      <c r="CN33" s="304">
        <f>CI33</f>
        <v>0</v>
      </c>
      <c r="CO33" s="304"/>
      <c r="CP33" s="304"/>
      <c r="CQ33" s="304"/>
      <c r="CR33" s="304"/>
      <c r="CS33" s="304">
        <f>CN33</f>
        <v>0</v>
      </c>
      <c r="CT33" s="304"/>
      <c r="CU33" s="304"/>
      <c r="CV33" s="304"/>
      <c r="CW33" s="304"/>
      <c r="CX33" s="304">
        <f>CS33</f>
        <v>0</v>
      </c>
      <c r="CY33" s="304"/>
      <c r="CZ33" s="304"/>
      <c r="DA33" s="304"/>
      <c r="DB33" s="304"/>
      <c r="DC33" s="304">
        <f>CX33</f>
        <v>0</v>
      </c>
      <c r="DD33" s="304"/>
      <c r="DE33" s="304"/>
      <c r="DF33" s="304"/>
      <c r="DG33" s="304"/>
      <c r="DH33" s="304">
        <f>DC33</f>
        <v>0</v>
      </c>
      <c r="DI33" s="143"/>
    </row>
    <row r="34" spans="1:119" ht="15.75" customHeight="1">
      <c r="B34" s="125" t="s">
        <v>89</v>
      </c>
      <c r="C34" s="283"/>
      <c r="D34" s="143"/>
      <c r="E34" s="143"/>
      <c r="F34" s="143"/>
      <c r="G34" s="407">
        <v>3.9590000000000001</v>
      </c>
      <c r="H34" s="407"/>
      <c r="I34" s="407"/>
      <c r="J34" s="407"/>
      <c r="K34" s="407"/>
      <c r="L34" s="407">
        <v>7.35</v>
      </c>
      <c r="M34" s="407"/>
      <c r="N34" s="407"/>
      <c r="O34" s="407"/>
      <c r="P34" s="407"/>
      <c r="Q34" s="407">
        <v>6.4429999999999996</v>
      </c>
      <c r="R34" s="407"/>
      <c r="S34" s="407"/>
      <c r="T34" s="407"/>
      <c r="U34" s="407"/>
      <c r="V34" s="407">
        <v>7.2590000000000003</v>
      </c>
      <c r="W34" s="154"/>
      <c r="X34" s="154"/>
      <c r="Y34" s="154"/>
      <c r="Z34" s="154"/>
      <c r="AA34" s="407">
        <v>11.33</v>
      </c>
      <c r="AB34" s="154"/>
      <c r="AC34" s="154"/>
      <c r="AD34" s="154"/>
      <c r="AE34" s="154"/>
      <c r="AF34" s="407">
        <v>40.854999999999997</v>
      </c>
      <c r="AG34" s="154"/>
      <c r="AH34" s="154"/>
      <c r="AI34" s="154"/>
      <c r="AJ34" s="154"/>
      <c r="AK34" s="407">
        <v>115.535</v>
      </c>
      <c r="AL34" s="154"/>
      <c r="AM34" s="154"/>
      <c r="AN34" s="154"/>
      <c r="AO34" s="154"/>
      <c r="AP34" s="407">
        <v>100.38500000000001</v>
      </c>
      <c r="AQ34" s="154"/>
      <c r="AR34" s="154"/>
      <c r="AS34" s="154"/>
      <c r="AT34" s="154"/>
      <c r="AU34" s="407">
        <v>152.07300000000001</v>
      </c>
      <c r="AV34" s="154"/>
      <c r="AW34" s="154"/>
      <c r="AX34" s="154"/>
      <c r="AY34" s="154"/>
      <c r="AZ34" s="304">
        <f>AU34</f>
        <v>152.07300000000001</v>
      </c>
      <c r="BA34" s="154"/>
      <c r="BB34" s="154"/>
      <c r="BC34" s="154"/>
      <c r="BD34" s="154"/>
      <c r="BE34" s="304">
        <f>AZ34</f>
        <v>152.07300000000001</v>
      </c>
      <c r="BF34" s="154"/>
      <c r="BG34" s="154"/>
      <c r="BH34" s="154"/>
      <c r="BI34" s="154"/>
      <c r="BJ34" s="304">
        <f>BE34</f>
        <v>152.07300000000001</v>
      </c>
      <c r="BK34" s="304"/>
      <c r="BL34" s="304"/>
      <c r="BM34" s="304"/>
      <c r="BN34" s="304"/>
      <c r="BO34" s="304">
        <f>BJ34</f>
        <v>152.07300000000001</v>
      </c>
      <c r="BP34" s="304"/>
      <c r="BQ34" s="304"/>
      <c r="BR34" s="304"/>
      <c r="BS34" s="304"/>
      <c r="BT34" s="304">
        <f>BO34</f>
        <v>152.07300000000001</v>
      </c>
      <c r="BU34" s="304"/>
      <c r="BV34" s="304"/>
      <c r="BW34" s="304"/>
      <c r="BX34" s="304"/>
      <c r="BY34" s="304">
        <f>BT34</f>
        <v>152.07300000000001</v>
      </c>
      <c r="BZ34" s="304"/>
      <c r="CA34" s="304"/>
      <c r="CB34" s="304"/>
      <c r="CC34" s="304"/>
      <c r="CD34" s="304">
        <f>BY34</f>
        <v>152.07300000000001</v>
      </c>
      <c r="CE34" s="304"/>
      <c r="CF34" s="304"/>
      <c r="CG34" s="304"/>
      <c r="CH34" s="304"/>
      <c r="CI34" s="304">
        <f>CD34</f>
        <v>152.07300000000001</v>
      </c>
      <c r="CJ34" s="304"/>
      <c r="CK34" s="304"/>
      <c r="CL34" s="304"/>
      <c r="CM34" s="304"/>
      <c r="CN34" s="304">
        <f>CI34</f>
        <v>152.07300000000001</v>
      </c>
      <c r="CO34" s="304"/>
      <c r="CP34" s="304"/>
      <c r="CQ34" s="304"/>
      <c r="CR34" s="304"/>
      <c r="CS34" s="304">
        <f>CN34</f>
        <v>152.07300000000001</v>
      </c>
      <c r="CT34" s="304"/>
      <c r="CU34" s="304"/>
      <c r="CV34" s="304"/>
      <c r="CW34" s="304"/>
      <c r="CX34" s="304">
        <f>CS34</f>
        <v>152.07300000000001</v>
      </c>
      <c r="CY34" s="304"/>
      <c r="CZ34" s="304"/>
      <c r="DA34" s="304"/>
      <c r="DB34" s="304"/>
      <c r="DC34" s="304">
        <f>CX34</f>
        <v>152.07300000000001</v>
      </c>
      <c r="DD34" s="304"/>
      <c r="DE34" s="304"/>
      <c r="DF34" s="304"/>
      <c r="DG34" s="304"/>
      <c r="DH34" s="304">
        <f>DC34</f>
        <v>152.07300000000001</v>
      </c>
      <c r="DI34" s="143"/>
    </row>
    <row r="35" spans="1:119" ht="15.75" customHeight="1">
      <c r="B35" s="125" t="s">
        <v>33</v>
      </c>
      <c r="C35" s="291"/>
      <c r="D35" s="272"/>
      <c r="E35" s="272"/>
      <c r="F35" s="272"/>
      <c r="G35" s="310">
        <f>SUM(G30:G34)</f>
        <v>250.86500000000001</v>
      </c>
      <c r="H35" s="311"/>
      <c r="I35" s="311"/>
      <c r="J35" s="311"/>
      <c r="K35" s="311"/>
      <c r="L35" s="310">
        <f>SUM(L30:L34)</f>
        <v>452.56100000000004</v>
      </c>
      <c r="M35" s="311"/>
      <c r="N35" s="311"/>
      <c r="O35" s="311"/>
      <c r="P35" s="311"/>
      <c r="Q35" s="310">
        <f>SUM(Q30:Q34)</f>
        <v>689.57999999999993</v>
      </c>
      <c r="R35" s="311"/>
      <c r="S35" s="311"/>
      <c r="T35" s="311"/>
      <c r="U35" s="311"/>
      <c r="V35" s="310">
        <f>SUM(V30:V34)</f>
        <v>671.55500000000006</v>
      </c>
      <c r="W35" s="311"/>
      <c r="X35" s="311"/>
      <c r="Y35" s="311"/>
      <c r="Z35" s="311"/>
      <c r="AA35" s="310">
        <f>SUM(AA30:AA34)</f>
        <v>700.10199999999998</v>
      </c>
      <c r="AB35" s="311"/>
      <c r="AC35" s="311"/>
      <c r="AD35" s="311"/>
      <c r="AE35" s="311"/>
      <c r="AF35" s="310">
        <f>SUM(AF30:AF34)</f>
        <v>674.84199999999998</v>
      </c>
      <c r="AG35" s="311"/>
      <c r="AH35" s="311"/>
      <c r="AI35" s="311"/>
      <c r="AJ35" s="311"/>
      <c r="AK35" s="310">
        <f>SUM(AK30:AK34)</f>
        <v>1143.133</v>
      </c>
      <c r="AL35" s="311">
        <f t="shared" ref="AL35:BI35" si="7">AL30+AL32+AL34</f>
        <v>0</v>
      </c>
      <c r="AM35" s="311">
        <f t="shared" si="7"/>
        <v>0</v>
      </c>
      <c r="AN35" s="311">
        <f t="shared" si="7"/>
        <v>0</v>
      </c>
      <c r="AO35" s="311">
        <f t="shared" si="7"/>
        <v>0</v>
      </c>
      <c r="AP35" s="310">
        <f>SUM(AP30:AP34)</f>
        <v>1282.7259999999999</v>
      </c>
      <c r="AQ35" s="311">
        <f t="shared" si="7"/>
        <v>0</v>
      </c>
      <c r="AR35" s="311">
        <f t="shared" si="7"/>
        <v>0</v>
      </c>
      <c r="AS35" s="311">
        <f t="shared" si="7"/>
        <v>0</v>
      </c>
      <c r="AT35" s="311">
        <f t="shared" si="7"/>
        <v>0</v>
      </c>
      <c r="AU35" s="310">
        <f>SUM(AU30:AU34)</f>
        <v>1484.7250000000001</v>
      </c>
      <c r="AV35" s="311">
        <f t="shared" si="7"/>
        <v>0</v>
      </c>
      <c r="AW35" s="311">
        <f t="shared" si="7"/>
        <v>0</v>
      </c>
      <c r="AX35" s="311">
        <f t="shared" si="7"/>
        <v>0</v>
      </c>
      <c r="AY35" s="311">
        <f t="shared" si="7"/>
        <v>0</v>
      </c>
      <c r="AZ35" s="310">
        <f>SUM(AZ30:AZ34)</f>
        <v>1484.7250000000001</v>
      </c>
      <c r="BA35" s="311">
        <f t="shared" si="7"/>
        <v>0</v>
      </c>
      <c r="BB35" s="311">
        <f t="shared" si="7"/>
        <v>0</v>
      </c>
      <c r="BC35" s="311">
        <f t="shared" si="7"/>
        <v>0</v>
      </c>
      <c r="BD35" s="311">
        <f t="shared" si="7"/>
        <v>0</v>
      </c>
      <c r="BE35" s="310">
        <f>SUM(BE30:BE34)</f>
        <v>1484.7250000000001</v>
      </c>
      <c r="BF35" s="311">
        <f t="shared" si="7"/>
        <v>0</v>
      </c>
      <c r="BG35" s="311">
        <f t="shared" si="7"/>
        <v>0</v>
      </c>
      <c r="BH35" s="311">
        <f t="shared" si="7"/>
        <v>0</v>
      </c>
      <c r="BI35" s="311">
        <f t="shared" si="7"/>
        <v>0</v>
      </c>
      <c r="BJ35" s="310">
        <f>SUM(BJ30:BJ34)</f>
        <v>1484.7250000000001</v>
      </c>
      <c r="BK35" s="304"/>
      <c r="BL35" s="304"/>
      <c r="BM35" s="304"/>
      <c r="BN35" s="304"/>
      <c r="BO35" s="310">
        <f>SUM(BO30:BO34)</f>
        <v>1484.7250000000001</v>
      </c>
      <c r="BP35" s="304"/>
      <c r="BQ35" s="304"/>
      <c r="BR35" s="304"/>
      <c r="BS35" s="304"/>
      <c r="BT35" s="310">
        <f>SUM(BT30:BT34)</f>
        <v>1484.7250000000001</v>
      </c>
      <c r="BU35" s="304"/>
      <c r="BV35" s="304"/>
      <c r="BW35" s="304"/>
      <c r="BX35" s="304"/>
      <c r="BY35" s="310">
        <f>SUM(BY30:BY34)</f>
        <v>1484.7250000000001</v>
      </c>
      <c r="BZ35" s="304"/>
      <c r="CA35" s="304"/>
      <c r="CB35" s="304"/>
      <c r="CC35" s="304"/>
      <c r="CD35" s="310">
        <f>SUM(CD30:CD34)</f>
        <v>1484.7250000000001</v>
      </c>
      <c r="CE35" s="304"/>
      <c r="CF35" s="304"/>
      <c r="CG35" s="304"/>
      <c r="CH35" s="304"/>
      <c r="CI35" s="310">
        <f>SUM(CI30:CI34)</f>
        <v>1484.7250000000001</v>
      </c>
      <c r="CJ35" s="304"/>
      <c r="CK35" s="304"/>
      <c r="CL35" s="304"/>
      <c r="CM35" s="304"/>
      <c r="CN35" s="310">
        <f>SUM(CN30:CN34)</f>
        <v>1484.7250000000001</v>
      </c>
      <c r="CO35" s="304"/>
      <c r="CP35" s="304"/>
      <c r="CQ35" s="304"/>
      <c r="CR35" s="304"/>
      <c r="CS35" s="310">
        <f>SUM(CS30:CS34)</f>
        <v>1484.7250000000001</v>
      </c>
      <c r="CT35" s="304"/>
      <c r="CU35" s="304"/>
      <c r="CV35" s="304"/>
      <c r="CW35" s="304"/>
      <c r="CX35" s="310">
        <f>SUM(CX30:CX34)</f>
        <v>1484.7250000000001</v>
      </c>
      <c r="CY35" s="304"/>
      <c r="CZ35" s="304"/>
      <c r="DA35" s="304"/>
      <c r="DB35" s="304"/>
      <c r="DC35" s="310">
        <f>SUM(DC30:DC34)</f>
        <v>1484.7250000000001</v>
      </c>
      <c r="DD35" s="304"/>
      <c r="DE35" s="304"/>
      <c r="DF35" s="304"/>
      <c r="DG35" s="304"/>
      <c r="DH35" s="310">
        <f>SUM(DH30:DH34)</f>
        <v>1484.7250000000001</v>
      </c>
      <c r="DI35" s="143"/>
    </row>
    <row r="36" spans="1:119" ht="15.75" customHeight="1">
      <c r="A36" s="282" t="s">
        <v>1</v>
      </c>
      <c r="B36" s="132" t="s">
        <v>34</v>
      </c>
      <c r="C36" s="306"/>
      <c r="D36" s="274"/>
      <c r="E36" s="274"/>
      <c r="F36" s="274"/>
      <c r="G36" s="312">
        <f>G28+G35</f>
        <v>344.44</v>
      </c>
      <c r="H36" s="312"/>
      <c r="I36" s="312"/>
      <c r="J36" s="312"/>
      <c r="K36" s="312"/>
      <c r="L36" s="312">
        <f t="shared" ref="L36:BJ36" si="8">L28+L35</f>
        <v>561.61700000000008</v>
      </c>
      <c r="M36" s="312"/>
      <c r="N36" s="312"/>
      <c r="O36" s="312"/>
      <c r="P36" s="312"/>
      <c r="Q36" s="312">
        <f t="shared" si="8"/>
        <v>837.85099999999989</v>
      </c>
      <c r="R36" s="312"/>
      <c r="S36" s="312"/>
      <c r="T36" s="312"/>
      <c r="U36" s="312"/>
      <c r="V36" s="312">
        <f t="shared" si="8"/>
        <v>835.10500000000002</v>
      </c>
      <c r="W36" s="312"/>
      <c r="X36" s="312"/>
      <c r="Y36" s="312"/>
      <c r="Z36" s="312"/>
      <c r="AA36" s="312">
        <f t="shared" si="8"/>
        <v>998.93700000000001</v>
      </c>
      <c r="AB36" s="312"/>
      <c r="AC36" s="312"/>
      <c r="AD36" s="312"/>
      <c r="AE36" s="312"/>
      <c r="AF36" s="312">
        <f>AF28+AF35</f>
        <v>1329.502</v>
      </c>
      <c r="AG36" s="312"/>
      <c r="AH36" s="312"/>
      <c r="AI36" s="312"/>
      <c r="AJ36" s="312"/>
      <c r="AK36" s="312">
        <f t="shared" si="8"/>
        <v>1954.2950000000001</v>
      </c>
      <c r="AL36" s="312" t="e">
        <f t="shared" si="8"/>
        <v>#REF!</v>
      </c>
      <c r="AM36" s="312" t="e">
        <f t="shared" si="8"/>
        <v>#REF!</v>
      </c>
      <c r="AN36" s="312" t="e">
        <f t="shared" si="8"/>
        <v>#REF!</v>
      </c>
      <c r="AO36" s="312" t="e">
        <f t="shared" si="8"/>
        <v>#REF!</v>
      </c>
      <c r="AP36" s="312">
        <f t="shared" si="8"/>
        <v>2524.221</v>
      </c>
      <c r="AQ36" s="312" t="e">
        <f t="shared" si="8"/>
        <v>#REF!</v>
      </c>
      <c r="AR36" s="312" t="e">
        <f t="shared" si="8"/>
        <v>#REF!</v>
      </c>
      <c r="AS36" s="312" t="e">
        <f t="shared" si="8"/>
        <v>#REF!</v>
      </c>
      <c r="AT36" s="312" t="e">
        <f t="shared" si="8"/>
        <v>#REF!</v>
      </c>
      <c r="AU36" s="312">
        <f t="shared" si="8"/>
        <v>2620.2080000000001</v>
      </c>
      <c r="AV36" s="312" t="e">
        <f t="shared" si="8"/>
        <v>#REF!</v>
      </c>
      <c r="AW36" s="312" t="e">
        <f t="shared" si="8"/>
        <v>#REF!</v>
      </c>
      <c r="AX36" s="312" t="e">
        <f t="shared" si="8"/>
        <v>#REF!</v>
      </c>
      <c r="AY36" s="312" t="e">
        <f t="shared" si="8"/>
        <v>#REF!</v>
      </c>
      <c r="AZ36" s="312">
        <f t="shared" si="8"/>
        <v>2660.9619000000002</v>
      </c>
      <c r="BA36" s="312" t="e">
        <f t="shared" si="8"/>
        <v>#REF!</v>
      </c>
      <c r="BB36" s="312" t="e">
        <f t="shared" si="8"/>
        <v>#REF!</v>
      </c>
      <c r="BC36" s="312" t="e">
        <f t="shared" si="8"/>
        <v>#REF!</v>
      </c>
      <c r="BD36" s="312" t="e">
        <f t="shared" si="8"/>
        <v>#REF!</v>
      </c>
      <c r="BE36" s="312">
        <f t="shared" si="8"/>
        <v>2703.7534950000004</v>
      </c>
      <c r="BF36" s="312" t="e">
        <f t="shared" si="8"/>
        <v>#REF!</v>
      </c>
      <c r="BG36" s="312" t="e">
        <f t="shared" si="8"/>
        <v>#REF!</v>
      </c>
      <c r="BH36" s="312" t="e">
        <f t="shared" si="8"/>
        <v>#REF!</v>
      </c>
      <c r="BI36" s="312" t="e">
        <f t="shared" si="8"/>
        <v>#REF!</v>
      </c>
      <c r="BJ36" s="312">
        <f t="shared" si="8"/>
        <v>2748.6846697500005</v>
      </c>
      <c r="BK36" s="1022"/>
      <c r="BL36" s="1022"/>
      <c r="BM36" s="1022"/>
      <c r="BN36" s="1022"/>
      <c r="BO36" s="312">
        <f t="shared" ref="BO36:DH36" si="9">BO28+BO35</f>
        <v>2795.8624032375005</v>
      </c>
      <c r="BP36" s="1022">
        <f t="shared" si="9"/>
        <v>0</v>
      </c>
      <c r="BQ36" s="1022">
        <f t="shared" si="9"/>
        <v>0</v>
      </c>
      <c r="BR36" s="1022">
        <f t="shared" si="9"/>
        <v>0</v>
      </c>
      <c r="BS36" s="1022">
        <f t="shared" si="9"/>
        <v>0</v>
      </c>
      <c r="BT36" s="312">
        <f t="shared" si="9"/>
        <v>2845.3990233993754</v>
      </c>
      <c r="BU36" s="1022">
        <f t="shared" si="9"/>
        <v>0</v>
      </c>
      <c r="BV36" s="1022">
        <f t="shared" si="9"/>
        <v>0</v>
      </c>
      <c r="BW36" s="1022">
        <f t="shared" si="9"/>
        <v>0</v>
      </c>
      <c r="BX36" s="1022">
        <f t="shared" si="9"/>
        <v>0</v>
      </c>
      <c r="BY36" s="312">
        <f t="shared" si="9"/>
        <v>2897.4124745693443</v>
      </c>
      <c r="BZ36" s="1022">
        <f t="shared" si="9"/>
        <v>0</v>
      </c>
      <c r="CA36" s="1022">
        <f t="shared" si="9"/>
        <v>0</v>
      </c>
      <c r="CB36" s="1022">
        <f t="shared" si="9"/>
        <v>0</v>
      </c>
      <c r="CC36" s="1022">
        <f t="shared" si="9"/>
        <v>0</v>
      </c>
      <c r="CD36" s="312">
        <f t="shared" si="9"/>
        <v>2952.0265982978117</v>
      </c>
      <c r="CE36" s="1022">
        <f t="shared" si="9"/>
        <v>0</v>
      </c>
      <c r="CF36" s="1022">
        <f t="shared" si="9"/>
        <v>0</v>
      </c>
      <c r="CG36" s="1022">
        <f t="shared" si="9"/>
        <v>0</v>
      </c>
      <c r="CH36" s="1022">
        <f t="shared" si="9"/>
        <v>0</v>
      </c>
      <c r="CI36" s="312">
        <f t="shared" si="9"/>
        <v>3009.3714282127025</v>
      </c>
      <c r="CJ36" s="1022">
        <f t="shared" si="9"/>
        <v>0</v>
      </c>
      <c r="CK36" s="1022">
        <f t="shared" si="9"/>
        <v>0</v>
      </c>
      <c r="CL36" s="1022">
        <f t="shared" si="9"/>
        <v>0</v>
      </c>
      <c r="CM36" s="1022">
        <f t="shared" si="9"/>
        <v>0</v>
      </c>
      <c r="CN36" s="312">
        <f t="shared" si="9"/>
        <v>3069.583499623338</v>
      </c>
      <c r="CO36" s="1022">
        <f t="shared" si="9"/>
        <v>0</v>
      </c>
      <c r="CP36" s="1022">
        <f t="shared" si="9"/>
        <v>0</v>
      </c>
      <c r="CQ36" s="1022">
        <f t="shared" si="9"/>
        <v>0</v>
      </c>
      <c r="CR36" s="1022">
        <f t="shared" si="9"/>
        <v>0</v>
      </c>
      <c r="CS36" s="312">
        <f t="shared" si="9"/>
        <v>3132.8061746045046</v>
      </c>
      <c r="CT36" s="1022">
        <f t="shared" si="9"/>
        <v>0</v>
      </c>
      <c r="CU36" s="1022">
        <f t="shared" si="9"/>
        <v>0</v>
      </c>
      <c r="CV36" s="1022">
        <f t="shared" si="9"/>
        <v>0</v>
      </c>
      <c r="CW36" s="1022">
        <f t="shared" si="9"/>
        <v>0</v>
      </c>
      <c r="CX36" s="312">
        <f t="shared" si="9"/>
        <v>3199.1899833347297</v>
      </c>
      <c r="CY36" s="1022">
        <f t="shared" si="9"/>
        <v>0</v>
      </c>
      <c r="CZ36" s="1022">
        <f t="shared" si="9"/>
        <v>0</v>
      </c>
      <c r="DA36" s="1022">
        <f t="shared" si="9"/>
        <v>0</v>
      </c>
      <c r="DB36" s="1022">
        <f t="shared" si="9"/>
        <v>0</v>
      </c>
      <c r="DC36" s="312">
        <f t="shared" si="9"/>
        <v>3268.8929825014666</v>
      </c>
      <c r="DD36" s="1022">
        <f t="shared" si="9"/>
        <v>0</v>
      </c>
      <c r="DE36" s="1022">
        <f t="shared" si="9"/>
        <v>0</v>
      </c>
      <c r="DF36" s="1022">
        <f t="shared" si="9"/>
        <v>0</v>
      </c>
      <c r="DG36" s="1022">
        <f t="shared" si="9"/>
        <v>0</v>
      </c>
      <c r="DH36" s="312">
        <f t="shared" si="9"/>
        <v>3342.0811316265399</v>
      </c>
      <c r="DI36" s="143"/>
    </row>
    <row r="37" spans="1:119" ht="6.75" customHeight="1">
      <c r="C37" s="283"/>
      <c r="D37" s="143"/>
      <c r="E37" s="143"/>
      <c r="F37" s="143"/>
      <c r="G37" s="154"/>
      <c r="H37" s="154"/>
      <c r="I37" s="154"/>
      <c r="J37" s="154"/>
      <c r="K37" s="154"/>
      <c r="L37" s="154"/>
      <c r="M37" s="154"/>
      <c r="N37" s="154"/>
      <c r="O37" s="154"/>
      <c r="P37" s="154"/>
      <c r="Q37" s="154"/>
      <c r="R37" s="154"/>
      <c r="S37" s="154"/>
      <c r="T37" s="154"/>
      <c r="U37" s="154"/>
      <c r="V37" s="154"/>
      <c r="W37" s="154"/>
      <c r="X37" s="154"/>
      <c r="Y37" s="154"/>
      <c r="Z37" s="154"/>
      <c r="AA37" s="154"/>
      <c r="AB37" s="154"/>
      <c r="AC37" s="154"/>
      <c r="AD37" s="154"/>
      <c r="AE37" s="154"/>
      <c r="AF37" s="154"/>
      <c r="AG37" s="154"/>
      <c r="AH37" s="154"/>
      <c r="AI37" s="154"/>
      <c r="AJ37" s="154"/>
      <c r="AK37" s="154"/>
      <c r="AL37" s="154"/>
      <c r="AM37" s="154"/>
      <c r="AN37" s="154"/>
      <c r="AO37" s="154"/>
      <c r="AP37" s="154"/>
      <c r="AQ37" s="154"/>
      <c r="AR37" s="154"/>
      <c r="AS37" s="154"/>
      <c r="AT37" s="154"/>
      <c r="AU37" s="154"/>
      <c r="AV37" s="154"/>
      <c r="AW37" s="154"/>
      <c r="AX37" s="154"/>
      <c r="AY37" s="154"/>
      <c r="AZ37" s="154"/>
      <c r="BA37" s="154"/>
      <c r="BB37" s="154"/>
      <c r="BC37" s="154"/>
      <c r="BD37" s="154"/>
      <c r="BE37" s="154"/>
      <c r="BF37" s="154"/>
      <c r="BG37" s="154"/>
      <c r="BH37" s="154"/>
      <c r="BI37" s="154"/>
      <c r="BJ37" s="154"/>
      <c r="BK37" s="154"/>
      <c r="BL37" s="154"/>
      <c r="BM37" s="154"/>
      <c r="BN37" s="154"/>
      <c r="BO37" s="154"/>
      <c r="BP37" s="154"/>
      <c r="BQ37" s="154"/>
      <c r="BR37" s="154"/>
      <c r="BS37" s="154"/>
      <c r="BT37" s="154"/>
      <c r="BU37" s="154"/>
      <c r="BV37" s="154"/>
      <c r="BW37" s="154"/>
      <c r="BX37" s="154"/>
      <c r="BY37" s="154"/>
      <c r="BZ37" s="154"/>
      <c r="CA37" s="154"/>
      <c r="CB37" s="154"/>
      <c r="CC37" s="154"/>
      <c r="CD37" s="154"/>
      <c r="CE37" s="154"/>
      <c r="CF37" s="154"/>
      <c r="CG37" s="154"/>
      <c r="CH37" s="154"/>
      <c r="CI37" s="154"/>
      <c r="CJ37" s="154"/>
      <c r="CK37" s="154"/>
      <c r="CL37" s="154"/>
      <c r="CM37" s="154"/>
      <c r="CN37" s="154"/>
      <c r="CO37" s="154"/>
      <c r="CP37" s="154"/>
      <c r="CQ37" s="154"/>
      <c r="CR37" s="154"/>
      <c r="CS37" s="154"/>
      <c r="CT37" s="154"/>
      <c r="CU37" s="154"/>
      <c r="CV37" s="154"/>
      <c r="CW37" s="154"/>
      <c r="CX37" s="154"/>
      <c r="CY37" s="154"/>
      <c r="CZ37" s="154"/>
      <c r="DA37" s="154"/>
      <c r="DB37" s="154"/>
      <c r="DC37" s="154"/>
      <c r="DD37" s="154"/>
      <c r="DE37" s="154"/>
      <c r="DF37" s="154"/>
      <c r="DG37" s="154"/>
      <c r="DH37" s="154"/>
      <c r="DI37" s="143"/>
    </row>
    <row r="38" spans="1:119" ht="15.75" customHeight="1">
      <c r="B38" s="125" t="s">
        <v>35</v>
      </c>
      <c r="C38" s="283"/>
      <c r="D38" s="143"/>
      <c r="E38" s="143"/>
      <c r="F38" s="143"/>
      <c r="G38" s="407">
        <v>0</v>
      </c>
      <c r="H38" s="407"/>
      <c r="I38" s="407"/>
      <c r="J38" s="407"/>
      <c r="K38" s="407"/>
      <c r="L38" s="407">
        <v>0</v>
      </c>
      <c r="M38" s="407"/>
      <c r="N38" s="407"/>
      <c r="O38" s="407"/>
      <c r="P38" s="407"/>
      <c r="Q38" s="407">
        <v>0</v>
      </c>
      <c r="R38" s="407"/>
      <c r="S38" s="407"/>
      <c r="T38" s="407"/>
      <c r="U38" s="407"/>
      <c r="V38" s="407">
        <v>0</v>
      </c>
      <c r="W38" s="154"/>
      <c r="X38" s="154"/>
      <c r="Y38" s="154"/>
      <c r="Z38" s="154"/>
      <c r="AA38" s="407">
        <v>0</v>
      </c>
      <c r="AB38" s="154"/>
      <c r="AC38" s="154"/>
      <c r="AD38" s="154"/>
      <c r="AE38" s="154"/>
      <c r="AF38" s="407">
        <v>0</v>
      </c>
      <c r="AG38" s="154"/>
      <c r="AH38" s="154"/>
      <c r="AI38" s="154"/>
      <c r="AJ38" s="154"/>
      <c r="AK38" s="407">
        <v>0</v>
      </c>
      <c r="AL38" s="154"/>
      <c r="AM38" s="154"/>
      <c r="AN38" s="154"/>
      <c r="AO38" s="154"/>
      <c r="AP38" s="407">
        <v>0</v>
      </c>
      <c r="AQ38" s="154"/>
      <c r="AR38" s="154"/>
      <c r="AS38" s="154"/>
      <c r="AT38" s="154"/>
      <c r="AU38" s="407">
        <v>0</v>
      </c>
      <c r="AV38" s="154"/>
      <c r="AW38" s="154"/>
      <c r="AX38" s="154"/>
      <c r="AY38" s="154"/>
      <c r="AZ38" s="304">
        <f>AU38</f>
        <v>0</v>
      </c>
      <c r="BA38" s="154"/>
      <c r="BB38" s="154"/>
      <c r="BC38" s="154"/>
      <c r="BD38" s="154"/>
      <c r="BE38" s="304">
        <f>AZ38</f>
        <v>0</v>
      </c>
      <c r="BF38" s="154"/>
      <c r="BG38" s="154"/>
      <c r="BH38" s="154"/>
      <c r="BI38" s="154"/>
      <c r="BJ38" s="304">
        <f>BE38</f>
        <v>0</v>
      </c>
      <c r="BK38" s="304"/>
      <c r="BL38" s="304"/>
      <c r="BM38" s="304"/>
      <c r="BN38" s="304"/>
      <c r="BO38" s="304">
        <f>BJ38</f>
        <v>0</v>
      </c>
      <c r="BP38" s="304"/>
      <c r="BQ38" s="304"/>
      <c r="BR38" s="304"/>
      <c r="BS38" s="304"/>
      <c r="BT38" s="304">
        <f>BO38</f>
        <v>0</v>
      </c>
      <c r="BU38" s="304"/>
      <c r="BV38" s="304"/>
      <c r="BW38" s="304"/>
      <c r="BX38" s="304"/>
      <c r="BY38" s="304">
        <f>BT38</f>
        <v>0</v>
      </c>
      <c r="BZ38" s="304"/>
      <c r="CA38" s="304"/>
      <c r="CB38" s="304"/>
      <c r="CC38" s="304"/>
      <c r="CD38" s="304">
        <f>BY38</f>
        <v>0</v>
      </c>
      <c r="CE38" s="304"/>
      <c r="CF38" s="304"/>
      <c r="CG38" s="304"/>
      <c r="CH38" s="304"/>
      <c r="CI38" s="304">
        <f>CD38</f>
        <v>0</v>
      </c>
      <c r="CJ38" s="304"/>
      <c r="CK38" s="304"/>
      <c r="CL38" s="304"/>
      <c r="CM38" s="304"/>
      <c r="CN38" s="304">
        <f>CI38</f>
        <v>0</v>
      </c>
      <c r="CO38" s="304"/>
      <c r="CP38" s="304"/>
      <c r="CQ38" s="304"/>
      <c r="CR38" s="304"/>
      <c r="CS38" s="304">
        <f>CN38</f>
        <v>0</v>
      </c>
      <c r="CT38" s="304"/>
      <c r="CU38" s="304"/>
      <c r="CV38" s="304"/>
      <c r="CW38" s="304"/>
      <c r="CX38" s="304">
        <f>CS38</f>
        <v>0</v>
      </c>
      <c r="CY38" s="304"/>
      <c r="CZ38" s="304"/>
      <c r="DA38" s="304"/>
      <c r="DB38" s="304"/>
      <c r="DC38" s="304">
        <f>CX38</f>
        <v>0</v>
      </c>
      <c r="DD38" s="304"/>
      <c r="DE38" s="304"/>
      <c r="DF38" s="304"/>
      <c r="DG38" s="304"/>
      <c r="DH38" s="304">
        <f>DC38</f>
        <v>0</v>
      </c>
      <c r="DI38" s="143"/>
    </row>
    <row r="39" spans="1:119" ht="15.75" customHeight="1">
      <c r="B39" s="176" t="s">
        <v>243</v>
      </c>
      <c r="C39" s="283"/>
      <c r="D39" s="143"/>
      <c r="E39" s="143"/>
      <c r="F39" s="143"/>
      <c r="G39" s="407">
        <v>2E-3</v>
      </c>
      <c r="H39" s="407"/>
      <c r="I39" s="407"/>
      <c r="J39" s="407"/>
      <c r="K39" s="407"/>
      <c r="L39" s="407">
        <v>2E-3</v>
      </c>
      <c r="M39" s="407"/>
      <c r="N39" s="407"/>
      <c r="O39" s="407"/>
      <c r="P39" s="407"/>
      <c r="Q39" s="407">
        <v>2E-3</v>
      </c>
      <c r="R39" s="407"/>
      <c r="S39" s="407"/>
      <c r="T39" s="407"/>
      <c r="U39" s="407"/>
      <c r="V39" s="407">
        <v>2E-3</v>
      </c>
      <c r="W39" s="154"/>
      <c r="X39" s="154"/>
      <c r="Y39" s="154"/>
      <c r="Z39" s="154"/>
      <c r="AA39" s="407">
        <v>2E-3</v>
      </c>
      <c r="AB39" s="154"/>
      <c r="AC39" s="154"/>
      <c r="AD39" s="154"/>
      <c r="AE39" s="154"/>
      <c r="AF39" s="407">
        <v>2E-3</v>
      </c>
      <c r="AG39" s="154"/>
      <c r="AH39" s="154"/>
      <c r="AI39" s="154"/>
      <c r="AJ39" s="154"/>
      <c r="AK39" s="407">
        <v>2E-3</v>
      </c>
      <c r="AL39" s="154"/>
      <c r="AM39" s="154"/>
      <c r="AN39" s="154"/>
      <c r="AO39" s="154"/>
      <c r="AP39" s="407">
        <v>2E-3</v>
      </c>
      <c r="AQ39" s="154"/>
      <c r="AR39" s="154"/>
      <c r="AS39" s="154"/>
      <c r="AT39" s="154"/>
      <c r="AU39" s="407">
        <v>2E-3</v>
      </c>
      <c r="AV39" s="154"/>
      <c r="AW39" s="154"/>
      <c r="AX39" s="154"/>
      <c r="AY39" s="154"/>
      <c r="AZ39" s="304">
        <f>AU39</f>
        <v>2E-3</v>
      </c>
      <c r="BA39" s="154"/>
      <c r="BB39" s="154"/>
      <c r="BC39" s="154"/>
      <c r="BD39" s="154"/>
      <c r="BE39" s="304">
        <f>AZ39</f>
        <v>2E-3</v>
      </c>
      <c r="BF39" s="154"/>
      <c r="BG39" s="154"/>
      <c r="BH39" s="154"/>
      <c r="BI39" s="154"/>
      <c r="BJ39" s="304">
        <f>BE39</f>
        <v>2E-3</v>
      </c>
      <c r="BK39" s="304"/>
      <c r="BL39" s="304"/>
      <c r="BM39" s="304"/>
      <c r="BN39" s="304"/>
      <c r="BO39" s="304">
        <f>BJ39</f>
        <v>2E-3</v>
      </c>
      <c r="BP39" s="304"/>
      <c r="BQ39" s="304"/>
      <c r="BR39" s="304"/>
      <c r="BS39" s="304"/>
      <c r="BT39" s="304">
        <f>BO39</f>
        <v>2E-3</v>
      </c>
      <c r="BU39" s="304"/>
      <c r="BV39" s="304"/>
      <c r="BW39" s="304"/>
      <c r="BX39" s="304"/>
      <c r="BY39" s="304">
        <f>BT39</f>
        <v>2E-3</v>
      </c>
      <c r="BZ39" s="304"/>
      <c r="CA39" s="304"/>
      <c r="CB39" s="304"/>
      <c r="CC39" s="304"/>
      <c r="CD39" s="304">
        <f>BY39</f>
        <v>2E-3</v>
      </c>
      <c r="CE39" s="304"/>
      <c r="CF39" s="304"/>
      <c r="CG39" s="304"/>
      <c r="CH39" s="304"/>
      <c r="CI39" s="304">
        <f>CD39</f>
        <v>2E-3</v>
      </c>
      <c r="CJ39" s="304"/>
      <c r="CK39" s="304"/>
      <c r="CL39" s="304"/>
      <c r="CM39" s="304"/>
      <c r="CN39" s="304">
        <f>CI39</f>
        <v>2E-3</v>
      </c>
      <c r="CO39" s="304"/>
      <c r="CP39" s="304"/>
      <c r="CQ39" s="304"/>
      <c r="CR39" s="304"/>
      <c r="CS39" s="304">
        <f>CN39</f>
        <v>2E-3</v>
      </c>
      <c r="CT39" s="304"/>
      <c r="CU39" s="304"/>
      <c r="CV39" s="304"/>
      <c r="CW39" s="304"/>
      <c r="CX39" s="304">
        <f>CS39</f>
        <v>2E-3</v>
      </c>
      <c r="CY39" s="304"/>
      <c r="CZ39" s="304"/>
      <c r="DA39" s="304"/>
      <c r="DB39" s="304"/>
      <c r="DC39" s="304">
        <f>CX39</f>
        <v>2E-3</v>
      </c>
      <c r="DD39" s="304"/>
      <c r="DE39" s="304"/>
      <c r="DF39" s="304"/>
      <c r="DG39" s="304"/>
      <c r="DH39" s="304">
        <f>DC39</f>
        <v>2E-3</v>
      </c>
      <c r="DI39" s="143"/>
    </row>
    <row r="40" spans="1:119" ht="15.75" customHeight="1">
      <c r="B40" s="125" t="s">
        <v>36</v>
      </c>
      <c r="C40" s="283"/>
      <c r="D40" s="143"/>
      <c r="E40" s="143"/>
      <c r="F40" s="143"/>
      <c r="G40" s="407">
        <v>7.9000000000000001E-2</v>
      </c>
      <c r="H40" s="407"/>
      <c r="I40" s="407"/>
      <c r="J40" s="407"/>
      <c r="K40" s="407"/>
      <c r="L40" s="407">
        <v>8.6999999999999994E-2</v>
      </c>
      <c r="M40" s="407"/>
      <c r="N40" s="407"/>
      <c r="O40" s="407"/>
      <c r="P40" s="407"/>
      <c r="Q40" s="407">
        <v>9.0999999999999998E-2</v>
      </c>
      <c r="R40" s="407"/>
      <c r="S40" s="407"/>
      <c r="T40" s="407"/>
      <c r="U40" s="407"/>
      <c r="V40" s="407">
        <v>9.5000000000000001E-2</v>
      </c>
      <c r="W40" s="154"/>
      <c r="X40" s="154"/>
      <c r="Y40" s="154"/>
      <c r="Z40" s="154"/>
      <c r="AA40" s="407">
        <v>9.7000000000000003E-2</v>
      </c>
      <c r="AB40" s="154"/>
      <c r="AC40" s="154"/>
      <c r="AD40" s="154"/>
      <c r="AE40" s="154"/>
      <c r="AF40" s="407">
        <v>0.10199999999999999</v>
      </c>
      <c r="AG40" s="154"/>
      <c r="AH40" s="154"/>
      <c r="AI40" s="154"/>
      <c r="AJ40" s="154"/>
      <c r="AK40" s="407">
        <v>0.106</v>
      </c>
      <c r="AL40" s="154"/>
      <c r="AM40" s="154"/>
      <c r="AN40" s="154"/>
      <c r="AO40" s="154"/>
      <c r="AP40" s="407">
        <v>0.108</v>
      </c>
      <c r="AQ40" s="154"/>
      <c r="AR40" s="154"/>
      <c r="AS40" s="154"/>
      <c r="AT40" s="154"/>
      <c r="AU40" s="407">
        <v>0.11</v>
      </c>
      <c r="AV40" s="154"/>
      <c r="AW40" s="154"/>
      <c r="AX40" s="154"/>
      <c r="AY40" s="154"/>
      <c r="AZ40" s="304">
        <f>AU40</f>
        <v>0.11</v>
      </c>
      <c r="BA40" s="154"/>
      <c r="BB40" s="154"/>
      <c r="BC40" s="154"/>
      <c r="BD40" s="154"/>
      <c r="BE40" s="304">
        <f>AZ40</f>
        <v>0.11</v>
      </c>
      <c r="BF40" s="154"/>
      <c r="BG40" s="154"/>
      <c r="BH40" s="154"/>
      <c r="BI40" s="154"/>
      <c r="BJ40" s="304">
        <f>BE40</f>
        <v>0.11</v>
      </c>
      <c r="BK40" s="304"/>
      <c r="BL40" s="304"/>
      <c r="BM40" s="304"/>
      <c r="BN40" s="304"/>
      <c r="BO40" s="304">
        <f>BJ40</f>
        <v>0.11</v>
      </c>
      <c r="BP40" s="304"/>
      <c r="BQ40" s="304"/>
      <c r="BR40" s="304"/>
      <c r="BS40" s="304"/>
      <c r="BT40" s="304">
        <f>BO40</f>
        <v>0.11</v>
      </c>
      <c r="BU40" s="304"/>
      <c r="BV40" s="304"/>
      <c r="BW40" s="304"/>
      <c r="BX40" s="304"/>
      <c r="BY40" s="304">
        <f>BT40</f>
        <v>0.11</v>
      </c>
      <c r="BZ40" s="304"/>
      <c r="CA40" s="304"/>
      <c r="CB40" s="304"/>
      <c r="CC40" s="304"/>
      <c r="CD40" s="304">
        <f>BY40</f>
        <v>0.11</v>
      </c>
      <c r="CE40" s="304"/>
      <c r="CF40" s="304"/>
      <c r="CG40" s="304"/>
      <c r="CH40" s="304"/>
      <c r="CI40" s="304">
        <f>CD40</f>
        <v>0.11</v>
      </c>
      <c r="CJ40" s="304"/>
      <c r="CK40" s="304"/>
      <c r="CL40" s="304"/>
      <c r="CM40" s="304"/>
      <c r="CN40" s="304">
        <f>CI40</f>
        <v>0.11</v>
      </c>
      <c r="CO40" s="304"/>
      <c r="CP40" s="304"/>
      <c r="CQ40" s="304"/>
      <c r="CR40" s="304"/>
      <c r="CS40" s="304">
        <f>CN40</f>
        <v>0.11</v>
      </c>
      <c r="CT40" s="304"/>
      <c r="CU40" s="304"/>
      <c r="CV40" s="304"/>
      <c r="CW40" s="304"/>
      <c r="CX40" s="304">
        <f>CS40</f>
        <v>0.11</v>
      </c>
      <c r="CY40" s="304"/>
      <c r="CZ40" s="304"/>
      <c r="DA40" s="304"/>
      <c r="DB40" s="304"/>
      <c r="DC40" s="304">
        <f>CX40</f>
        <v>0.11</v>
      </c>
      <c r="DD40" s="304"/>
      <c r="DE40" s="304"/>
      <c r="DF40" s="304"/>
      <c r="DG40" s="304"/>
      <c r="DH40" s="304">
        <f>DC40</f>
        <v>0.11</v>
      </c>
      <c r="DI40" s="143"/>
    </row>
    <row r="41" spans="1:119" ht="15.75" customHeight="1">
      <c r="B41" s="125" t="s">
        <v>37</v>
      </c>
      <c r="C41" s="283"/>
      <c r="D41" s="143"/>
      <c r="E41" s="143"/>
      <c r="F41" s="143"/>
      <c r="G41" s="407">
        <v>1336.732</v>
      </c>
      <c r="H41" s="407"/>
      <c r="I41" s="407"/>
      <c r="J41" s="407"/>
      <c r="K41" s="407"/>
      <c r="L41" s="407">
        <v>1575.78</v>
      </c>
      <c r="M41" s="407"/>
      <c r="N41" s="407"/>
      <c r="O41" s="407"/>
      <c r="P41" s="407"/>
      <c r="Q41" s="407">
        <v>1754.8240000000001</v>
      </c>
      <c r="R41" s="407"/>
      <c r="S41" s="407"/>
      <c r="T41" s="407"/>
      <c r="U41" s="407"/>
      <c r="V41" s="407">
        <v>1763.508</v>
      </c>
      <c r="W41" s="154"/>
      <c r="X41" s="154"/>
      <c r="Y41" s="154"/>
      <c r="Z41" s="154"/>
      <c r="AA41" s="407">
        <v>2045.857</v>
      </c>
      <c r="AB41" s="154"/>
      <c r="AC41" s="154"/>
      <c r="AD41" s="154"/>
      <c r="AE41" s="154"/>
      <c r="AF41" s="407">
        <v>2404.1179999999999</v>
      </c>
      <c r="AG41" s="154"/>
      <c r="AH41" s="154"/>
      <c r="AI41" s="154"/>
      <c r="AJ41" s="154"/>
      <c r="AK41" s="407">
        <v>3099.5259999999998</v>
      </c>
      <c r="AL41" s="154"/>
      <c r="AM41" s="154"/>
      <c r="AN41" s="154"/>
      <c r="AO41" s="154"/>
      <c r="AP41" s="407">
        <v>3029.9929999999999</v>
      </c>
      <c r="AQ41" s="154"/>
      <c r="AR41" s="154"/>
      <c r="AS41" s="154"/>
      <c r="AT41" s="154"/>
      <c r="AU41" s="407">
        <v>3512.8330000000001</v>
      </c>
      <c r="AV41" s="154"/>
      <c r="AW41" s="154"/>
      <c r="AX41" s="154"/>
      <c r="AY41" s="154"/>
      <c r="AZ41" s="304">
        <f>AU41+CF!AZ7+CF!AZ33</f>
        <v>4032.791925</v>
      </c>
      <c r="BA41" s="154"/>
      <c r="BB41" s="154"/>
      <c r="BC41" s="154"/>
      <c r="BD41" s="154"/>
      <c r="BE41" s="304">
        <f>AZ41+CF!BE7+CF!BE33</f>
        <v>4565.7498231250001</v>
      </c>
      <c r="BF41" s="154"/>
      <c r="BG41" s="154"/>
      <c r="BH41" s="154"/>
      <c r="BI41" s="154"/>
      <c r="BJ41" s="304">
        <f>BE41+CF!BJ7+CF!BJ33</f>
        <v>5112.0316687031254</v>
      </c>
      <c r="BK41" s="304"/>
      <c r="BL41" s="304"/>
      <c r="BM41" s="304"/>
      <c r="BN41" s="304"/>
      <c r="BO41" s="304">
        <f>BJ41+CF!BO7+CF!BO33</f>
        <v>5671.9705604207038</v>
      </c>
      <c r="BP41" s="304"/>
      <c r="BQ41" s="304"/>
      <c r="BR41" s="304"/>
      <c r="BS41" s="304"/>
      <c r="BT41" s="304">
        <f>BO41+CF!BT7+CF!BT33</f>
        <v>6245.9079244312215</v>
      </c>
      <c r="BU41" s="304"/>
      <c r="BV41" s="304"/>
      <c r="BW41" s="304"/>
      <c r="BX41" s="304"/>
      <c r="BY41" s="304">
        <f>BT41+CF!BY7+CF!BY33</f>
        <v>6834.1937225420015</v>
      </c>
      <c r="BZ41" s="304"/>
      <c r="CA41" s="304"/>
      <c r="CB41" s="304"/>
      <c r="CC41" s="304"/>
      <c r="CD41" s="304">
        <f>BY41+CF!CD7+CF!CD33</f>
        <v>7437.1866656055508</v>
      </c>
      <c r="CE41" s="304"/>
      <c r="CF41" s="304"/>
      <c r="CG41" s="304"/>
      <c r="CH41" s="304"/>
      <c r="CI41" s="304">
        <f>CD41+CF!CI7+CF!CI33</f>
        <v>8055.2544322456888</v>
      </c>
      <c r="CJ41" s="304"/>
      <c r="CK41" s="304"/>
      <c r="CL41" s="304"/>
      <c r="CM41" s="304"/>
      <c r="CN41" s="304">
        <f>CI41+CF!CN7+CF!CN33</f>
        <v>8682.922232903873</v>
      </c>
      <c r="CO41" s="304"/>
      <c r="CP41" s="304"/>
      <c r="CQ41" s="304"/>
      <c r="CR41" s="304"/>
      <c r="CS41" s="304">
        <f>CN41+CF!CS7+CF!CS33</f>
        <v>9320.3422935283343</v>
      </c>
      <c r="CT41" s="304"/>
      <c r="CU41" s="304"/>
      <c r="CV41" s="304"/>
      <c r="CW41" s="304"/>
      <c r="CX41" s="304">
        <f>CS41+CF!CX7+CF!CX33</f>
        <v>9967.6693290924777</v>
      </c>
      <c r="CY41" s="304"/>
      <c r="CZ41" s="304"/>
      <c r="DA41" s="304"/>
      <c r="DB41" s="304"/>
      <c r="DC41" s="304">
        <f>CX41+CF!DC7+CF!DC33</f>
        <v>10625.060586071155</v>
      </c>
      <c r="DD41" s="304"/>
      <c r="DE41" s="304"/>
      <c r="DF41" s="304"/>
      <c r="DG41" s="304"/>
      <c r="DH41" s="304">
        <f>DC41+CF!DH7+CF!DH33</f>
        <v>11292.675885682613</v>
      </c>
      <c r="DI41" s="143"/>
    </row>
    <row r="42" spans="1:119" ht="15.75" customHeight="1">
      <c r="B42" s="176" t="s">
        <v>244</v>
      </c>
      <c r="C42" s="283"/>
      <c r="D42" s="143"/>
      <c r="E42" s="143"/>
      <c r="F42" s="143"/>
      <c r="G42" s="407">
        <v>-941.09500000000003</v>
      </c>
      <c r="H42" s="407"/>
      <c r="I42" s="407"/>
      <c r="J42" s="407"/>
      <c r="K42" s="407"/>
      <c r="L42" s="407">
        <v>-1045.5630000000001</v>
      </c>
      <c r="M42" s="407"/>
      <c r="N42" s="407"/>
      <c r="O42" s="407"/>
      <c r="P42" s="407"/>
      <c r="Q42" s="407">
        <v>-1267.3230000000001</v>
      </c>
      <c r="R42" s="407"/>
      <c r="S42" s="407"/>
      <c r="T42" s="407"/>
      <c r="U42" s="407"/>
      <c r="V42" s="407">
        <v>-517.05399999999997</v>
      </c>
      <c r="W42" s="154"/>
      <c r="X42" s="154"/>
      <c r="Y42" s="154"/>
      <c r="Z42" s="154"/>
      <c r="AA42" s="407">
        <v>-92.691999999999993</v>
      </c>
      <c r="AB42" s="154"/>
      <c r="AC42" s="154"/>
      <c r="AD42" s="154"/>
      <c r="AE42" s="154"/>
      <c r="AF42" s="407">
        <v>255.38200000000001</v>
      </c>
      <c r="AG42" s="154"/>
      <c r="AH42" s="154"/>
      <c r="AI42" s="154"/>
      <c r="AJ42" s="154"/>
      <c r="AK42" s="407">
        <v>852.7</v>
      </c>
      <c r="AL42" s="154"/>
      <c r="AM42" s="154"/>
      <c r="AN42" s="154"/>
      <c r="AO42" s="154"/>
      <c r="AP42" s="407">
        <v>1748.222</v>
      </c>
      <c r="AQ42" s="154"/>
      <c r="AR42" s="154"/>
      <c r="AS42" s="154"/>
      <c r="AT42" s="154"/>
      <c r="AU42" s="407">
        <v>2946.7330000000002</v>
      </c>
      <c r="AV42" s="154"/>
      <c r="AW42" s="154"/>
      <c r="AX42" s="154"/>
      <c r="AY42" s="154"/>
      <c r="AZ42" s="304">
        <f>AU42+IS!AZ39-CF!AZ7</f>
        <v>4460.6592911927028</v>
      </c>
      <c r="BA42" s="154"/>
      <c r="BB42" s="154"/>
      <c r="BC42" s="154"/>
      <c r="BD42" s="154"/>
      <c r="BE42" s="304">
        <f>AZ42+IS!BE39-CF!BE7</f>
        <v>6232.3104670888224</v>
      </c>
      <c r="BF42" s="154"/>
      <c r="BG42" s="154"/>
      <c r="BH42" s="154"/>
      <c r="BI42" s="154"/>
      <c r="BJ42" s="304">
        <f>BE42+IS!BJ39-CF!BJ7</f>
        <v>8469.1473960287713</v>
      </c>
      <c r="BK42" s="304"/>
      <c r="BL42" s="304"/>
      <c r="BM42" s="304"/>
      <c r="BN42" s="304"/>
      <c r="BO42" s="304">
        <f>BJ42+IS!BO39-CF!BO7</f>
        <v>11145.549278877392</v>
      </c>
      <c r="BP42" s="304"/>
      <c r="BQ42" s="304"/>
      <c r="BR42" s="304"/>
      <c r="BS42" s="304"/>
      <c r="BT42" s="304">
        <f>BO42+IS!BT39-CF!BT7</f>
        <v>14330.539031633496</v>
      </c>
      <c r="BU42" s="304"/>
      <c r="BV42" s="304"/>
      <c r="BW42" s="304"/>
      <c r="BX42" s="304"/>
      <c r="BY42" s="304">
        <f>BT42+IS!BY39-CF!BY7</f>
        <v>17918.519803661464</v>
      </c>
      <c r="BZ42" s="304"/>
      <c r="CA42" s="304"/>
      <c r="CB42" s="304"/>
      <c r="CC42" s="304"/>
      <c r="CD42" s="304">
        <f>BY42+IS!CD39-CF!CD7</f>
        <v>21928.40632309172</v>
      </c>
      <c r="CE42" s="304"/>
      <c r="CF42" s="304"/>
      <c r="CG42" s="304"/>
      <c r="CH42" s="304"/>
      <c r="CI42" s="304">
        <f>CD42+IS!CI39-CF!CI7</f>
        <v>26321.669902946913</v>
      </c>
      <c r="CJ42" s="304"/>
      <c r="CK42" s="304"/>
      <c r="CL42" s="304"/>
      <c r="CM42" s="304"/>
      <c r="CN42" s="304">
        <f>CI42+IS!CN39-CF!CN7</f>
        <v>30773.297544622801</v>
      </c>
      <c r="CO42" s="304"/>
      <c r="CP42" s="304"/>
      <c r="CQ42" s="304"/>
      <c r="CR42" s="304"/>
      <c r="CS42" s="304">
        <f>CN42+IS!CS39-CF!CS7</f>
        <v>35111.539066549893</v>
      </c>
      <c r="CT42" s="304"/>
      <c r="CU42" s="304"/>
      <c r="CV42" s="304"/>
      <c r="CW42" s="304"/>
      <c r="CX42" s="304">
        <f>CS42+IS!CX39-CF!CX7</f>
        <v>39650.512281362004</v>
      </c>
      <c r="CY42" s="304"/>
      <c r="CZ42" s="304"/>
      <c r="DA42" s="304"/>
      <c r="DB42" s="304"/>
      <c r="DC42" s="304">
        <f>CX42+IS!DC39-CF!DC7</f>
        <v>43860.807990713853</v>
      </c>
      <c r="DD42" s="304"/>
      <c r="DE42" s="304"/>
      <c r="DF42" s="304"/>
      <c r="DG42" s="304"/>
      <c r="DH42" s="304">
        <f>DC42+IS!DH39-CF!DH7</f>
        <v>48306.822385160318</v>
      </c>
      <c r="DI42" s="143"/>
    </row>
    <row r="43" spans="1:119" ht="15.75" customHeight="1">
      <c r="B43" s="125" t="s">
        <v>90</v>
      </c>
      <c r="C43" s="283"/>
      <c r="D43" s="143"/>
      <c r="E43" s="143"/>
      <c r="F43" s="143"/>
      <c r="G43" s="407">
        <v>1.044</v>
      </c>
      <c r="H43" s="407"/>
      <c r="I43" s="407"/>
      <c r="J43" s="407"/>
      <c r="K43" s="407"/>
      <c r="L43" s="407">
        <v>-2.4910000000000001</v>
      </c>
      <c r="M43" s="407"/>
      <c r="N43" s="407"/>
      <c r="O43" s="407"/>
      <c r="P43" s="407"/>
      <c r="Q43" s="407">
        <v>-1.8620000000000001</v>
      </c>
      <c r="R43" s="407"/>
      <c r="S43" s="407"/>
      <c r="T43" s="407"/>
      <c r="U43" s="407"/>
      <c r="V43" s="407">
        <v>-1.1659999999999999</v>
      </c>
      <c r="W43" s="154"/>
      <c r="X43" s="154"/>
      <c r="Y43" s="154"/>
      <c r="Z43" s="154"/>
      <c r="AA43" s="407">
        <v>-1.1879999999999999</v>
      </c>
      <c r="AB43" s="154"/>
      <c r="AC43" s="154"/>
      <c r="AD43" s="154"/>
      <c r="AE43" s="154"/>
      <c r="AF43" s="407">
        <v>52.250999999999998</v>
      </c>
      <c r="AG43" s="154"/>
      <c r="AH43" s="154"/>
      <c r="AI43" s="154"/>
      <c r="AJ43" s="154"/>
      <c r="AK43" s="407">
        <v>8.5719999999999992</v>
      </c>
      <c r="AL43" s="154"/>
      <c r="AM43" s="154"/>
      <c r="AN43" s="154"/>
      <c r="AO43" s="154"/>
      <c r="AP43" s="407">
        <v>-12.84</v>
      </c>
      <c r="AQ43" s="154"/>
      <c r="AR43" s="154"/>
      <c r="AS43" s="154"/>
      <c r="AT43" s="154"/>
      <c r="AU43" s="407">
        <v>0.64</v>
      </c>
      <c r="AV43" s="154"/>
      <c r="AW43" s="154"/>
      <c r="AX43" s="154"/>
      <c r="AY43" s="154"/>
      <c r="AZ43" s="304">
        <f>AU43</f>
        <v>0.64</v>
      </c>
      <c r="BA43" s="154"/>
      <c r="BB43" s="154"/>
      <c r="BC43" s="154"/>
      <c r="BD43" s="154"/>
      <c r="BE43" s="304">
        <f>AZ43</f>
        <v>0.64</v>
      </c>
      <c r="BF43" s="154"/>
      <c r="BG43" s="154"/>
      <c r="BH43" s="154"/>
      <c r="BI43" s="154"/>
      <c r="BJ43" s="304">
        <f>BE43</f>
        <v>0.64</v>
      </c>
      <c r="BK43" s="304"/>
      <c r="BL43" s="304"/>
      <c r="BM43" s="304"/>
      <c r="BN43" s="304"/>
      <c r="BO43" s="304">
        <f>BJ43</f>
        <v>0.64</v>
      </c>
      <c r="BP43" s="304"/>
      <c r="BQ43" s="304"/>
      <c r="BR43" s="304"/>
      <c r="BS43" s="304"/>
      <c r="BT43" s="304">
        <f>BO43</f>
        <v>0.64</v>
      </c>
      <c r="BU43" s="304"/>
      <c r="BV43" s="304"/>
      <c r="BW43" s="304"/>
      <c r="BX43" s="304"/>
      <c r="BY43" s="304">
        <f>BT43</f>
        <v>0.64</v>
      </c>
      <c r="BZ43" s="304"/>
      <c r="CA43" s="304"/>
      <c r="CB43" s="304"/>
      <c r="CC43" s="304"/>
      <c r="CD43" s="304">
        <f>BY43</f>
        <v>0.64</v>
      </c>
      <c r="CE43" s="304"/>
      <c r="CF43" s="304"/>
      <c r="CG43" s="304"/>
      <c r="CH43" s="304"/>
      <c r="CI43" s="304">
        <f>CD43</f>
        <v>0.64</v>
      </c>
      <c r="CJ43" s="304"/>
      <c r="CK43" s="304"/>
      <c r="CL43" s="304"/>
      <c r="CM43" s="304"/>
      <c r="CN43" s="304">
        <f>CI43</f>
        <v>0.64</v>
      </c>
      <c r="CO43" s="304"/>
      <c r="CP43" s="304"/>
      <c r="CQ43" s="304"/>
      <c r="CR43" s="304"/>
      <c r="CS43" s="304">
        <f>CN43</f>
        <v>0.64</v>
      </c>
      <c r="CT43" s="304"/>
      <c r="CU43" s="304"/>
      <c r="CV43" s="304"/>
      <c r="CW43" s="304"/>
      <c r="CX43" s="304">
        <f>CS43</f>
        <v>0.64</v>
      </c>
      <c r="CY43" s="304"/>
      <c r="CZ43" s="304"/>
      <c r="DA43" s="304"/>
      <c r="DB43" s="304"/>
      <c r="DC43" s="304">
        <f>CX43</f>
        <v>0.64</v>
      </c>
      <c r="DD43" s="304"/>
      <c r="DE43" s="304"/>
      <c r="DF43" s="304"/>
      <c r="DG43" s="304"/>
      <c r="DH43" s="304">
        <f>DC43</f>
        <v>0.64</v>
      </c>
      <c r="DI43" s="143"/>
    </row>
    <row r="44" spans="1:119" ht="15.75" customHeight="1">
      <c r="B44" s="155" t="s">
        <v>798</v>
      </c>
      <c r="C44" s="283"/>
      <c r="D44" s="143"/>
      <c r="E44" s="143"/>
      <c r="F44" s="143"/>
      <c r="G44" s="407">
        <v>0</v>
      </c>
      <c r="H44" s="407"/>
      <c r="I44" s="407"/>
      <c r="J44" s="407"/>
      <c r="K44" s="407"/>
      <c r="L44" s="407">
        <v>0</v>
      </c>
      <c r="M44" s="407"/>
      <c r="N44" s="407"/>
      <c r="O44" s="407"/>
      <c r="P44" s="407"/>
      <c r="Q44" s="407">
        <v>0</v>
      </c>
      <c r="R44" s="407"/>
      <c r="S44" s="407"/>
      <c r="T44" s="407"/>
      <c r="U44" s="407"/>
      <c r="V44" s="407">
        <v>0</v>
      </c>
      <c r="W44" s="154"/>
      <c r="X44" s="154"/>
      <c r="Y44" s="154"/>
      <c r="Z44" s="154"/>
      <c r="AA44" s="407">
        <v>0</v>
      </c>
      <c r="AB44" s="154"/>
      <c r="AC44" s="154"/>
      <c r="AD44" s="154"/>
      <c r="AE44" s="154"/>
      <c r="AF44" s="826">
        <v>-169.53</v>
      </c>
      <c r="AG44" s="154"/>
      <c r="AH44" s="154"/>
      <c r="AI44" s="154"/>
      <c r="AJ44" s="154"/>
      <c r="AK44" s="407">
        <v>-306.06900000000002</v>
      </c>
      <c r="AL44" s="154"/>
      <c r="AM44" s="154"/>
      <c r="AN44" s="154"/>
      <c r="AO44" s="154"/>
      <c r="AP44" s="407">
        <v>-316.24</v>
      </c>
      <c r="AQ44" s="154"/>
      <c r="AR44" s="154"/>
      <c r="AS44" s="154"/>
      <c r="AT44" s="154"/>
      <c r="AU44" s="407">
        <v>-316.24</v>
      </c>
      <c r="AV44" s="154"/>
      <c r="AW44" s="154"/>
      <c r="AX44" s="154"/>
      <c r="AY44" s="154"/>
      <c r="AZ44" s="304">
        <f>AU44</f>
        <v>-316.24</v>
      </c>
      <c r="BA44" s="154"/>
      <c r="BB44" s="154"/>
      <c r="BC44" s="154"/>
      <c r="BD44" s="154"/>
      <c r="BE44" s="304">
        <f>AZ44</f>
        <v>-316.24</v>
      </c>
      <c r="BF44" s="154"/>
      <c r="BG44" s="154"/>
      <c r="BH44" s="154"/>
      <c r="BI44" s="154"/>
      <c r="BJ44" s="304">
        <f>BE44</f>
        <v>-316.24</v>
      </c>
      <c r="BK44" s="304"/>
      <c r="BL44" s="304"/>
      <c r="BM44" s="304"/>
      <c r="BN44" s="304"/>
      <c r="BO44" s="304">
        <f>BJ44</f>
        <v>-316.24</v>
      </c>
      <c r="BP44" s="304"/>
      <c r="BQ44" s="304"/>
      <c r="BR44" s="304"/>
      <c r="BS44" s="304"/>
      <c r="BT44" s="304">
        <f>BO44</f>
        <v>-316.24</v>
      </c>
      <c r="BU44" s="304"/>
      <c r="BV44" s="304"/>
      <c r="BW44" s="304"/>
      <c r="BX44" s="304"/>
      <c r="BY44" s="304">
        <f>BT44</f>
        <v>-316.24</v>
      </c>
      <c r="BZ44" s="304"/>
      <c r="CA44" s="304"/>
      <c r="CB44" s="304"/>
      <c r="CC44" s="304"/>
      <c r="CD44" s="304">
        <f>BY44</f>
        <v>-316.24</v>
      </c>
      <c r="CE44" s="304"/>
      <c r="CF44" s="304"/>
      <c r="CG44" s="304"/>
      <c r="CH44" s="304"/>
      <c r="CI44" s="304">
        <f>CD44</f>
        <v>-316.24</v>
      </c>
      <c r="CJ44" s="304"/>
      <c r="CK44" s="304"/>
      <c r="CL44" s="304"/>
      <c r="CM44" s="304"/>
      <c r="CN44" s="304">
        <f>CI44</f>
        <v>-316.24</v>
      </c>
      <c r="CO44" s="304"/>
      <c r="CP44" s="304"/>
      <c r="CQ44" s="304"/>
      <c r="CR44" s="304"/>
      <c r="CS44" s="304">
        <f>CN44</f>
        <v>-316.24</v>
      </c>
      <c r="CT44" s="304"/>
      <c r="CU44" s="304"/>
      <c r="CV44" s="304"/>
      <c r="CW44" s="304"/>
      <c r="CX44" s="304">
        <f>CS44</f>
        <v>-316.24</v>
      </c>
      <c r="CY44" s="304"/>
      <c r="CZ44" s="304"/>
      <c r="DA44" s="304"/>
      <c r="DB44" s="304"/>
      <c r="DC44" s="304">
        <f>CX44</f>
        <v>-316.24</v>
      </c>
      <c r="DD44" s="304"/>
      <c r="DE44" s="304"/>
      <c r="DF44" s="304"/>
      <c r="DG44" s="304"/>
      <c r="DH44" s="304">
        <f>DC44</f>
        <v>-316.24</v>
      </c>
      <c r="DI44" s="143"/>
    </row>
    <row r="45" spans="1:119" ht="15.75" customHeight="1">
      <c r="A45" s="282" t="s">
        <v>1</v>
      </c>
      <c r="B45" s="132" t="s">
        <v>38</v>
      </c>
      <c r="C45" s="291"/>
      <c r="D45" s="272"/>
      <c r="E45" s="272"/>
      <c r="F45" s="272"/>
      <c r="G45" s="409">
        <f>SUM(G38:G44)</f>
        <v>396.76199999999983</v>
      </c>
      <c r="H45" s="167"/>
      <c r="I45" s="167"/>
      <c r="J45" s="167"/>
      <c r="K45" s="167"/>
      <c r="L45" s="409">
        <f>SUM(L38:L44)</f>
        <v>527.81499999999983</v>
      </c>
      <c r="M45" s="167"/>
      <c r="N45" s="167"/>
      <c r="O45" s="167"/>
      <c r="P45" s="167"/>
      <c r="Q45" s="409">
        <f>SUM(Q38:Q44)</f>
        <v>485.73200000000003</v>
      </c>
      <c r="R45" s="167"/>
      <c r="S45" s="167"/>
      <c r="T45" s="167"/>
      <c r="U45" s="167"/>
      <c r="V45" s="409">
        <f>SUM(V38:V44)</f>
        <v>1245.385</v>
      </c>
      <c r="W45" s="167"/>
      <c r="X45" s="167"/>
      <c r="Y45" s="167"/>
      <c r="Z45" s="167"/>
      <c r="AA45" s="409">
        <f>SUM(AA38:AA44)</f>
        <v>1952.0759999999998</v>
      </c>
      <c r="AB45" s="167"/>
      <c r="AC45" s="167"/>
      <c r="AD45" s="167"/>
      <c r="AE45" s="167"/>
      <c r="AF45" s="409">
        <f>SUM(AF38:AF44)</f>
        <v>2542.3249999999998</v>
      </c>
      <c r="AG45" s="167"/>
      <c r="AH45" s="167"/>
      <c r="AI45" s="167"/>
      <c r="AJ45" s="167"/>
      <c r="AK45" s="409">
        <f>SUM(AK38:AK44)</f>
        <v>3654.837</v>
      </c>
      <c r="AL45" s="167">
        <f t="shared" ref="AL45:BI45" si="10">AL38+AL40+AL41+AL42+AL43</f>
        <v>0</v>
      </c>
      <c r="AM45" s="167">
        <f t="shared" si="10"/>
        <v>0</v>
      </c>
      <c r="AN45" s="167">
        <f t="shared" si="10"/>
        <v>0</v>
      </c>
      <c r="AO45" s="167">
        <f t="shared" si="10"/>
        <v>0</v>
      </c>
      <c r="AP45" s="409">
        <f>SUM(AP38:AP44)</f>
        <v>4449.2449999999999</v>
      </c>
      <c r="AQ45" s="167">
        <f t="shared" si="10"/>
        <v>0</v>
      </c>
      <c r="AR45" s="167">
        <f t="shared" si="10"/>
        <v>0</v>
      </c>
      <c r="AS45" s="167">
        <f t="shared" si="10"/>
        <v>0</v>
      </c>
      <c r="AT45" s="167">
        <f t="shared" si="10"/>
        <v>0</v>
      </c>
      <c r="AU45" s="409">
        <f>SUM(AU38:AU44)</f>
        <v>6144.0780000000004</v>
      </c>
      <c r="AV45" s="167">
        <f t="shared" si="10"/>
        <v>0</v>
      </c>
      <c r="AW45" s="167">
        <f t="shared" si="10"/>
        <v>0</v>
      </c>
      <c r="AX45" s="167">
        <f t="shared" si="10"/>
        <v>0</v>
      </c>
      <c r="AY45" s="167">
        <f t="shared" si="10"/>
        <v>0</v>
      </c>
      <c r="AZ45" s="409">
        <f>SUM(AZ38:AZ44)</f>
        <v>8177.963216192702</v>
      </c>
      <c r="BA45" s="167">
        <f t="shared" si="10"/>
        <v>0</v>
      </c>
      <c r="BB45" s="167">
        <f t="shared" si="10"/>
        <v>0</v>
      </c>
      <c r="BC45" s="167">
        <f t="shared" si="10"/>
        <v>0</v>
      </c>
      <c r="BD45" s="167">
        <f t="shared" si="10"/>
        <v>0</v>
      </c>
      <c r="BE45" s="409">
        <f>SUM(BE38:BE44)</f>
        <v>10482.572290213822</v>
      </c>
      <c r="BF45" s="167">
        <f t="shared" si="10"/>
        <v>0</v>
      </c>
      <c r="BG45" s="167">
        <f t="shared" si="10"/>
        <v>0</v>
      </c>
      <c r="BH45" s="167">
        <f t="shared" si="10"/>
        <v>0</v>
      </c>
      <c r="BI45" s="167">
        <f t="shared" si="10"/>
        <v>0</v>
      </c>
      <c r="BJ45" s="409">
        <f>SUM(BJ38:BJ44)</f>
        <v>13265.691064731896</v>
      </c>
      <c r="BK45" s="836"/>
      <c r="BL45" s="836"/>
      <c r="BM45" s="836"/>
      <c r="BN45" s="836"/>
      <c r="BO45" s="409">
        <f>SUM(BO38:BO44)</f>
        <v>16502.031839298095</v>
      </c>
      <c r="BP45" s="836"/>
      <c r="BQ45" s="836"/>
      <c r="BR45" s="836"/>
      <c r="BS45" s="836"/>
      <c r="BT45" s="409">
        <f>SUM(BT38:BT44)</f>
        <v>20260.958956064715</v>
      </c>
      <c r="BU45" s="836"/>
      <c r="BV45" s="836"/>
      <c r="BW45" s="836"/>
      <c r="BX45" s="836"/>
      <c r="BY45" s="409">
        <f>SUM(BY38:BY44)</f>
        <v>24437.225526203463</v>
      </c>
      <c r="BZ45" s="836"/>
      <c r="CA45" s="836"/>
      <c r="CB45" s="836"/>
      <c r="CC45" s="836"/>
      <c r="CD45" s="409">
        <f>SUM(CD38:CD44)</f>
        <v>29050.104988697269</v>
      </c>
      <c r="CE45" s="836"/>
      <c r="CF45" s="836"/>
      <c r="CG45" s="836"/>
      <c r="CH45" s="836"/>
      <c r="CI45" s="409">
        <f>SUM(CI38:CI44)</f>
        <v>34061.4363351926</v>
      </c>
      <c r="CJ45" s="836"/>
      <c r="CK45" s="836"/>
      <c r="CL45" s="836"/>
      <c r="CM45" s="836"/>
      <c r="CN45" s="409">
        <f>SUM(CN38:CN44)</f>
        <v>39140.731777526678</v>
      </c>
      <c r="CO45" s="836"/>
      <c r="CP45" s="836"/>
      <c r="CQ45" s="836"/>
      <c r="CR45" s="836"/>
      <c r="CS45" s="409">
        <f>SUM(CS38:CS44)</f>
        <v>44116.393360078226</v>
      </c>
      <c r="CT45" s="836"/>
      <c r="CU45" s="836"/>
      <c r="CV45" s="836"/>
      <c r="CW45" s="836"/>
      <c r="CX45" s="409">
        <f>SUM(CX38:CX44)</f>
        <v>49302.69361045448</v>
      </c>
      <c r="CY45" s="836"/>
      <c r="CZ45" s="836"/>
      <c r="DA45" s="836"/>
      <c r="DB45" s="836"/>
      <c r="DC45" s="409">
        <f>SUM(DC38:DC44)</f>
        <v>54170.380576785006</v>
      </c>
      <c r="DD45" s="836"/>
      <c r="DE45" s="836"/>
      <c r="DF45" s="836"/>
      <c r="DG45" s="836"/>
      <c r="DH45" s="409">
        <f>SUM(DH38:DH44)</f>
        <v>59284.010270842933</v>
      </c>
      <c r="DI45" s="143"/>
    </row>
    <row r="46" spans="1:119" ht="15.75" customHeight="1" thickBot="1">
      <c r="A46" s="282" t="s">
        <v>1</v>
      </c>
      <c r="B46" s="132" t="s">
        <v>39</v>
      </c>
      <c r="C46" s="298"/>
      <c r="D46" s="299"/>
      <c r="E46" s="299"/>
      <c r="F46" s="299"/>
      <c r="G46" s="228">
        <f>G36+G45</f>
        <v>741.20199999999977</v>
      </c>
      <c r="H46" s="228"/>
      <c r="I46" s="228"/>
      <c r="J46" s="228"/>
      <c r="K46" s="228"/>
      <c r="L46" s="228">
        <f t="shared" ref="L46:BJ46" si="11">L36+L45</f>
        <v>1089.4319999999998</v>
      </c>
      <c r="M46" s="228"/>
      <c r="N46" s="228"/>
      <c r="O46" s="228"/>
      <c r="P46" s="228"/>
      <c r="Q46" s="228">
        <f t="shared" si="11"/>
        <v>1323.5829999999999</v>
      </c>
      <c r="R46" s="228"/>
      <c r="S46" s="228"/>
      <c r="T46" s="228"/>
      <c r="U46" s="228"/>
      <c r="V46" s="228">
        <f t="shared" si="11"/>
        <v>2080.4899999999998</v>
      </c>
      <c r="W46" s="228"/>
      <c r="X46" s="228"/>
      <c r="Y46" s="228"/>
      <c r="Z46" s="228"/>
      <c r="AA46" s="228">
        <f t="shared" si="11"/>
        <v>2951.0129999999999</v>
      </c>
      <c r="AB46" s="228"/>
      <c r="AC46" s="228"/>
      <c r="AD46" s="228"/>
      <c r="AE46" s="228"/>
      <c r="AF46" s="228">
        <f>AF36+AF45</f>
        <v>3871.8269999999998</v>
      </c>
      <c r="AG46" s="228"/>
      <c r="AH46" s="228"/>
      <c r="AI46" s="228"/>
      <c r="AJ46" s="228"/>
      <c r="AK46" s="228">
        <f t="shared" si="11"/>
        <v>5609.1319999999996</v>
      </c>
      <c r="AL46" s="228" t="e">
        <f t="shared" si="11"/>
        <v>#REF!</v>
      </c>
      <c r="AM46" s="228" t="e">
        <f t="shared" si="11"/>
        <v>#REF!</v>
      </c>
      <c r="AN46" s="228" t="e">
        <f t="shared" si="11"/>
        <v>#REF!</v>
      </c>
      <c r="AO46" s="228" t="e">
        <f t="shared" si="11"/>
        <v>#REF!</v>
      </c>
      <c r="AP46" s="228">
        <f t="shared" si="11"/>
        <v>6973.4660000000003</v>
      </c>
      <c r="AQ46" s="228" t="e">
        <f t="shared" si="11"/>
        <v>#REF!</v>
      </c>
      <c r="AR46" s="228" t="e">
        <f t="shared" si="11"/>
        <v>#REF!</v>
      </c>
      <c r="AS46" s="228" t="e">
        <f t="shared" si="11"/>
        <v>#REF!</v>
      </c>
      <c r="AT46" s="228" t="e">
        <f t="shared" si="11"/>
        <v>#REF!</v>
      </c>
      <c r="AU46" s="228">
        <f t="shared" si="11"/>
        <v>8764.2860000000001</v>
      </c>
      <c r="AV46" s="228" t="e">
        <f t="shared" si="11"/>
        <v>#REF!</v>
      </c>
      <c r="AW46" s="228" t="e">
        <f t="shared" si="11"/>
        <v>#REF!</v>
      </c>
      <c r="AX46" s="228" t="e">
        <f t="shared" si="11"/>
        <v>#REF!</v>
      </c>
      <c r="AY46" s="228" t="e">
        <f t="shared" si="11"/>
        <v>#REF!</v>
      </c>
      <c r="AZ46" s="228">
        <f t="shared" si="11"/>
        <v>10838.925116192702</v>
      </c>
      <c r="BA46" s="228" t="e">
        <f t="shared" si="11"/>
        <v>#REF!</v>
      </c>
      <c r="BB46" s="228" t="e">
        <f t="shared" si="11"/>
        <v>#REF!</v>
      </c>
      <c r="BC46" s="228" t="e">
        <f t="shared" si="11"/>
        <v>#REF!</v>
      </c>
      <c r="BD46" s="228" t="e">
        <f t="shared" si="11"/>
        <v>#REF!</v>
      </c>
      <c r="BE46" s="228">
        <f t="shared" si="11"/>
        <v>13186.325785213823</v>
      </c>
      <c r="BF46" s="228" t="e">
        <f t="shared" si="11"/>
        <v>#REF!</v>
      </c>
      <c r="BG46" s="228" t="e">
        <f t="shared" si="11"/>
        <v>#REF!</v>
      </c>
      <c r="BH46" s="228" t="e">
        <f t="shared" si="11"/>
        <v>#REF!</v>
      </c>
      <c r="BI46" s="228" t="e">
        <f t="shared" si="11"/>
        <v>#REF!</v>
      </c>
      <c r="BJ46" s="228">
        <f t="shared" si="11"/>
        <v>16014.375734481897</v>
      </c>
      <c r="BK46" s="1022"/>
      <c r="BL46" s="1022"/>
      <c r="BM46" s="1022"/>
      <c r="BN46" s="1022"/>
      <c r="BO46" s="228">
        <f t="shared" ref="BO46" si="12">BO36+BO45</f>
        <v>19297.894242535596</v>
      </c>
      <c r="BP46" s="1022"/>
      <c r="BQ46" s="1022"/>
      <c r="BR46" s="1022"/>
      <c r="BS46" s="1022"/>
      <c r="BT46" s="228">
        <f t="shared" ref="BT46" si="13">BT36+BT45</f>
        <v>23106.35797946409</v>
      </c>
      <c r="BU46" s="1022"/>
      <c r="BV46" s="1022"/>
      <c r="BW46" s="1022"/>
      <c r="BX46" s="1022"/>
      <c r="BY46" s="228">
        <f t="shared" ref="BY46" si="14">BY36+BY45</f>
        <v>27334.638000772808</v>
      </c>
      <c r="BZ46" s="1022"/>
      <c r="CA46" s="1022"/>
      <c r="CB46" s="1022"/>
      <c r="CC46" s="1022"/>
      <c r="CD46" s="228">
        <f t="shared" ref="CD46" si="15">CD36+CD45</f>
        <v>32002.131586995081</v>
      </c>
      <c r="CE46" s="1022"/>
      <c r="CF46" s="1022"/>
      <c r="CG46" s="1022"/>
      <c r="CH46" s="1022"/>
      <c r="CI46" s="228">
        <f t="shared" ref="CI46" si="16">CI36+CI45</f>
        <v>37070.807763405304</v>
      </c>
      <c r="CJ46" s="1022"/>
      <c r="CK46" s="1022"/>
      <c r="CL46" s="1022"/>
      <c r="CM46" s="1022"/>
      <c r="CN46" s="228">
        <f t="shared" ref="CN46" si="17">CN36+CN45</f>
        <v>42210.315277150017</v>
      </c>
      <c r="CO46" s="1022"/>
      <c r="CP46" s="1022"/>
      <c r="CQ46" s="1022"/>
      <c r="CR46" s="1022"/>
      <c r="CS46" s="228">
        <f t="shared" ref="CS46" si="18">CS36+CS45</f>
        <v>47249.199534682732</v>
      </c>
      <c r="CT46" s="1022"/>
      <c r="CU46" s="1022"/>
      <c r="CV46" s="1022"/>
      <c r="CW46" s="1022"/>
      <c r="CX46" s="228">
        <f t="shared" ref="CX46" si="19">CX36+CX45</f>
        <v>52501.883593789207</v>
      </c>
      <c r="CY46" s="1022"/>
      <c r="CZ46" s="1022"/>
      <c r="DA46" s="1022"/>
      <c r="DB46" s="1022"/>
      <c r="DC46" s="228">
        <f t="shared" ref="DC46" si="20">DC36+DC45</f>
        <v>57439.27355928647</v>
      </c>
      <c r="DD46" s="1022"/>
      <c r="DE46" s="1022"/>
      <c r="DF46" s="1022"/>
      <c r="DG46" s="1022"/>
      <c r="DH46" s="228">
        <f t="shared" ref="DH46" si="21">DH36+DH45</f>
        <v>62626.091402469472</v>
      </c>
      <c r="DI46" s="143"/>
    </row>
    <row r="47" spans="1:119" ht="14.25" thickTop="1">
      <c r="AK47" s="154"/>
      <c r="DI47" s="143"/>
    </row>
    <row r="48" spans="1:119" s="314" customFormat="1">
      <c r="A48" s="313" t="s">
        <v>1</v>
      </c>
      <c r="B48" s="314" t="s">
        <v>40</v>
      </c>
      <c r="G48" s="317">
        <f>G21-G46</f>
        <v>0</v>
      </c>
      <c r="H48" s="315"/>
      <c r="I48" s="315"/>
      <c r="J48" s="315"/>
      <c r="K48" s="315"/>
      <c r="L48" s="317">
        <f>L21-L46</f>
        <v>0</v>
      </c>
      <c r="M48" s="315"/>
      <c r="N48" s="315"/>
      <c r="O48" s="315"/>
      <c r="P48" s="315"/>
      <c r="Q48" s="318">
        <f>Q21-Q46</f>
        <v>0</v>
      </c>
      <c r="R48" s="315"/>
      <c r="S48" s="315"/>
      <c r="T48" s="315"/>
      <c r="U48" s="315"/>
      <c r="V48" s="317">
        <f>V21-V46</f>
        <v>0</v>
      </c>
      <c r="W48" s="315"/>
      <c r="X48" s="315"/>
      <c r="Y48" s="315"/>
      <c r="Z48" s="315"/>
      <c r="AA48" s="317">
        <f>AA21-AA46</f>
        <v>0</v>
      </c>
      <c r="AB48" s="315"/>
      <c r="AC48" s="315"/>
      <c r="AD48" s="315"/>
      <c r="AE48" s="315"/>
      <c r="AF48" s="317">
        <f>AF21-AF46</f>
        <v>0</v>
      </c>
      <c r="AG48" s="315"/>
      <c r="AH48" s="315"/>
      <c r="AI48" s="315"/>
      <c r="AJ48" s="315"/>
      <c r="AK48" s="317">
        <f>AK21-AK46</f>
        <v>0</v>
      </c>
      <c r="AL48" s="315" t="e">
        <f t="shared" ref="AL48" si="22">AL21-AL46</f>
        <v>#REF!</v>
      </c>
      <c r="AM48" s="315" t="e">
        <f t="shared" ref="AM48:BJ48" si="23">AM21-AM46</f>
        <v>#REF!</v>
      </c>
      <c r="AN48" s="315" t="e">
        <f t="shared" si="23"/>
        <v>#REF!</v>
      </c>
      <c r="AO48" s="315" t="e">
        <f t="shared" si="23"/>
        <v>#REF!</v>
      </c>
      <c r="AP48" s="317">
        <f t="shared" si="23"/>
        <v>0</v>
      </c>
      <c r="AQ48" s="315" t="e">
        <f t="shared" si="23"/>
        <v>#REF!</v>
      </c>
      <c r="AR48" s="315" t="e">
        <f t="shared" si="23"/>
        <v>#REF!</v>
      </c>
      <c r="AS48" s="315" t="e">
        <f t="shared" si="23"/>
        <v>#REF!</v>
      </c>
      <c r="AT48" s="315" t="e">
        <f t="shared" si="23"/>
        <v>#REF!</v>
      </c>
      <c r="AU48" s="317">
        <f t="shared" si="23"/>
        <v>0</v>
      </c>
      <c r="AV48" s="315" t="e">
        <f t="shared" si="23"/>
        <v>#REF!</v>
      </c>
      <c r="AW48" s="315" t="e">
        <f t="shared" si="23"/>
        <v>#REF!</v>
      </c>
      <c r="AX48" s="315" t="e">
        <f t="shared" si="23"/>
        <v>#REF!</v>
      </c>
      <c r="AY48" s="315" t="e">
        <f t="shared" si="23"/>
        <v>#REF!</v>
      </c>
      <c r="AZ48" s="317">
        <f t="shared" si="23"/>
        <v>0</v>
      </c>
      <c r="BA48" s="315" t="e">
        <f t="shared" si="23"/>
        <v>#REF!</v>
      </c>
      <c r="BB48" s="315" t="e">
        <f t="shared" si="23"/>
        <v>#REF!</v>
      </c>
      <c r="BC48" s="315" t="e">
        <f t="shared" si="23"/>
        <v>#REF!</v>
      </c>
      <c r="BD48" s="315" t="e">
        <f t="shared" si="23"/>
        <v>#REF!</v>
      </c>
      <c r="BE48" s="317">
        <f t="shared" si="23"/>
        <v>0</v>
      </c>
      <c r="BF48" s="315" t="e">
        <f t="shared" si="23"/>
        <v>#REF!</v>
      </c>
      <c r="BG48" s="315" t="e">
        <f t="shared" si="23"/>
        <v>#REF!</v>
      </c>
      <c r="BH48" s="315" t="e">
        <f t="shared" si="23"/>
        <v>#REF!</v>
      </c>
      <c r="BI48" s="315" t="e">
        <f t="shared" si="23"/>
        <v>#REF!</v>
      </c>
      <c r="BJ48" s="315">
        <f t="shared" si="23"/>
        <v>0</v>
      </c>
      <c r="BK48" s="315"/>
      <c r="BL48" s="315"/>
      <c r="BM48" s="315"/>
      <c r="BN48" s="315"/>
      <c r="BO48" s="315">
        <f t="shared" ref="BO48" si="24">BO21-BO46</f>
        <v>0</v>
      </c>
      <c r="BP48" s="315"/>
      <c r="BQ48" s="315"/>
      <c r="BR48" s="315"/>
      <c r="BS48" s="315"/>
      <c r="BT48" s="315">
        <f t="shared" ref="BT48" si="25">BT21-BT46</f>
        <v>0</v>
      </c>
      <c r="BU48" s="315"/>
      <c r="BV48" s="315"/>
      <c r="BW48" s="315"/>
      <c r="BX48" s="315"/>
      <c r="BY48" s="315">
        <f t="shared" ref="BY48" si="26">BY21-BY46</f>
        <v>0</v>
      </c>
      <c r="BZ48" s="315"/>
      <c r="CA48" s="315"/>
      <c r="CB48" s="315"/>
      <c r="CC48" s="315"/>
      <c r="CD48" s="315">
        <f t="shared" ref="CD48" si="27">CD21-CD46</f>
        <v>0</v>
      </c>
      <c r="CE48" s="315"/>
      <c r="CF48" s="315"/>
      <c r="CG48" s="315"/>
      <c r="CH48" s="315"/>
      <c r="CI48" s="315">
        <f t="shared" ref="CI48" si="28">CI21-CI46</f>
        <v>0</v>
      </c>
      <c r="CJ48" s="315"/>
      <c r="CK48" s="315"/>
      <c r="CL48" s="315"/>
      <c r="CM48" s="315"/>
      <c r="CN48" s="315">
        <f t="shared" ref="CN48" si="29">CN21-CN46</f>
        <v>0</v>
      </c>
      <c r="CO48" s="315"/>
      <c r="CP48" s="315"/>
      <c r="CQ48" s="315"/>
      <c r="CR48" s="315"/>
      <c r="CS48" s="315">
        <f t="shared" ref="CS48" si="30">CS21-CS46</f>
        <v>0</v>
      </c>
      <c r="CT48" s="315"/>
      <c r="CU48" s="315"/>
      <c r="CV48" s="315"/>
      <c r="CW48" s="315"/>
      <c r="CX48" s="315">
        <f t="shared" ref="CX48" si="31">CX21-CX46</f>
        <v>0</v>
      </c>
      <c r="CY48" s="315"/>
      <c r="CZ48" s="315"/>
      <c r="DA48" s="315"/>
      <c r="DB48" s="315"/>
      <c r="DC48" s="315">
        <f t="shared" ref="DC48" si="32">DC21-DC46</f>
        <v>0</v>
      </c>
      <c r="DD48" s="315"/>
      <c r="DE48" s="315"/>
      <c r="DF48" s="315"/>
      <c r="DG48" s="315"/>
      <c r="DH48" s="315">
        <f t="shared" ref="DH48" si="33">DH21-DH46</f>
        <v>0</v>
      </c>
      <c r="DJ48"/>
      <c r="DK48"/>
      <c r="DL48"/>
      <c r="DM48"/>
      <c r="DN48"/>
      <c r="DO48"/>
    </row>
    <row r="49" spans="1:112">
      <c r="AU49" s="871"/>
      <c r="AZ49" s="871"/>
      <c r="BE49" s="871"/>
    </row>
    <row r="50" spans="1:112">
      <c r="B50" s="132" t="s">
        <v>41</v>
      </c>
    </row>
    <row r="51" spans="1:112">
      <c r="B51" s="125" t="s">
        <v>42</v>
      </c>
      <c r="Q51" s="319">
        <f>Q6/IS!Q4*360</f>
        <v>227.62028375777649</v>
      </c>
      <c r="R51" s="178"/>
      <c r="S51" s="178"/>
      <c r="T51" s="178"/>
      <c r="U51" s="178"/>
      <c r="V51" s="319">
        <f>V6/IS!V4*360</f>
        <v>248.87106642287029</v>
      </c>
      <c r="AA51" s="319">
        <f>AA6/IS!AA4*360</f>
        <v>198.72198754557846</v>
      </c>
      <c r="AF51" s="319">
        <f>AF6/IS!AF4*360</f>
        <v>152.03462263859967</v>
      </c>
      <c r="AK51" s="319">
        <f>AK6/IS!AK4*360</f>
        <v>154.26638180345776</v>
      </c>
      <c r="AP51" s="319">
        <f>AP6/IS!AP4*360</f>
        <v>144.86398533424793</v>
      </c>
      <c r="AU51" s="319">
        <f>AU6/IS!AU4*360</f>
        <v>148.95108968213739</v>
      </c>
      <c r="AZ51" s="321">
        <f>AU51-10</f>
        <v>138.95108968213739</v>
      </c>
      <c r="BE51" s="321">
        <f>AZ51</f>
        <v>138.95108968213739</v>
      </c>
      <c r="BJ51" s="179">
        <f>BE51</f>
        <v>138.95108968213739</v>
      </c>
      <c r="BK51" s="179"/>
      <c r="BL51" s="179"/>
      <c r="BM51" s="179"/>
      <c r="BN51" s="179"/>
      <c r="BO51" s="179">
        <f>BJ51</f>
        <v>138.95108968213739</v>
      </c>
      <c r="BP51" s="179"/>
      <c r="BQ51" s="179"/>
      <c r="BR51" s="179"/>
      <c r="BS51" s="179"/>
      <c r="BT51" s="179">
        <f>BO51</f>
        <v>138.95108968213739</v>
      </c>
      <c r="BU51" s="179"/>
      <c r="BV51" s="179"/>
      <c r="BW51" s="179"/>
      <c r="BX51" s="179"/>
      <c r="BY51" s="179">
        <f>BT51</f>
        <v>138.95108968213739</v>
      </c>
      <c r="BZ51" s="179"/>
      <c r="CA51" s="179"/>
      <c r="CB51" s="179"/>
      <c r="CC51" s="179"/>
      <c r="CD51" s="179">
        <f>BY51</f>
        <v>138.95108968213739</v>
      </c>
      <c r="CE51" s="179"/>
      <c r="CF51" s="179"/>
      <c r="CG51" s="179"/>
      <c r="CH51" s="179"/>
      <c r="CI51" s="179">
        <f>CD51</f>
        <v>138.95108968213739</v>
      </c>
      <c r="CJ51" s="179"/>
      <c r="CK51" s="179"/>
      <c r="CL51" s="179"/>
      <c r="CM51" s="179"/>
      <c r="CN51" s="179">
        <f>CI51</f>
        <v>138.95108968213739</v>
      </c>
      <c r="CO51" s="179"/>
      <c r="CP51" s="179"/>
      <c r="CQ51" s="179"/>
      <c r="CR51" s="179"/>
      <c r="CS51" s="179">
        <f>CN51</f>
        <v>138.95108968213739</v>
      </c>
      <c r="CT51" s="179"/>
      <c r="CU51" s="179"/>
      <c r="CV51" s="179"/>
      <c r="CW51" s="179"/>
      <c r="CX51" s="179">
        <f>CS51</f>
        <v>138.95108968213739</v>
      </c>
      <c r="CY51" s="179"/>
      <c r="CZ51" s="179"/>
      <c r="DA51" s="179"/>
      <c r="DB51" s="179"/>
      <c r="DC51" s="179">
        <f>CX51</f>
        <v>138.95108968213739</v>
      </c>
      <c r="DD51" s="179"/>
      <c r="DE51" s="179"/>
      <c r="DF51" s="179"/>
      <c r="DG51" s="179"/>
      <c r="DH51" s="179">
        <f>DC51</f>
        <v>138.95108968213739</v>
      </c>
    </row>
    <row r="52" spans="1:112">
      <c r="A52" s="125"/>
      <c r="B52" s="125" t="s">
        <v>43</v>
      </c>
    </row>
    <row r="53" spans="1:112">
      <c r="A53" s="125"/>
      <c r="B53" s="243" t="s">
        <v>44</v>
      </c>
    </row>
    <row r="54" spans="1:112">
      <c r="A54" s="125"/>
      <c r="B54" s="125" t="s">
        <v>45</v>
      </c>
      <c r="Q54" s="319"/>
      <c r="R54" s="178"/>
      <c r="S54" s="178"/>
      <c r="T54" s="178"/>
      <c r="U54" s="178"/>
      <c r="V54" s="319"/>
    </row>
    <row r="55" spans="1:112">
      <c r="A55" s="125"/>
    </row>
    <row r="56" spans="1:112">
      <c r="A56" s="125"/>
      <c r="B56" s="132" t="s">
        <v>46</v>
      </c>
    </row>
    <row r="57" spans="1:112">
      <c r="A57" s="125"/>
      <c r="B57" s="125" t="s">
        <v>47</v>
      </c>
    </row>
    <row r="58" spans="1:112">
      <c r="A58" s="125"/>
      <c r="B58" s="125" t="s">
        <v>48</v>
      </c>
    </row>
    <row r="59" spans="1:112">
      <c r="A59" s="125"/>
    </row>
    <row r="60" spans="1:112">
      <c r="A60" s="125"/>
      <c r="B60" s="132" t="s">
        <v>49</v>
      </c>
    </row>
    <row r="61" spans="1:112">
      <c r="A61" s="125"/>
      <c r="B61" s="125" t="s">
        <v>51</v>
      </c>
      <c r="Q61" s="304">
        <f>Q4+Q5+Q14+Q15</f>
        <v>810.55</v>
      </c>
      <c r="V61" s="304">
        <f>V4+V5+V14+V15</f>
        <v>587.51099999999997</v>
      </c>
      <c r="AA61" s="304">
        <f>AA4+AA5+AA14+AA15</f>
        <v>1083.875</v>
      </c>
      <c r="AF61" s="304">
        <f>AF4+AF5+AF14+AF15</f>
        <v>1360.634</v>
      </c>
      <c r="AK61" s="304">
        <f>AK4+AK5+AK14+AK15</f>
        <v>1677.385</v>
      </c>
      <c r="AP61" s="304">
        <f>AP4+AP5+AP14+AP15</f>
        <v>1902.944</v>
      </c>
      <c r="AU61" s="304">
        <f>AU4+AU5+AU14+AU15</f>
        <v>2896.0739999999996</v>
      </c>
      <c r="AZ61" s="304">
        <f>AZ4+AZ5+AZ14+AZ15</f>
        <v>4600.9427369841824</v>
      </c>
      <c r="BE61" s="304">
        <f>BE4+BE5+BE14+BE15</f>
        <v>6567.9936223256109</v>
      </c>
      <c r="BJ61" s="182">
        <f>BJ4+BJ5+BJ14+BJ15</f>
        <v>8939.2986589205811</v>
      </c>
      <c r="BK61" s="182"/>
      <c r="BL61" s="182"/>
      <c r="BM61" s="182"/>
      <c r="BN61" s="182"/>
      <c r="BO61" s="182">
        <f t="shared" ref="BO61:DH61" si="34">BO4+BO5+BO14+BO15</f>
        <v>11824.817223573298</v>
      </c>
      <c r="BP61" s="182">
        <f t="shared" si="34"/>
        <v>0</v>
      </c>
      <c r="BQ61" s="182">
        <f t="shared" si="34"/>
        <v>0</v>
      </c>
      <c r="BR61" s="182">
        <f t="shared" si="34"/>
        <v>0</v>
      </c>
      <c r="BS61" s="182">
        <f t="shared" si="34"/>
        <v>0</v>
      </c>
      <c r="BT61" s="182">
        <f t="shared" si="34"/>
        <v>15243.29971126654</v>
      </c>
      <c r="BU61" s="182">
        <f t="shared" si="34"/>
        <v>0</v>
      </c>
      <c r="BV61" s="182">
        <f t="shared" si="34"/>
        <v>0</v>
      </c>
      <c r="BW61" s="182">
        <f t="shared" si="34"/>
        <v>0</v>
      </c>
      <c r="BX61" s="182">
        <f t="shared" si="34"/>
        <v>0</v>
      </c>
      <c r="BY61" s="182">
        <f t="shared" si="34"/>
        <v>19098.492426778485</v>
      </c>
      <c r="BZ61" s="182">
        <f t="shared" si="34"/>
        <v>0</v>
      </c>
      <c r="CA61" s="182">
        <f t="shared" si="34"/>
        <v>0</v>
      </c>
      <c r="CB61" s="182">
        <f t="shared" si="34"/>
        <v>0</v>
      </c>
      <c r="CC61" s="182">
        <f t="shared" si="34"/>
        <v>0</v>
      </c>
      <c r="CD61" s="182">
        <f t="shared" si="34"/>
        <v>23351.491119689115</v>
      </c>
      <c r="CE61" s="182">
        <f t="shared" si="34"/>
        <v>0</v>
      </c>
      <c r="CF61" s="182">
        <f t="shared" si="34"/>
        <v>0</v>
      </c>
      <c r="CG61" s="182">
        <f t="shared" si="34"/>
        <v>0</v>
      </c>
      <c r="CH61" s="182">
        <f t="shared" si="34"/>
        <v>0</v>
      </c>
      <c r="CI61" s="182">
        <f t="shared" si="34"/>
        <v>28069.003091096376</v>
      </c>
      <c r="CJ61" s="182">
        <f t="shared" si="34"/>
        <v>0</v>
      </c>
      <c r="CK61" s="182">
        <f t="shared" si="34"/>
        <v>0</v>
      </c>
      <c r="CL61" s="182">
        <f t="shared" si="34"/>
        <v>0</v>
      </c>
      <c r="CM61" s="182">
        <f t="shared" si="34"/>
        <v>0</v>
      </c>
      <c r="CN61" s="182">
        <f t="shared" si="34"/>
        <v>32972.145851322421</v>
      </c>
      <c r="CO61" s="182">
        <f t="shared" si="34"/>
        <v>0</v>
      </c>
      <c r="CP61" s="182">
        <f t="shared" si="34"/>
        <v>0</v>
      </c>
      <c r="CQ61" s="182">
        <f t="shared" si="34"/>
        <v>0</v>
      </c>
      <c r="CR61" s="182">
        <f t="shared" si="34"/>
        <v>0</v>
      </c>
      <c r="CS61" s="182">
        <f t="shared" si="34"/>
        <v>37765.939596569297</v>
      </c>
      <c r="CT61" s="182">
        <f t="shared" si="34"/>
        <v>0</v>
      </c>
      <c r="CU61" s="182">
        <f t="shared" si="34"/>
        <v>0</v>
      </c>
      <c r="CV61" s="182">
        <f t="shared" si="34"/>
        <v>0</v>
      </c>
      <c r="CW61" s="182">
        <f t="shared" si="34"/>
        <v>0</v>
      </c>
      <c r="CX61" s="182">
        <f t="shared" si="34"/>
        <v>42790.781420702137</v>
      </c>
      <c r="CY61" s="182">
        <f t="shared" si="34"/>
        <v>0</v>
      </c>
      <c r="CZ61" s="182">
        <f t="shared" si="34"/>
        <v>0</v>
      </c>
      <c r="DA61" s="182">
        <f t="shared" si="34"/>
        <v>0</v>
      </c>
      <c r="DB61" s="182">
        <f t="shared" si="34"/>
        <v>0</v>
      </c>
      <c r="DC61" s="182">
        <f t="shared" si="34"/>
        <v>47519.863752912854</v>
      </c>
      <c r="DD61" s="182">
        <f t="shared" si="34"/>
        <v>0</v>
      </c>
      <c r="DE61" s="182">
        <f t="shared" si="34"/>
        <v>0</v>
      </c>
      <c r="DF61" s="182">
        <f t="shared" si="34"/>
        <v>0</v>
      </c>
      <c r="DG61" s="182">
        <f t="shared" si="34"/>
        <v>0</v>
      </c>
      <c r="DH61" s="182">
        <f t="shared" si="34"/>
        <v>52237.053502937182</v>
      </c>
    </row>
    <row r="62" spans="1:112">
      <c r="A62" s="125"/>
      <c r="B62" s="176" t="s">
        <v>272</v>
      </c>
      <c r="Q62" s="305">
        <f>Q61-400</f>
        <v>410.54999999999995</v>
      </c>
      <c r="V62" s="305">
        <f>V61-400</f>
        <v>187.51099999999997</v>
      </c>
      <c r="AA62" s="305">
        <f>AA61-400</f>
        <v>683.875</v>
      </c>
      <c r="AF62" s="305">
        <f>AF61-400</f>
        <v>960.63400000000001</v>
      </c>
      <c r="AK62" s="304">
        <f>AK61-0</f>
        <v>1677.385</v>
      </c>
      <c r="AP62" s="304">
        <f>AP61-0</f>
        <v>1902.944</v>
      </c>
      <c r="AU62" s="304">
        <f>AU61-0</f>
        <v>2896.0739999999996</v>
      </c>
      <c r="AZ62" s="304">
        <f>AZ61-0</f>
        <v>4600.9427369841824</v>
      </c>
      <c r="BE62" s="304">
        <f>BE61-0</f>
        <v>6567.9936223256109</v>
      </c>
      <c r="BJ62" s="182">
        <f>BJ61-0</f>
        <v>8939.2986589205811</v>
      </c>
      <c r="BK62" s="182"/>
      <c r="BL62" s="182"/>
      <c r="BM62" s="182"/>
      <c r="BN62" s="182"/>
      <c r="BO62" s="182">
        <f t="shared" ref="BO62:DH62" si="35">BO61-0</f>
        <v>11824.817223573298</v>
      </c>
      <c r="BP62" s="182">
        <f t="shared" si="35"/>
        <v>0</v>
      </c>
      <c r="BQ62" s="182">
        <f t="shared" si="35"/>
        <v>0</v>
      </c>
      <c r="BR62" s="182">
        <f t="shared" si="35"/>
        <v>0</v>
      </c>
      <c r="BS62" s="182">
        <f t="shared" si="35"/>
        <v>0</v>
      </c>
      <c r="BT62" s="182">
        <f t="shared" si="35"/>
        <v>15243.29971126654</v>
      </c>
      <c r="BU62" s="182">
        <f t="shared" si="35"/>
        <v>0</v>
      </c>
      <c r="BV62" s="182">
        <f t="shared" si="35"/>
        <v>0</v>
      </c>
      <c r="BW62" s="182">
        <f t="shared" si="35"/>
        <v>0</v>
      </c>
      <c r="BX62" s="182">
        <f t="shared" si="35"/>
        <v>0</v>
      </c>
      <c r="BY62" s="182">
        <f t="shared" si="35"/>
        <v>19098.492426778485</v>
      </c>
      <c r="BZ62" s="182">
        <f t="shared" si="35"/>
        <v>0</v>
      </c>
      <c r="CA62" s="182">
        <f t="shared" si="35"/>
        <v>0</v>
      </c>
      <c r="CB62" s="182">
        <f t="shared" si="35"/>
        <v>0</v>
      </c>
      <c r="CC62" s="182">
        <f t="shared" si="35"/>
        <v>0</v>
      </c>
      <c r="CD62" s="182">
        <f t="shared" si="35"/>
        <v>23351.491119689115</v>
      </c>
      <c r="CE62" s="182">
        <f t="shared" si="35"/>
        <v>0</v>
      </c>
      <c r="CF62" s="182">
        <f t="shared" si="35"/>
        <v>0</v>
      </c>
      <c r="CG62" s="182">
        <f t="shared" si="35"/>
        <v>0</v>
      </c>
      <c r="CH62" s="182">
        <f t="shared" si="35"/>
        <v>0</v>
      </c>
      <c r="CI62" s="182">
        <f t="shared" si="35"/>
        <v>28069.003091096376</v>
      </c>
      <c r="CJ62" s="182">
        <f t="shared" si="35"/>
        <v>0</v>
      </c>
      <c r="CK62" s="182">
        <f t="shared" si="35"/>
        <v>0</v>
      </c>
      <c r="CL62" s="182">
        <f t="shared" si="35"/>
        <v>0</v>
      </c>
      <c r="CM62" s="182">
        <f t="shared" si="35"/>
        <v>0</v>
      </c>
      <c r="CN62" s="182">
        <f t="shared" si="35"/>
        <v>32972.145851322421</v>
      </c>
      <c r="CO62" s="182">
        <f t="shared" si="35"/>
        <v>0</v>
      </c>
      <c r="CP62" s="182">
        <f t="shared" si="35"/>
        <v>0</v>
      </c>
      <c r="CQ62" s="182">
        <f t="shared" si="35"/>
        <v>0</v>
      </c>
      <c r="CR62" s="182">
        <f t="shared" si="35"/>
        <v>0</v>
      </c>
      <c r="CS62" s="182">
        <f t="shared" si="35"/>
        <v>37765.939596569297</v>
      </c>
      <c r="CT62" s="182">
        <f t="shared" si="35"/>
        <v>0</v>
      </c>
      <c r="CU62" s="182">
        <f t="shared" si="35"/>
        <v>0</v>
      </c>
      <c r="CV62" s="182">
        <f t="shared" si="35"/>
        <v>0</v>
      </c>
      <c r="CW62" s="182">
        <f t="shared" si="35"/>
        <v>0</v>
      </c>
      <c r="CX62" s="182">
        <f t="shared" si="35"/>
        <v>42790.781420702137</v>
      </c>
      <c r="CY62" s="182">
        <f t="shared" si="35"/>
        <v>0</v>
      </c>
      <c r="CZ62" s="182">
        <f t="shared" si="35"/>
        <v>0</v>
      </c>
      <c r="DA62" s="182">
        <f t="shared" si="35"/>
        <v>0</v>
      </c>
      <c r="DB62" s="182">
        <f t="shared" si="35"/>
        <v>0</v>
      </c>
      <c r="DC62" s="182">
        <f t="shared" si="35"/>
        <v>47519.863752912854</v>
      </c>
      <c r="DD62" s="182">
        <f t="shared" si="35"/>
        <v>0</v>
      </c>
      <c r="DE62" s="182">
        <f t="shared" si="35"/>
        <v>0</v>
      </c>
      <c r="DF62" s="182">
        <f t="shared" si="35"/>
        <v>0</v>
      </c>
      <c r="DG62" s="182">
        <f t="shared" si="35"/>
        <v>0</v>
      </c>
      <c r="DH62" s="182">
        <f t="shared" si="35"/>
        <v>52237.053502937182</v>
      </c>
    </row>
    <row r="63" spans="1:112">
      <c r="A63" s="125"/>
      <c r="B63" s="176" t="s">
        <v>188</v>
      </c>
      <c r="Q63" s="278">
        <v>0.6</v>
      </c>
      <c r="V63" s="278">
        <v>0.6</v>
      </c>
      <c r="AA63" s="304">
        <f>AA61*AA65</f>
        <v>1.106915444987413</v>
      </c>
      <c r="AF63" s="304">
        <f>AF61*AF65</f>
        <v>4.0819020000000004</v>
      </c>
      <c r="AK63" s="304">
        <f>IS!AK29</f>
        <v>6.2830000000000004</v>
      </c>
      <c r="AP63" s="304">
        <f>IS!AP29</f>
        <v>6.2690000000000001</v>
      </c>
      <c r="AU63" s="304">
        <f>IS!AU29</f>
        <v>41.921999999999997</v>
      </c>
      <c r="AZ63" s="304">
        <f>AZ61*AZ65</f>
        <v>75.802642712854848</v>
      </c>
      <c r="BE63" s="304">
        <f>BE61*BE65</f>
        <v>121.34669586559819</v>
      </c>
      <c r="BJ63" s="182">
        <f>BJ61*BJ65</f>
        <v>183.03624179674875</v>
      </c>
      <c r="BK63" s="182"/>
      <c r="BL63" s="182"/>
      <c r="BM63" s="182"/>
      <c r="BN63" s="182"/>
      <c r="BO63" s="182">
        <f t="shared" ref="BO63:DH63" si="36">BO61*BO65</f>
        <v>242.11855841470106</v>
      </c>
      <c r="BP63" s="182">
        <f t="shared" si="36"/>
        <v>0</v>
      </c>
      <c r="BQ63" s="182">
        <f t="shared" si="36"/>
        <v>0</v>
      </c>
      <c r="BR63" s="182">
        <f t="shared" si="36"/>
        <v>0</v>
      </c>
      <c r="BS63" s="182">
        <f t="shared" si="36"/>
        <v>0</v>
      </c>
      <c r="BT63" s="182">
        <f t="shared" si="36"/>
        <v>312.11355590490967</v>
      </c>
      <c r="BU63" s="182">
        <f t="shared" si="36"/>
        <v>0</v>
      </c>
      <c r="BV63" s="182">
        <f t="shared" si="36"/>
        <v>0</v>
      </c>
      <c r="BW63" s="182">
        <f t="shared" si="36"/>
        <v>0</v>
      </c>
      <c r="BX63" s="182">
        <f t="shared" si="36"/>
        <v>0</v>
      </c>
      <c r="BY63" s="182">
        <f t="shared" si="36"/>
        <v>391.05039569215029</v>
      </c>
      <c r="BZ63" s="182">
        <f t="shared" si="36"/>
        <v>0</v>
      </c>
      <c r="CA63" s="182">
        <f t="shared" si="36"/>
        <v>0</v>
      </c>
      <c r="CB63" s="182">
        <f t="shared" si="36"/>
        <v>0</v>
      </c>
      <c r="CC63" s="182">
        <f t="shared" si="36"/>
        <v>0</v>
      </c>
      <c r="CD63" s="182">
        <f t="shared" si="36"/>
        <v>478.13249539803979</v>
      </c>
      <c r="CE63" s="182">
        <f t="shared" si="36"/>
        <v>0</v>
      </c>
      <c r="CF63" s="182">
        <f t="shared" si="36"/>
        <v>0</v>
      </c>
      <c r="CG63" s="182">
        <f t="shared" si="36"/>
        <v>0</v>
      </c>
      <c r="CH63" s="182">
        <f t="shared" si="36"/>
        <v>0</v>
      </c>
      <c r="CI63" s="182">
        <f t="shared" si="36"/>
        <v>574.72571762089149</v>
      </c>
      <c r="CJ63" s="182">
        <f t="shared" si="36"/>
        <v>0</v>
      </c>
      <c r="CK63" s="182">
        <f t="shared" si="36"/>
        <v>0</v>
      </c>
      <c r="CL63" s="182">
        <f t="shared" si="36"/>
        <v>0</v>
      </c>
      <c r="CM63" s="182">
        <f t="shared" si="36"/>
        <v>0</v>
      </c>
      <c r="CN63" s="182">
        <f t="shared" si="36"/>
        <v>675.11981542062654</v>
      </c>
      <c r="CO63" s="182">
        <f t="shared" si="36"/>
        <v>0</v>
      </c>
      <c r="CP63" s="182">
        <f t="shared" si="36"/>
        <v>0</v>
      </c>
      <c r="CQ63" s="182">
        <f t="shared" si="36"/>
        <v>0</v>
      </c>
      <c r="CR63" s="182">
        <f t="shared" si="36"/>
        <v>0</v>
      </c>
      <c r="CS63" s="182">
        <f t="shared" si="36"/>
        <v>773.27494196437931</v>
      </c>
      <c r="CT63" s="182">
        <f t="shared" si="36"/>
        <v>0</v>
      </c>
      <c r="CU63" s="182">
        <f t="shared" si="36"/>
        <v>0</v>
      </c>
      <c r="CV63" s="182">
        <f t="shared" si="36"/>
        <v>0</v>
      </c>
      <c r="CW63" s="182">
        <f t="shared" si="36"/>
        <v>0</v>
      </c>
      <c r="CX63" s="182">
        <f t="shared" si="36"/>
        <v>876.16088393865175</v>
      </c>
      <c r="CY63" s="182">
        <f t="shared" si="36"/>
        <v>0</v>
      </c>
      <c r="CZ63" s="182">
        <f t="shared" si="36"/>
        <v>0</v>
      </c>
      <c r="DA63" s="182">
        <f t="shared" si="36"/>
        <v>0</v>
      </c>
      <c r="DB63" s="182">
        <f t="shared" si="36"/>
        <v>0</v>
      </c>
      <c r="DC63" s="182">
        <f t="shared" si="36"/>
        <v>972.9910146079601</v>
      </c>
      <c r="DD63" s="182">
        <f t="shared" si="36"/>
        <v>0</v>
      </c>
      <c r="DE63" s="182">
        <f t="shared" si="36"/>
        <v>0</v>
      </c>
      <c r="DF63" s="182">
        <f t="shared" si="36"/>
        <v>0</v>
      </c>
      <c r="DG63" s="182">
        <f t="shared" si="36"/>
        <v>0</v>
      </c>
      <c r="DH63" s="182">
        <f t="shared" si="36"/>
        <v>1174.0517462060211</v>
      </c>
    </row>
    <row r="64" spans="1:112">
      <c r="A64" s="125"/>
      <c r="B64" s="176"/>
      <c r="Q64" s="278"/>
      <c r="V64" s="278"/>
      <c r="AA64" s="278">
        <v>1</v>
      </c>
      <c r="AF64" s="278">
        <v>6.3</v>
      </c>
      <c r="AK64" s="278">
        <v>8</v>
      </c>
      <c r="AP64" s="278">
        <v>12.5</v>
      </c>
      <c r="AU64" s="278">
        <v>40</v>
      </c>
      <c r="AZ64" s="278">
        <v>75</v>
      </c>
      <c r="BE64" s="278">
        <v>120</v>
      </c>
      <c r="BJ64" s="287">
        <v>180</v>
      </c>
      <c r="BK64" s="287"/>
      <c r="BL64" s="287"/>
      <c r="BM64" s="287"/>
      <c r="BN64" s="287"/>
      <c r="BO64" s="287">
        <v>250</v>
      </c>
      <c r="BP64" s="287"/>
      <c r="BQ64" s="287"/>
      <c r="BR64" s="287"/>
      <c r="BS64" s="287"/>
      <c r="BT64" s="287">
        <v>315</v>
      </c>
      <c r="BU64" s="287"/>
      <c r="BV64" s="287"/>
      <c r="BW64" s="287"/>
      <c r="BX64" s="287"/>
      <c r="BY64" s="287">
        <v>400</v>
      </c>
      <c r="BZ64" s="287"/>
      <c r="CA64" s="287"/>
      <c r="CB64" s="287"/>
      <c r="CC64" s="287"/>
      <c r="CD64" s="287">
        <v>500</v>
      </c>
      <c r="CE64" s="287"/>
      <c r="CF64" s="287"/>
      <c r="CG64" s="287"/>
      <c r="CH64" s="287"/>
      <c r="CI64" s="287">
        <v>600</v>
      </c>
      <c r="CJ64" s="287"/>
      <c r="CK64" s="287"/>
      <c r="CL64" s="287"/>
      <c r="CM64" s="287"/>
      <c r="CN64" s="287">
        <v>700</v>
      </c>
      <c r="CO64" s="287"/>
      <c r="CP64" s="287"/>
      <c r="CQ64" s="287"/>
      <c r="CR64" s="287"/>
      <c r="CS64" s="287">
        <v>800</v>
      </c>
      <c r="CT64" s="287">
        <f t="shared" ref="CT64:DG64" si="37">CO64</f>
        <v>0</v>
      </c>
      <c r="CU64" s="287">
        <f t="shared" si="37"/>
        <v>0</v>
      </c>
      <c r="CV64" s="287">
        <f t="shared" si="37"/>
        <v>0</v>
      </c>
      <c r="CW64" s="287">
        <f t="shared" si="37"/>
        <v>0</v>
      </c>
      <c r="CX64" s="287">
        <v>950</v>
      </c>
      <c r="CY64" s="287">
        <f t="shared" si="37"/>
        <v>0</v>
      </c>
      <c r="CZ64" s="287">
        <f t="shared" si="37"/>
        <v>0</v>
      </c>
      <c r="DA64" s="287">
        <f t="shared" si="37"/>
        <v>0</v>
      </c>
      <c r="DB64" s="287">
        <f t="shared" si="37"/>
        <v>0</v>
      </c>
      <c r="DC64" s="287">
        <v>1000</v>
      </c>
      <c r="DD64" s="287">
        <f t="shared" si="37"/>
        <v>0</v>
      </c>
      <c r="DE64" s="287">
        <f t="shared" si="37"/>
        <v>0</v>
      </c>
      <c r="DF64" s="287">
        <f t="shared" si="37"/>
        <v>0</v>
      </c>
      <c r="DG64" s="287">
        <f t="shared" si="37"/>
        <v>0</v>
      </c>
      <c r="DH64" s="287">
        <v>1200</v>
      </c>
    </row>
    <row r="65" spans="1:112">
      <c r="A65" s="125"/>
      <c r="Q65" s="304"/>
      <c r="V65" s="320">
        <f>V63/V61</f>
        <v>1.0212574743281402E-3</v>
      </c>
      <c r="AA65" s="320">
        <f>V65</f>
        <v>1.0212574743281402E-3</v>
      </c>
      <c r="AF65" s="320">
        <v>3.0000000000000001E-3</v>
      </c>
      <c r="AK65" s="320">
        <f>AK63/AK62</f>
        <v>3.7457113304339793E-3</v>
      </c>
      <c r="AL65" s="320">
        <f t="shared" ref="AL65:AO65" si="38">AG65</f>
        <v>0</v>
      </c>
      <c r="AM65" s="320">
        <f t="shared" si="38"/>
        <v>0</v>
      </c>
      <c r="AN65" s="320">
        <f t="shared" si="38"/>
        <v>0</v>
      </c>
      <c r="AO65" s="320">
        <f t="shared" si="38"/>
        <v>0</v>
      </c>
      <c r="AP65" s="320">
        <f>AP63/AP62</f>
        <v>3.2943691459128592E-3</v>
      </c>
      <c r="AU65" s="320">
        <f>AU63/AU62</f>
        <v>1.4475458845319561E-2</v>
      </c>
      <c r="AZ65" s="320">
        <f>AU65+0.2%</f>
        <v>1.6475458845319563E-2</v>
      </c>
      <c r="BA65" s="238"/>
      <c r="BB65" s="238"/>
      <c r="BC65" s="238"/>
      <c r="BD65" s="238"/>
      <c r="BE65" s="320">
        <f>AZ65+0.2%</f>
        <v>1.8475458845319565E-2</v>
      </c>
      <c r="BF65" s="238"/>
      <c r="BG65" s="238"/>
      <c r="BH65" s="238"/>
      <c r="BI65" s="238"/>
      <c r="BJ65" s="185">
        <f>BE65+0.2%</f>
        <v>2.0475458845319566E-2</v>
      </c>
      <c r="BK65" s="185"/>
      <c r="BL65" s="185"/>
      <c r="BM65" s="185"/>
      <c r="BN65" s="185"/>
      <c r="BO65" s="185">
        <f>BJ65</f>
        <v>2.0475458845319566E-2</v>
      </c>
      <c r="BP65" s="185">
        <f t="shared" ref="BP65:CC65" si="39">BK65+0.2%</f>
        <v>2E-3</v>
      </c>
      <c r="BQ65" s="185">
        <f t="shared" si="39"/>
        <v>2E-3</v>
      </c>
      <c r="BR65" s="185">
        <f t="shared" si="39"/>
        <v>2E-3</v>
      </c>
      <c r="BS65" s="185">
        <f t="shared" si="39"/>
        <v>2E-3</v>
      </c>
      <c r="BT65" s="185">
        <f>BO65</f>
        <v>2.0475458845319566E-2</v>
      </c>
      <c r="BU65" s="185">
        <f t="shared" si="39"/>
        <v>4.0000000000000001E-3</v>
      </c>
      <c r="BV65" s="185">
        <f t="shared" si="39"/>
        <v>4.0000000000000001E-3</v>
      </c>
      <c r="BW65" s="185">
        <f t="shared" si="39"/>
        <v>4.0000000000000001E-3</v>
      </c>
      <c r="BX65" s="185">
        <f t="shared" si="39"/>
        <v>4.0000000000000001E-3</v>
      </c>
      <c r="BY65" s="185">
        <f>BT65</f>
        <v>2.0475458845319566E-2</v>
      </c>
      <c r="BZ65" s="185">
        <f t="shared" si="39"/>
        <v>6.0000000000000001E-3</v>
      </c>
      <c r="CA65" s="185">
        <f t="shared" si="39"/>
        <v>6.0000000000000001E-3</v>
      </c>
      <c r="CB65" s="185">
        <f t="shared" si="39"/>
        <v>6.0000000000000001E-3</v>
      </c>
      <c r="CC65" s="185">
        <f t="shared" si="39"/>
        <v>6.0000000000000001E-3</v>
      </c>
      <c r="CD65" s="185">
        <f>BY65</f>
        <v>2.0475458845319566E-2</v>
      </c>
      <c r="CE65" s="185"/>
      <c r="CF65" s="185"/>
      <c r="CG65" s="185"/>
      <c r="CH65" s="185"/>
      <c r="CI65" s="185">
        <f>CD65</f>
        <v>2.0475458845319566E-2</v>
      </c>
      <c r="CJ65" s="185">
        <f t="shared" ref="CJ65" si="40">CE65+0.2%</f>
        <v>2E-3</v>
      </c>
      <c r="CK65" s="185">
        <f t="shared" ref="CK65" si="41">CF65+0.2%</f>
        <v>2E-3</v>
      </c>
      <c r="CL65" s="185">
        <f t="shared" ref="CL65" si="42">CG65+0.2%</f>
        <v>2E-3</v>
      </c>
      <c r="CM65" s="185">
        <f t="shared" ref="CM65" si="43">CH65+0.2%</f>
        <v>2E-3</v>
      </c>
      <c r="CN65" s="185">
        <f>CI65</f>
        <v>2.0475458845319566E-2</v>
      </c>
      <c r="CO65" s="185">
        <f t="shared" ref="CO65" si="44">CJ65+0.2%</f>
        <v>4.0000000000000001E-3</v>
      </c>
      <c r="CP65" s="185">
        <f t="shared" ref="CP65" si="45">CK65+0.2%</f>
        <v>4.0000000000000001E-3</v>
      </c>
      <c r="CQ65" s="185">
        <f t="shared" ref="CQ65" si="46">CL65+0.2%</f>
        <v>4.0000000000000001E-3</v>
      </c>
      <c r="CR65" s="185">
        <f t="shared" ref="CR65" si="47">CM65+0.2%</f>
        <v>4.0000000000000001E-3</v>
      </c>
      <c r="CS65" s="185">
        <f>CN65</f>
        <v>2.0475458845319566E-2</v>
      </c>
      <c r="CT65" s="185">
        <f t="shared" ref="CT65" si="48">CO65+0.2%</f>
        <v>6.0000000000000001E-3</v>
      </c>
      <c r="CU65" s="185">
        <f t="shared" ref="CU65" si="49">CP65+0.2%</f>
        <v>6.0000000000000001E-3</v>
      </c>
      <c r="CV65" s="185">
        <f t="shared" ref="CV65" si="50">CQ65+0.2%</f>
        <v>6.0000000000000001E-3</v>
      </c>
      <c r="CW65" s="185">
        <f t="shared" ref="CW65" si="51">CR65+0.2%</f>
        <v>6.0000000000000001E-3</v>
      </c>
      <c r="CX65" s="185">
        <f>CS65</f>
        <v>2.0475458845319566E-2</v>
      </c>
      <c r="CY65" s="185">
        <f t="shared" ref="CY65" si="52">CT65+0.2%</f>
        <v>8.0000000000000002E-3</v>
      </c>
      <c r="CZ65" s="185">
        <f t="shared" ref="CZ65" si="53">CU65+0.2%</f>
        <v>8.0000000000000002E-3</v>
      </c>
      <c r="DA65" s="185">
        <f t="shared" ref="DA65" si="54">CV65+0.2%</f>
        <v>8.0000000000000002E-3</v>
      </c>
      <c r="DB65" s="185">
        <f t="shared" ref="DB65" si="55">CW65+0.2%</f>
        <v>8.0000000000000002E-3</v>
      </c>
      <c r="DC65" s="185">
        <f>CX65</f>
        <v>2.0475458845319566E-2</v>
      </c>
      <c r="DD65" s="185">
        <f t="shared" ref="DD65" si="56">CY65+0.2%</f>
        <v>0.01</v>
      </c>
      <c r="DE65" s="185">
        <f t="shared" ref="DE65" si="57">CZ65+0.2%</f>
        <v>0.01</v>
      </c>
      <c r="DF65" s="185">
        <f t="shared" ref="DF65" si="58">DA65+0.2%</f>
        <v>0.01</v>
      </c>
      <c r="DG65" s="185">
        <f t="shared" ref="DG65" si="59">DB65+0.2%</f>
        <v>0.01</v>
      </c>
      <c r="DH65" s="185">
        <f t="shared" ref="DH65" si="60">DC65+0.2%</f>
        <v>2.2475458845319568E-2</v>
      </c>
    </row>
    <row r="66" spans="1:112">
      <c r="A66" s="125"/>
      <c r="B66" s="125" t="s">
        <v>50</v>
      </c>
    </row>
    <row r="67" spans="1:112">
      <c r="A67" s="125"/>
      <c r="B67" s="125" t="s">
        <v>52</v>
      </c>
    </row>
    <row r="68" spans="1:112">
      <c r="A68" s="125"/>
      <c r="B68" s="125" t="s">
        <v>53</v>
      </c>
      <c r="G68" s="125"/>
      <c r="L68" s="125"/>
      <c r="Q68" s="125"/>
      <c r="V68" s="125"/>
      <c r="AA68" s="125"/>
      <c r="AF68" s="125"/>
      <c r="AK68" s="125"/>
      <c r="AP68" s="125"/>
      <c r="AU68" s="125"/>
      <c r="AZ68" s="125"/>
      <c r="BE68" s="125"/>
    </row>
    <row r="69" spans="1:112">
      <c r="A69" s="125"/>
      <c r="G69" s="125"/>
      <c r="L69" s="125"/>
      <c r="Q69" s="125"/>
      <c r="V69" s="125"/>
      <c r="AA69" s="125"/>
      <c r="AF69" s="125"/>
      <c r="AK69" s="125"/>
      <c r="AP69" s="125"/>
      <c r="AU69" s="125"/>
      <c r="AZ69" s="125"/>
      <c r="BE69" s="125"/>
    </row>
    <row r="70" spans="1:112">
      <c r="A70" s="125"/>
      <c r="B70" s="132" t="s">
        <v>55</v>
      </c>
      <c r="G70" s="125"/>
      <c r="L70" s="125"/>
      <c r="Q70" s="125"/>
      <c r="V70" s="125"/>
      <c r="AA70" s="125"/>
      <c r="AF70" s="125"/>
      <c r="AK70" s="125"/>
      <c r="AP70" s="125"/>
      <c r="AU70" s="125"/>
      <c r="AZ70" s="125"/>
      <c r="BE70" s="125"/>
    </row>
    <row r="71" spans="1:112">
      <c r="A71" s="125"/>
      <c r="B71" s="125" t="s">
        <v>56</v>
      </c>
      <c r="G71" s="125"/>
      <c r="L71" s="125"/>
      <c r="Q71" s="125"/>
      <c r="V71" s="125"/>
      <c r="AA71" s="125"/>
      <c r="AF71" s="125"/>
      <c r="AK71" s="125"/>
      <c r="AP71" s="125"/>
      <c r="AU71" s="125"/>
      <c r="AZ71" s="125"/>
      <c r="BE71" s="125"/>
    </row>
    <row r="72" spans="1:112">
      <c r="A72" s="125"/>
      <c r="B72" s="125" t="s">
        <v>57</v>
      </c>
      <c r="G72" s="125"/>
      <c r="L72" s="125"/>
      <c r="Q72" s="125"/>
      <c r="V72" s="125"/>
      <c r="AA72" s="125"/>
      <c r="AF72" s="125"/>
      <c r="AK72" s="125"/>
      <c r="AP72" s="125"/>
      <c r="AU72" s="125"/>
      <c r="AZ72" s="125"/>
      <c r="BE72" s="125"/>
    </row>
    <row r="73" spans="1:112">
      <c r="A73" s="125"/>
      <c r="B73" s="125" t="s">
        <v>58</v>
      </c>
      <c r="G73" s="125"/>
      <c r="L73" s="125"/>
      <c r="Q73" s="125"/>
      <c r="V73" s="125"/>
      <c r="AA73" s="125"/>
      <c r="AF73" s="125"/>
      <c r="AK73" s="125"/>
      <c r="AP73" s="125"/>
      <c r="AU73" s="125"/>
      <c r="AZ73" s="125"/>
      <c r="BE73" s="125"/>
    </row>
    <row r="74" spans="1:112">
      <c r="A74" s="125"/>
      <c r="B74" s="125" t="s">
        <v>59</v>
      </c>
      <c r="G74" s="125"/>
      <c r="L74" s="125"/>
      <c r="Q74" s="125"/>
      <c r="V74" s="125"/>
      <c r="AA74" s="125"/>
      <c r="AF74" s="125"/>
      <c r="AK74" s="125"/>
      <c r="AP74" s="125"/>
      <c r="AU74" s="125"/>
      <c r="AZ74" s="125"/>
      <c r="BE74" s="125"/>
    </row>
    <row r="75" spans="1:112">
      <c r="A75" s="125"/>
      <c r="G75" s="125"/>
      <c r="L75" s="125"/>
      <c r="Q75" s="125"/>
      <c r="V75" s="125"/>
      <c r="AA75" s="125"/>
      <c r="AF75" s="125"/>
      <c r="AK75" s="125"/>
      <c r="AP75" s="125"/>
      <c r="AU75" s="125"/>
      <c r="AZ75" s="125"/>
      <c r="BE75" s="125"/>
    </row>
    <row r="76" spans="1:112">
      <c r="A76" s="125"/>
      <c r="B76" s="132" t="s">
        <v>60</v>
      </c>
      <c r="G76" s="125"/>
      <c r="L76" s="125"/>
      <c r="Q76" s="125"/>
      <c r="V76" s="125"/>
      <c r="AA76" s="125"/>
      <c r="AF76" s="125"/>
      <c r="AK76" s="125"/>
      <c r="AP76" s="125"/>
      <c r="AU76" s="125"/>
      <c r="AZ76" s="125"/>
      <c r="BE76" s="125"/>
    </row>
    <row r="77" spans="1:112">
      <c r="A77" s="125"/>
      <c r="B77" s="125" t="s">
        <v>42</v>
      </c>
      <c r="G77" s="125"/>
      <c r="L77" s="125"/>
      <c r="Q77" s="125"/>
      <c r="V77" s="125"/>
      <c r="AA77" s="125"/>
      <c r="AF77" s="125"/>
      <c r="AK77" s="125"/>
      <c r="AP77" s="125"/>
      <c r="AU77" s="125"/>
      <c r="AZ77" s="125"/>
      <c r="BE77" s="125"/>
    </row>
    <row r="78" spans="1:112">
      <c r="A78" s="125"/>
      <c r="B78" s="125" t="s">
        <v>43</v>
      </c>
      <c r="G78" s="125"/>
      <c r="L78" s="125"/>
      <c r="Q78" s="125"/>
      <c r="V78" s="125"/>
      <c r="AA78" s="125"/>
      <c r="AF78" s="125"/>
      <c r="AK78" s="125"/>
      <c r="AP78" s="125"/>
      <c r="AU78" s="125"/>
      <c r="AZ78" s="125"/>
      <c r="BE78" s="125"/>
    </row>
    <row r="79" spans="1:112">
      <c r="A79" s="125"/>
      <c r="B79" s="125" t="s">
        <v>45</v>
      </c>
      <c r="G79" s="125"/>
      <c r="L79" s="125"/>
      <c r="Q79" s="125"/>
      <c r="V79" s="125"/>
      <c r="AA79" s="125"/>
      <c r="AF79" s="125"/>
      <c r="AK79" s="125"/>
      <c r="AP79" s="125"/>
      <c r="AU79" s="125"/>
      <c r="AZ79" s="125"/>
      <c r="BE79" s="125"/>
    </row>
    <row r="80" spans="1:112">
      <c r="A80" s="125"/>
      <c r="B80" s="125" t="s">
        <v>61</v>
      </c>
      <c r="G80" s="125"/>
      <c r="L80" s="125"/>
      <c r="Q80" s="125"/>
      <c r="V80" s="125"/>
      <c r="AA80" s="125"/>
      <c r="AF80" s="125"/>
      <c r="AK80" s="125"/>
      <c r="AP80" s="125"/>
      <c r="AU80" s="125"/>
      <c r="AZ80" s="125"/>
      <c r="BE80" s="125"/>
    </row>
    <row r="81" spans="1:57">
      <c r="A81" s="125"/>
      <c r="B81" s="125" t="s">
        <v>54</v>
      </c>
      <c r="G81" s="125"/>
      <c r="L81" s="125"/>
      <c r="Q81" s="125"/>
      <c r="V81" s="125"/>
      <c r="AA81" s="125"/>
      <c r="AF81" s="125"/>
      <c r="AK81" s="125"/>
      <c r="AP81" s="125"/>
      <c r="AU81" s="125"/>
      <c r="AZ81" s="125"/>
      <c r="BE81" s="125"/>
    </row>
    <row r="82" spans="1:57">
      <c r="A82" s="125"/>
      <c r="G82" s="125"/>
      <c r="L82" s="125"/>
      <c r="Q82" s="125"/>
      <c r="V82" s="125"/>
      <c r="AA82" s="125"/>
      <c r="AF82" s="125"/>
      <c r="AK82" s="125"/>
      <c r="AP82" s="125"/>
      <c r="AU82" s="125"/>
      <c r="AZ82" s="125"/>
      <c r="BE82" s="125"/>
    </row>
    <row r="83" spans="1:57">
      <c r="A83" s="125"/>
      <c r="B83" s="132" t="s">
        <v>62</v>
      </c>
      <c r="G83" s="125"/>
      <c r="L83" s="125"/>
      <c r="Q83" s="125"/>
      <c r="V83" s="125"/>
      <c r="AA83" s="125"/>
      <c r="AF83" s="125"/>
      <c r="AK83" s="125"/>
      <c r="AP83" s="125"/>
      <c r="AU83" s="125"/>
      <c r="AZ83" s="125"/>
      <c r="BE83" s="125"/>
    </row>
    <row r="84" spans="1:57">
      <c r="A84" s="125"/>
      <c r="B84" s="125" t="s">
        <v>63</v>
      </c>
      <c r="G84" s="125"/>
      <c r="L84" s="125"/>
      <c r="Q84" s="125"/>
      <c r="V84" s="125"/>
      <c r="AA84" s="125"/>
      <c r="AF84" s="125"/>
      <c r="AK84" s="125"/>
      <c r="AP84" s="125"/>
      <c r="AU84" s="125"/>
      <c r="AZ84" s="125"/>
      <c r="BE84" s="125"/>
    </row>
    <row r="85" spans="1:57">
      <c r="A85" s="125"/>
      <c r="B85" s="125" t="s">
        <v>64</v>
      </c>
      <c r="G85" s="125"/>
      <c r="L85" s="125"/>
      <c r="Q85" s="125"/>
      <c r="V85" s="125"/>
      <c r="AA85" s="125"/>
      <c r="AF85" s="125"/>
      <c r="AK85" s="125"/>
      <c r="AP85" s="125"/>
      <c r="AU85" s="125"/>
      <c r="AZ85" s="125"/>
      <c r="BE85" s="125"/>
    </row>
    <row r="86" spans="1:57">
      <c r="A86" s="125"/>
      <c r="B86" s="125" t="s">
        <v>65</v>
      </c>
      <c r="G86" s="125"/>
      <c r="L86" s="125"/>
      <c r="Q86" s="125"/>
      <c r="V86" s="125"/>
      <c r="AA86" s="125"/>
      <c r="AF86" s="125"/>
      <c r="AK86" s="125"/>
      <c r="AP86" s="125"/>
      <c r="AU86" s="125"/>
      <c r="AZ86" s="125"/>
      <c r="BE86" s="125"/>
    </row>
    <row r="87" spans="1:57">
      <c r="A87" s="125"/>
      <c r="B87" s="125" t="s">
        <v>66</v>
      </c>
      <c r="G87" s="125"/>
      <c r="L87" s="125"/>
      <c r="Q87" s="125"/>
      <c r="V87" s="125"/>
      <c r="AA87" s="125"/>
      <c r="AF87" s="125"/>
      <c r="AK87" s="125"/>
      <c r="AP87" s="125"/>
      <c r="AU87" s="125"/>
      <c r="AZ87" s="125"/>
      <c r="BE87" s="125"/>
    </row>
    <row r="88" spans="1:57">
      <c r="A88" s="125"/>
      <c r="G88" s="125"/>
      <c r="L88" s="125"/>
      <c r="Q88" s="125"/>
      <c r="V88" s="125"/>
      <c r="AA88" s="125"/>
      <c r="AF88" s="125"/>
      <c r="AK88" s="125"/>
      <c r="AP88" s="125"/>
      <c r="AU88" s="125"/>
      <c r="AZ88" s="125"/>
      <c r="BE88" s="125"/>
    </row>
    <row r="89" spans="1:57">
      <c r="A89" s="125"/>
      <c r="B89" s="132" t="s">
        <v>67</v>
      </c>
      <c r="G89" s="125"/>
      <c r="L89" s="125"/>
      <c r="Q89" s="125"/>
      <c r="V89" s="125"/>
      <c r="AA89" s="125"/>
      <c r="AF89" s="125"/>
      <c r="AK89" s="125"/>
      <c r="AP89" s="125"/>
      <c r="AU89" s="125"/>
      <c r="AZ89" s="125"/>
      <c r="BE89" s="125"/>
    </row>
    <row r="90" spans="1:57">
      <c r="A90" s="125"/>
      <c r="B90" s="125" t="s">
        <v>68</v>
      </c>
      <c r="G90" s="125"/>
      <c r="L90" s="125"/>
      <c r="Q90" s="125"/>
      <c r="V90" s="125"/>
      <c r="AA90" s="125"/>
      <c r="AF90" s="125"/>
      <c r="AK90" s="125"/>
      <c r="AP90" s="125"/>
      <c r="AU90" s="125"/>
      <c r="AZ90" s="125"/>
      <c r="BE90" s="125"/>
    </row>
    <row r="91" spans="1:57">
      <c r="A91" s="125"/>
      <c r="B91" s="125" t="s">
        <v>69</v>
      </c>
      <c r="G91" s="125"/>
      <c r="L91" s="125"/>
      <c r="Q91" s="125"/>
      <c r="V91" s="125"/>
      <c r="AA91" s="125"/>
      <c r="AF91" s="125"/>
      <c r="AK91" s="125"/>
      <c r="AP91" s="125"/>
      <c r="AU91" s="125"/>
      <c r="AZ91" s="125"/>
      <c r="BE91" s="125"/>
    </row>
    <row r="92" spans="1:57">
      <c r="A92" s="125"/>
      <c r="B92" s="125" t="s">
        <v>70</v>
      </c>
      <c r="G92" s="125"/>
      <c r="L92" s="125"/>
      <c r="Q92" s="125"/>
      <c r="V92" s="125"/>
      <c r="AA92" s="125"/>
      <c r="AF92" s="125"/>
      <c r="AK92" s="125"/>
      <c r="AP92" s="125"/>
      <c r="AU92" s="125"/>
      <c r="AZ92" s="125"/>
      <c r="BE92" s="125"/>
    </row>
    <row r="93" spans="1:57">
      <c r="A93" s="125"/>
      <c r="B93" s="125" t="s">
        <v>71</v>
      </c>
      <c r="G93" s="125"/>
      <c r="L93" s="125"/>
      <c r="Q93" s="125"/>
      <c r="V93" s="125"/>
      <c r="AA93" s="125"/>
      <c r="AF93" s="125"/>
      <c r="AK93" s="125"/>
      <c r="AP93" s="125"/>
      <c r="AU93" s="125"/>
      <c r="AZ93" s="125"/>
      <c r="BE93" s="125"/>
    </row>
    <row r="94" spans="1:57">
      <c r="A94" s="125"/>
      <c r="B94" s="125" t="s">
        <v>72</v>
      </c>
      <c r="G94" s="125"/>
      <c r="L94" s="125"/>
      <c r="Q94" s="125"/>
      <c r="V94" s="125"/>
      <c r="AA94" s="125"/>
      <c r="AF94" s="125"/>
      <c r="AK94" s="125"/>
      <c r="AP94" s="125"/>
      <c r="AU94" s="125"/>
      <c r="AZ94" s="125"/>
      <c r="BE94" s="125"/>
    </row>
    <row r="95" spans="1:57">
      <c r="A95" s="125"/>
      <c r="B95" s="125" t="s">
        <v>73</v>
      </c>
      <c r="G95" s="125"/>
      <c r="L95" s="125"/>
      <c r="Q95" s="125"/>
      <c r="V95" s="125"/>
      <c r="AA95" s="125"/>
      <c r="AF95" s="125"/>
      <c r="AK95" s="125"/>
      <c r="AP95" s="125"/>
      <c r="AU95" s="125"/>
      <c r="AZ95" s="125"/>
      <c r="BE95" s="125"/>
    </row>
    <row r="96" spans="1:57">
      <c r="A96" s="125"/>
      <c r="G96" s="125"/>
      <c r="L96" s="125"/>
      <c r="Q96" s="125"/>
      <c r="V96" s="125"/>
      <c r="AA96" s="125"/>
      <c r="AF96" s="125"/>
      <c r="AK96" s="125"/>
      <c r="AP96" s="125"/>
      <c r="AU96" s="125"/>
      <c r="AZ96" s="125"/>
      <c r="BE96" s="125"/>
    </row>
    <row r="97" spans="1:57">
      <c r="A97" s="125"/>
      <c r="G97" s="125"/>
      <c r="L97" s="125"/>
      <c r="Q97" s="125"/>
      <c r="V97" s="125"/>
      <c r="AA97" s="125"/>
      <c r="AF97" s="125"/>
      <c r="AK97" s="125"/>
      <c r="AP97" s="125"/>
      <c r="AU97" s="125"/>
      <c r="AZ97" s="125"/>
      <c r="BE97" s="125"/>
    </row>
    <row r="98" spans="1:57">
      <c r="A98" s="125"/>
      <c r="G98" s="125"/>
      <c r="L98" s="125"/>
      <c r="Q98" s="125"/>
      <c r="V98" s="125"/>
      <c r="AA98" s="125"/>
      <c r="AF98" s="125"/>
      <c r="AK98" s="125"/>
      <c r="AP98" s="125"/>
      <c r="AU98" s="125"/>
      <c r="AZ98" s="125"/>
      <c r="BE98" s="125"/>
    </row>
    <row r="99" spans="1:57">
      <c r="A99" s="125"/>
      <c r="G99" s="125"/>
      <c r="L99" s="125"/>
      <c r="Q99" s="125"/>
      <c r="V99" s="125"/>
      <c r="AA99" s="125"/>
      <c r="AF99" s="125"/>
      <c r="AK99" s="125"/>
      <c r="AP99" s="125"/>
      <c r="AU99" s="125"/>
      <c r="AZ99" s="125"/>
      <c r="BE99" s="125"/>
    </row>
    <row r="100" spans="1:57">
      <c r="A100" s="125"/>
      <c r="G100" s="125"/>
      <c r="L100" s="125"/>
      <c r="Q100" s="125"/>
      <c r="V100" s="125"/>
      <c r="AA100" s="125"/>
      <c r="AF100" s="125"/>
      <c r="AK100" s="125"/>
      <c r="AP100" s="125"/>
      <c r="AU100" s="125"/>
      <c r="AZ100" s="125"/>
      <c r="BE100" s="125"/>
    </row>
    <row r="101" spans="1:57">
      <c r="A101" s="125"/>
      <c r="G101" s="125"/>
      <c r="L101" s="125"/>
      <c r="Q101" s="125"/>
      <c r="V101" s="125"/>
      <c r="AA101" s="125"/>
      <c r="AF101" s="125"/>
      <c r="AK101" s="125"/>
      <c r="AP101" s="125"/>
      <c r="AU101" s="125"/>
      <c r="AZ101" s="125"/>
      <c r="BE101" s="125"/>
    </row>
    <row r="102" spans="1:57" customFormat="1"/>
    <row r="103" spans="1:57">
      <c r="A103" s="125"/>
      <c r="G103" s="125"/>
      <c r="L103" s="125"/>
      <c r="Q103" s="125"/>
      <c r="V103" s="125"/>
      <c r="AA103" s="125"/>
      <c r="AF103" s="125"/>
      <c r="AK103" s="125"/>
      <c r="AP103" s="125"/>
      <c r="AU103" s="125"/>
      <c r="AZ103" s="125"/>
      <c r="BE103" s="125"/>
    </row>
    <row r="104" spans="1:57">
      <c r="A104" s="125"/>
      <c r="G104" s="125"/>
      <c r="L104" s="125"/>
      <c r="Q104" s="125"/>
      <c r="V104" s="125"/>
      <c r="AA104" s="125"/>
      <c r="AF104" s="125"/>
      <c r="AK104" s="125"/>
      <c r="AP104" s="125"/>
      <c r="AU104" s="125"/>
      <c r="AZ104" s="125"/>
      <c r="BE104" s="125"/>
    </row>
    <row r="105" spans="1:57">
      <c r="A105" s="125"/>
      <c r="G105" s="125"/>
      <c r="L105" s="125"/>
      <c r="Q105" s="125"/>
      <c r="V105" s="125"/>
      <c r="AA105" s="125"/>
      <c r="AF105" s="125"/>
      <c r="AK105" s="125"/>
      <c r="AP105" s="125"/>
      <c r="AU105" s="125"/>
      <c r="AZ105" s="125"/>
      <c r="BE105" s="125"/>
    </row>
    <row r="106" spans="1:57">
      <c r="A106" s="125"/>
      <c r="G106" s="125"/>
      <c r="L106" s="125"/>
      <c r="Q106" s="125"/>
      <c r="V106" s="125"/>
      <c r="AA106" s="125"/>
      <c r="AF106" s="125"/>
      <c r="AK106" s="125"/>
      <c r="AP106" s="125"/>
      <c r="AU106" s="125"/>
      <c r="AZ106" s="125"/>
      <c r="BE106" s="125"/>
    </row>
    <row r="107" spans="1:57">
      <c r="A107" s="125"/>
      <c r="G107" s="125"/>
      <c r="L107" s="125"/>
      <c r="Q107" s="125"/>
      <c r="V107" s="125"/>
      <c r="AA107" s="125"/>
      <c r="AF107" s="125"/>
      <c r="AK107" s="125"/>
      <c r="AP107" s="125"/>
      <c r="AU107" s="125"/>
      <c r="AZ107" s="125"/>
      <c r="BE107" s="125"/>
    </row>
    <row r="108" spans="1:57">
      <c r="A108" s="125"/>
      <c r="G108" s="125"/>
      <c r="L108" s="125"/>
      <c r="Q108" s="125"/>
      <c r="V108" s="125"/>
      <c r="AA108" s="125"/>
      <c r="AF108" s="125"/>
      <c r="AK108" s="125"/>
      <c r="AP108" s="125"/>
      <c r="AU108" s="125"/>
      <c r="AZ108" s="125"/>
      <c r="BE108" s="125"/>
    </row>
    <row r="109" spans="1:57">
      <c r="A109" s="125"/>
      <c r="G109" s="125"/>
      <c r="L109" s="125"/>
      <c r="Q109" s="125"/>
      <c r="V109" s="125"/>
      <c r="AA109" s="125"/>
      <c r="AF109" s="125"/>
      <c r="AK109" s="125"/>
      <c r="AP109" s="125"/>
      <c r="AU109" s="125"/>
      <c r="AZ109" s="125"/>
      <c r="BE109" s="125"/>
    </row>
    <row r="110" spans="1:57">
      <c r="A110" s="125"/>
      <c r="G110" s="125"/>
      <c r="L110" s="125"/>
      <c r="Q110" s="125"/>
      <c r="V110" s="125"/>
      <c r="AA110" s="125"/>
      <c r="AF110" s="125"/>
      <c r="AK110" s="125"/>
      <c r="AP110" s="125"/>
      <c r="AU110" s="125"/>
      <c r="AZ110" s="125"/>
      <c r="BE110" s="125"/>
    </row>
    <row r="111" spans="1:57">
      <c r="A111" s="125"/>
      <c r="G111" s="125"/>
      <c r="L111" s="125"/>
      <c r="Q111" s="125"/>
      <c r="V111" s="125"/>
      <c r="AA111" s="125"/>
      <c r="AF111" s="125"/>
      <c r="AK111" s="125"/>
      <c r="AP111" s="125"/>
      <c r="AU111" s="125"/>
      <c r="AZ111" s="125"/>
      <c r="BE111" s="125"/>
    </row>
    <row r="112" spans="1:57">
      <c r="A112" s="125"/>
      <c r="G112" s="125"/>
      <c r="L112" s="125"/>
      <c r="Q112" s="125"/>
      <c r="V112" s="125"/>
      <c r="AA112" s="125"/>
      <c r="AF112" s="125"/>
      <c r="AK112" s="125"/>
      <c r="AP112" s="125"/>
      <c r="AU112" s="125"/>
      <c r="AZ112" s="125"/>
      <c r="BE112" s="125"/>
    </row>
    <row r="113" spans="1:57">
      <c r="A113" s="125"/>
      <c r="G113" s="125"/>
      <c r="L113" s="125"/>
      <c r="Q113" s="125"/>
      <c r="V113" s="125"/>
      <c r="AA113" s="125"/>
      <c r="AF113" s="125"/>
      <c r="AK113" s="125"/>
      <c r="AP113" s="125"/>
      <c r="AU113" s="125"/>
      <c r="AZ113" s="125"/>
      <c r="BE113" s="125"/>
    </row>
    <row r="114" spans="1:57">
      <c r="A114" s="125"/>
      <c r="G114" s="125"/>
      <c r="L114" s="125"/>
      <c r="Q114" s="125"/>
      <c r="V114" s="125"/>
      <c r="AA114" s="125"/>
      <c r="AF114" s="125"/>
      <c r="AK114" s="125"/>
      <c r="AP114" s="125"/>
      <c r="AU114" s="125"/>
      <c r="AZ114" s="125"/>
      <c r="BE114" s="125"/>
    </row>
    <row r="115" spans="1:57">
      <c r="A115" s="125"/>
      <c r="G115" s="125"/>
      <c r="L115" s="125"/>
      <c r="Q115" s="125"/>
      <c r="V115" s="125"/>
      <c r="AA115" s="125"/>
      <c r="AF115" s="125"/>
      <c r="AK115" s="125"/>
      <c r="AP115" s="125"/>
      <c r="AU115" s="125"/>
      <c r="AZ115" s="125"/>
      <c r="BE115" s="125"/>
    </row>
    <row r="116" spans="1:57">
      <c r="A116" s="125"/>
      <c r="G116" s="125"/>
      <c r="L116" s="125"/>
      <c r="Q116" s="125"/>
      <c r="V116" s="125"/>
      <c r="AA116" s="125"/>
      <c r="AF116" s="125"/>
      <c r="AK116" s="125"/>
      <c r="AP116" s="125"/>
      <c r="AU116" s="125"/>
      <c r="AZ116" s="125"/>
      <c r="BE116" s="125"/>
    </row>
    <row r="117" spans="1:57">
      <c r="A117" s="125"/>
      <c r="G117" s="125"/>
      <c r="L117" s="125"/>
      <c r="Q117" s="125"/>
      <c r="V117" s="125"/>
      <c r="AA117" s="125"/>
      <c r="AF117" s="125"/>
      <c r="AK117" s="125"/>
      <c r="AP117" s="125"/>
      <c r="AU117" s="125"/>
      <c r="AZ117" s="125"/>
      <c r="BE117" s="125"/>
    </row>
    <row r="118" spans="1:57">
      <c r="A118" s="125"/>
      <c r="G118" s="125"/>
      <c r="L118" s="125"/>
      <c r="Q118" s="125"/>
      <c r="V118" s="125"/>
      <c r="AA118" s="125"/>
      <c r="AF118" s="125"/>
      <c r="AK118" s="125"/>
      <c r="AP118" s="125"/>
      <c r="AU118" s="125"/>
      <c r="AZ118" s="125"/>
      <c r="BE118" s="125"/>
    </row>
    <row r="119" spans="1:57">
      <c r="A119" s="125"/>
      <c r="G119" s="125"/>
      <c r="L119" s="125"/>
      <c r="Q119" s="125"/>
      <c r="V119" s="125"/>
      <c r="AA119" s="125"/>
      <c r="AF119" s="125"/>
      <c r="AK119" s="125"/>
      <c r="AP119" s="125"/>
      <c r="AU119" s="125"/>
      <c r="AZ119" s="125"/>
      <c r="BE119" s="125"/>
    </row>
    <row r="120" spans="1:57">
      <c r="A120" s="125"/>
      <c r="G120" s="125"/>
      <c r="L120" s="125"/>
      <c r="Q120" s="125"/>
      <c r="V120" s="125"/>
      <c r="AA120" s="125"/>
      <c r="AF120" s="125"/>
      <c r="AK120" s="125"/>
      <c r="AP120" s="125"/>
      <c r="AU120" s="125"/>
      <c r="AZ120" s="125"/>
      <c r="BE120" s="125"/>
    </row>
    <row r="121" spans="1:57">
      <c r="A121" s="125"/>
      <c r="G121" s="125"/>
      <c r="L121" s="125"/>
      <c r="Q121" s="125"/>
      <c r="V121" s="125"/>
      <c r="AA121" s="125"/>
      <c r="AF121" s="125"/>
      <c r="AK121" s="125"/>
      <c r="AP121" s="125"/>
      <c r="AU121" s="125"/>
      <c r="AZ121" s="125"/>
      <c r="BE121" s="125"/>
    </row>
    <row r="122" spans="1:57">
      <c r="A122" s="125"/>
      <c r="G122" s="125"/>
      <c r="L122" s="125"/>
      <c r="Q122" s="125"/>
      <c r="V122" s="125"/>
      <c r="AA122" s="125"/>
      <c r="AF122" s="125"/>
      <c r="AK122" s="125"/>
      <c r="AP122" s="125"/>
      <c r="AU122" s="125"/>
      <c r="AZ122" s="125"/>
      <c r="BE122" s="125"/>
    </row>
    <row r="123" spans="1:57">
      <c r="A123" s="125"/>
      <c r="G123" s="125"/>
      <c r="L123" s="125"/>
      <c r="Q123" s="125"/>
      <c r="V123" s="125"/>
      <c r="AA123" s="125"/>
      <c r="AF123" s="125"/>
      <c r="AK123" s="125"/>
      <c r="AP123" s="125"/>
      <c r="AU123" s="125"/>
      <c r="AZ123" s="125"/>
      <c r="BE123" s="125"/>
    </row>
    <row r="124" spans="1:57">
      <c r="A124" s="125"/>
      <c r="G124" s="125"/>
      <c r="L124" s="125"/>
      <c r="Q124" s="125"/>
      <c r="V124" s="125"/>
      <c r="AA124" s="125"/>
      <c r="AF124" s="125"/>
      <c r="AK124" s="125"/>
      <c r="AP124" s="125"/>
      <c r="AU124" s="125"/>
      <c r="AZ124" s="125"/>
      <c r="BE124" s="125"/>
    </row>
    <row r="125" spans="1:57">
      <c r="A125" s="125"/>
      <c r="G125" s="125"/>
      <c r="L125" s="125"/>
      <c r="Q125" s="125"/>
      <c r="V125" s="125"/>
      <c r="AA125" s="125"/>
      <c r="AF125" s="125"/>
      <c r="AK125" s="125"/>
      <c r="AP125" s="125"/>
      <c r="AU125" s="125"/>
      <c r="AZ125" s="125"/>
      <c r="BE125" s="125"/>
    </row>
    <row r="126" spans="1:57">
      <c r="A126" s="125"/>
      <c r="G126" s="125"/>
      <c r="L126" s="125"/>
      <c r="Q126" s="125"/>
      <c r="V126" s="125"/>
      <c r="AA126" s="125"/>
      <c r="AF126" s="125"/>
      <c r="AK126" s="125"/>
      <c r="AP126" s="125"/>
      <c r="AU126" s="125"/>
      <c r="AZ126" s="125"/>
      <c r="BE126" s="125"/>
    </row>
    <row r="127" spans="1:57">
      <c r="A127" s="125"/>
      <c r="G127" s="125"/>
      <c r="L127" s="125"/>
      <c r="Q127" s="125"/>
      <c r="V127" s="125"/>
      <c r="AA127" s="125"/>
      <c r="AF127" s="125"/>
      <c r="AK127" s="125"/>
      <c r="AP127" s="125"/>
      <c r="AU127" s="125"/>
      <c r="AZ127" s="125"/>
      <c r="BE127" s="125"/>
    </row>
    <row r="128" spans="1:57">
      <c r="A128" s="125"/>
      <c r="G128" s="125"/>
      <c r="L128" s="125"/>
      <c r="Q128" s="125"/>
      <c r="V128" s="125"/>
      <c r="AA128" s="125"/>
      <c r="AF128" s="125"/>
      <c r="AK128" s="125"/>
      <c r="AP128" s="125"/>
      <c r="AU128" s="125"/>
      <c r="AZ128" s="125"/>
      <c r="BE128" s="125"/>
    </row>
    <row r="129" spans="1:57">
      <c r="A129" s="125"/>
      <c r="G129" s="125"/>
      <c r="L129" s="125"/>
      <c r="Q129" s="125"/>
      <c r="V129" s="125"/>
      <c r="AA129" s="125"/>
      <c r="AF129" s="125"/>
      <c r="AK129" s="125"/>
      <c r="AP129" s="125"/>
      <c r="AU129" s="125"/>
      <c r="AZ129" s="125"/>
      <c r="BE129" s="125"/>
    </row>
    <row r="130" spans="1:57">
      <c r="A130" s="125"/>
      <c r="G130" s="125"/>
      <c r="L130" s="125"/>
      <c r="Q130" s="125"/>
      <c r="V130" s="125"/>
      <c r="AA130" s="125"/>
      <c r="AF130" s="125"/>
      <c r="AK130" s="125"/>
      <c r="AP130" s="125"/>
      <c r="AU130" s="125"/>
      <c r="AZ130" s="125"/>
      <c r="BE130" s="125"/>
    </row>
    <row r="131" spans="1:57">
      <c r="A131" s="125"/>
      <c r="G131" s="125"/>
      <c r="L131" s="125"/>
      <c r="Q131" s="125"/>
      <c r="V131" s="125"/>
      <c r="AA131" s="125"/>
      <c r="AF131" s="125"/>
      <c r="AK131" s="125"/>
      <c r="AP131" s="125"/>
      <c r="AU131" s="125"/>
      <c r="AZ131" s="125"/>
      <c r="BE131" s="125"/>
    </row>
    <row r="132" spans="1:57">
      <c r="A132" s="125"/>
      <c r="G132" s="125"/>
      <c r="L132" s="125"/>
      <c r="Q132" s="125"/>
      <c r="V132" s="125"/>
      <c r="AA132" s="125"/>
      <c r="AF132" s="125"/>
      <c r="AK132" s="125"/>
      <c r="AP132" s="125"/>
      <c r="AU132" s="125"/>
      <c r="AZ132" s="125"/>
      <c r="BE132" s="125"/>
    </row>
    <row r="133" spans="1:57">
      <c r="A133" s="125"/>
      <c r="G133" s="125"/>
      <c r="L133" s="125"/>
      <c r="Q133" s="125"/>
      <c r="V133" s="125"/>
      <c r="AA133" s="125"/>
      <c r="AF133" s="125"/>
      <c r="AK133" s="125"/>
      <c r="AP133" s="125"/>
      <c r="AU133" s="125"/>
      <c r="AZ133" s="125"/>
      <c r="BE133" s="125"/>
    </row>
    <row r="134" spans="1:57">
      <c r="A134" s="125"/>
      <c r="G134" s="125"/>
      <c r="L134" s="125"/>
      <c r="Q134" s="125"/>
      <c r="V134" s="125"/>
      <c r="AA134" s="125"/>
      <c r="AF134" s="125"/>
      <c r="AK134" s="125"/>
      <c r="AP134" s="125"/>
      <c r="AU134" s="125"/>
      <c r="AZ134" s="125"/>
      <c r="BE134" s="125"/>
    </row>
    <row r="135" spans="1:57">
      <c r="A135" s="125"/>
      <c r="G135" s="125"/>
      <c r="L135" s="125"/>
      <c r="Q135" s="125"/>
      <c r="V135" s="125"/>
      <c r="AA135" s="125"/>
      <c r="AF135" s="125"/>
      <c r="AK135" s="125"/>
      <c r="AP135" s="125"/>
      <c r="AU135" s="125"/>
      <c r="AZ135" s="125"/>
      <c r="BE135" s="125"/>
    </row>
    <row r="136" spans="1:57">
      <c r="A136" s="125"/>
      <c r="G136" s="125"/>
      <c r="L136" s="125"/>
      <c r="Q136" s="125"/>
      <c r="V136" s="125"/>
      <c r="AA136" s="125"/>
      <c r="AF136" s="125"/>
      <c r="AK136" s="125"/>
      <c r="AP136" s="125"/>
      <c r="AU136" s="125"/>
      <c r="AZ136" s="125"/>
      <c r="BE136" s="125"/>
    </row>
    <row r="137" spans="1:57">
      <c r="A137" s="125"/>
      <c r="G137" s="125"/>
      <c r="L137" s="125"/>
      <c r="Q137" s="125"/>
      <c r="V137" s="125"/>
      <c r="AA137" s="125"/>
      <c r="AF137" s="125"/>
      <c r="AK137" s="125"/>
      <c r="AP137" s="125"/>
      <c r="AU137" s="125"/>
      <c r="AZ137" s="125"/>
      <c r="BE137" s="125"/>
    </row>
    <row r="138" spans="1:57">
      <c r="A138" s="125"/>
      <c r="G138" s="125"/>
      <c r="L138" s="125"/>
      <c r="Q138" s="125"/>
      <c r="V138" s="125"/>
      <c r="AA138" s="125"/>
      <c r="AF138" s="125"/>
      <c r="AK138" s="125"/>
      <c r="AP138" s="125"/>
      <c r="AU138" s="125"/>
      <c r="AZ138" s="125"/>
      <c r="BE138" s="125"/>
    </row>
    <row r="139" spans="1:57">
      <c r="A139" s="125"/>
      <c r="G139" s="125"/>
      <c r="L139" s="125"/>
      <c r="Q139" s="125"/>
      <c r="V139" s="125"/>
      <c r="AA139" s="125"/>
      <c r="AF139" s="125"/>
      <c r="AK139" s="125"/>
      <c r="AP139" s="125"/>
      <c r="AU139" s="125"/>
      <c r="AZ139" s="125"/>
      <c r="BE139" s="125"/>
    </row>
    <row r="140" spans="1:57">
      <c r="A140" s="125"/>
      <c r="G140" s="125"/>
      <c r="L140" s="125"/>
      <c r="Q140" s="125"/>
      <c r="V140" s="125"/>
      <c r="AA140" s="125"/>
      <c r="AF140" s="125"/>
      <c r="AK140" s="125"/>
      <c r="AP140" s="125"/>
      <c r="AU140" s="125"/>
      <c r="AZ140" s="125"/>
      <c r="BE140" s="125"/>
    </row>
    <row r="141" spans="1:57">
      <c r="A141" s="125"/>
      <c r="G141" s="125"/>
      <c r="L141" s="125"/>
      <c r="Q141" s="125"/>
      <c r="V141" s="125"/>
      <c r="AA141" s="125"/>
      <c r="AF141" s="125"/>
      <c r="AK141" s="125"/>
      <c r="AP141" s="125"/>
      <c r="AU141" s="125"/>
      <c r="AZ141" s="125"/>
      <c r="BE141" s="125"/>
    </row>
    <row r="142" spans="1:57">
      <c r="A142" s="125"/>
      <c r="G142" s="125"/>
      <c r="L142" s="125"/>
      <c r="Q142" s="125"/>
      <c r="V142" s="125"/>
      <c r="AA142" s="125"/>
      <c r="AF142" s="125"/>
      <c r="AK142" s="125"/>
      <c r="AP142" s="125"/>
      <c r="AU142" s="125"/>
      <c r="AZ142" s="125"/>
      <c r="BE142" s="125"/>
    </row>
    <row r="143" spans="1:57">
      <c r="A143" s="125"/>
      <c r="G143" s="125"/>
      <c r="L143" s="125"/>
      <c r="Q143" s="125"/>
      <c r="V143" s="125"/>
      <c r="AA143" s="125"/>
      <c r="AF143" s="125"/>
      <c r="AK143" s="125"/>
      <c r="AP143" s="125"/>
      <c r="AU143" s="125"/>
      <c r="AZ143" s="125"/>
      <c r="BE143" s="125"/>
    </row>
    <row r="144" spans="1:57">
      <c r="A144" s="125"/>
      <c r="G144" s="125"/>
      <c r="L144" s="125"/>
      <c r="Q144" s="125"/>
      <c r="V144" s="125"/>
      <c r="AA144" s="125"/>
      <c r="AF144" s="125"/>
      <c r="AK144" s="125"/>
      <c r="AP144" s="125"/>
      <c r="AU144" s="125"/>
      <c r="AZ144" s="125"/>
      <c r="BE144" s="125"/>
    </row>
    <row r="145" spans="1:57">
      <c r="A145" s="125"/>
      <c r="G145" s="125"/>
      <c r="L145" s="125"/>
      <c r="Q145" s="125"/>
      <c r="V145" s="125"/>
      <c r="AA145" s="125"/>
      <c r="AF145" s="125"/>
      <c r="AK145" s="125"/>
      <c r="AP145" s="125"/>
      <c r="AU145" s="125"/>
      <c r="AZ145" s="125"/>
      <c r="BE145" s="125"/>
    </row>
    <row r="146" spans="1:57">
      <c r="A146" s="125"/>
      <c r="G146" s="125"/>
      <c r="L146" s="125"/>
      <c r="Q146" s="125"/>
      <c r="V146" s="125"/>
      <c r="AA146" s="125"/>
      <c r="AF146" s="125"/>
      <c r="AK146" s="125"/>
      <c r="AP146" s="125"/>
      <c r="AU146" s="125"/>
      <c r="AZ146" s="125"/>
      <c r="BE146" s="125"/>
    </row>
    <row r="147" spans="1:57">
      <c r="A147" s="125"/>
      <c r="G147" s="125"/>
      <c r="L147" s="125"/>
      <c r="Q147" s="125"/>
      <c r="V147" s="125"/>
      <c r="AA147" s="125"/>
      <c r="AF147" s="125"/>
      <c r="AK147" s="125"/>
      <c r="AP147" s="125"/>
      <c r="AU147" s="125"/>
      <c r="AZ147" s="125"/>
      <c r="BE147" s="125"/>
    </row>
    <row r="148" spans="1:57">
      <c r="A148" s="125"/>
      <c r="G148" s="125"/>
      <c r="L148" s="125"/>
      <c r="Q148" s="125"/>
      <c r="V148" s="125"/>
      <c r="AA148" s="125"/>
      <c r="AF148" s="125"/>
      <c r="AK148" s="125"/>
      <c r="AP148" s="125"/>
      <c r="AU148" s="125"/>
      <c r="AZ148" s="125"/>
      <c r="BE148" s="125"/>
    </row>
    <row r="149" spans="1:57">
      <c r="A149" s="125"/>
      <c r="G149" s="125"/>
      <c r="L149" s="125"/>
      <c r="Q149" s="125"/>
      <c r="V149" s="125"/>
      <c r="AA149" s="125"/>
      <c r="AF149" s="125"/>
      <c r="AK149" s="125"/>
      <c r="AP149" s="125"/>
      <c r="AU149" s="125"/>
      <c r="AZ149" s="125"/>
      <c r="BE149" s="125"/>
    </row>
    <row r="150" spans="1:57">
      <c r="A150" s="125"/>
      <c r="G150" s="125"/>
      <c r="L150" s="125"/>
      <c r="Q150" s="125"/>
      <c r="V150" s="125"/>
      <c r="AA150" s="125"/>
      <c r="AF150" s="125"/>
      <c r="AK150" s="125"/>
      <c r="AP150" s="125"/>
      <c r="AU150" s="125"/>
      <c r="AZ150" s="125"/>
      <c r="BE150" s="125"/>
    </row>
    <row r="151" spans="1:57">
      <c r="A151" s="125"/>
      <c r="G151" s="125"/>
      <c r="L151" s="125"/>
      <c r="Q151" s="125"/>
      <c r="V151" s="125"/>
      <c r="AA151" s="125"/>
      <c r="AF151" s="125"/>
      <c r="AK151" s="125"/>
      <c r="AP151" s="125"/>
      <c r="AU151" s="125"/>
      <c r="AZ151" s="125"/>
      <c r="BE151" s="125"/>
    </row>
    <row r="152" spans="1:57">
      <c r="A152" s="125"/>
      <c r="G152" s="125"/>
      <c r="L152" s="125"/>
      <c r="Q152" s="125"/>
      <c r="V152" s="125"/>
      <c r="AA152" s="125"/>
      <c r="AF152" s="125"/>
      <c r="AK152" s="125"/>
      <c r="AP152" s="125"/>
      <c r="AU152" s="125"/>
      <c r="AZ152" s="125"/>
      <c r="BE152" s="125"/>
    </row>
    <row r="153" spans="1:57">
      <c r="A153" s="125"/>
      <c r="G153" s="125"/>
      <c r="L153" s="125"/>
      <c r="Q153" s="125"/>
      <c r="V153" s="125"/>
      <c r="AA153" s="125"/>
      <c r="AF153" s="125"/>
      <c r="AK153" s="125"/>
      <c r="AP153" s="125"/>
      <c r="AU153" s="125"/>
      <c r="AZ153" s="125"/>
      <c r="BE153" s="125"/>
    </row>
    <row r="154" spans="1:57">
      <c r="A154" s="125"/>
      <c r="G154" s="125"/>
      <c r="L154" s="125"/>
      <c r="Q154" s="125"/>
      <c r="V154" s="125"/>
      <c r="AA154" s="125"/>
      <c r="AF154" s="125"/>
      <c r="AK154" s="125"/>
      <c r="AP154" s="125"/>
      <c r="AU154" s="125"/>
      <c r="AZ154" s="125"/>
      <c r="BE154" s="125"/>
    </row>
    <row r="155" spans="1:57">
      <c r="A155" s="125"/>
      <c r="G155" s="125"/>
      <c r="L155" s="125"/>
      <c r="Q155" s="125"/>
      <c r="V155" s="125"/>
      <c r="AA155" s="125"/>
      <c r="AF155" s="125"/>
      <c r="AK155" s="125"/>
      <c r="AP155" s="125"/>
      <c r="AU155" s="125"/>
      <c r="AZ155" s="125"/>
      <c r="BE155" s="125"/>
    </row>
    <row r="156" spans="1:57">
      <c r="A156" s="125"/>
      <c r="G156" s="125"/>
      <c r="L156" s="125"/>
      <c r="Q156" s="125"/>
      <c r="V156" s="125"/>
      <c r="AA156" s="125"/>
      <c r="AF156" s="125"/>
      <c r="AK156" s="125"/>
      <c r="AP156" s="125"/>
      <c r="AU156" s="125"/>
      <c r="AZ156" s="125"/>
      <c r="BE156" s="125"/>
    </row>
    <row r="157" spans="1:57">
      <c r="A157" s="125"/>
      <c r="G157" s="125"/>
      <c r="L157" s="125"/>
      <c r="Q157" s="125"/>
      <c r="V157" s="125"/>
      <c r="AA157" s="125"/>
      <c r="AF157" s="125"/>
      <c r="AK157" s="125"/>
      <c r="AP157" s="125"/>
      <c r="AU157" s="125"/>
      <c r="AZ157" s="125"/>
      <c r="BE157" s="125"/>
    </row>
    <row r="158" spans="1:57">
      <c r="A158" s="125"/>
      <c r="G158" s="125"/>
      <c r="L158" s="125"/>
      <c r="Q158" s="125"/>
      <c r="V158" s="125"/>
      <c r="AA158" s="125"/>
      <c r="AF158" s="125"/>
      <c r="AK158" s="125"/>
      <c r="AP158" s="125"/>
      <c r="AU158" s="125"/>
      <c r="AZ158" s="125"/>
      <c r="BE158" s="125"/>
    </row>
    <row r="159" spans="1:57">
      <c r="A159" s="125"/>
      <c r="G159" s="125"/>
      <c r="L159" s="125"/>
      <c r="Q159" s="125"/>
      <c r="V159" s="125"/>
      <c r="AA159" s="125"/>
      <c r="AF159" s="125"/>
      <c r="AK159" s="125"/>
      <c r="AP159" s="125"/>
      <c r="AU159" s="125"/>
      <c r="AZ159" s="125"/>
      <c r="BE159" s="125"/>
    </row>
    <row r="160" spans="1:57">
      <c r="A160" s="125"/>
      <c r="G160" s="125"/>
      <c r="L160" s="125"/>
      <c r="Q160" s="125"/>
      <c r="V160" s="125"/>
      <c r="AA160" s="125"/>
      <c r="AF160" s="125"/>
      <c r="AK160" s="125"/>
      <c r="AP160" s="125"/>
      <c r="AU160" s="125"/>
      <c r="AZ160" s="125"/>
      <c r="BE160" s="125"/>
    </row>
    <row r="161" spans="1:57">
      <c r="A161" s="125"/>
      <c r="G161" s="125"/>
      <c r="L161" s="125"/>
      <c r="Q161" s="125"/>
      <c r="V161" s="125"/>
      <c r="AA161" s="125"/>
      <c r="AF161" s="125"/>
      <c r="AK161" s="125"/>
      <c r="AP161" s="125"/>
      <c r="AU161" s="125"/>
      <c r="AZ161" s="125"/>
      <c r="BE161" s="125"/>
    </row>
    <row r="162" spans="1:57">
      <c r="A162" s="125"/>
      <c r="G162" s="125"/>
      <c r="L162" s="125"/>
      <c r="Q162" s="125"/>
      <c r="V162" s="125"/>
      <c r="AA162" s="125"/>
      <c r="AF162" s="125"/>
      <c r="AK162" s="125"/>
      <c r="AP162" s="125"/>
      <c r="AU162" s="125"/>
      <c r="AZ162" s="125"/>
      <c r="BE162" s="125"/>
    </row>
    <row r="163" spans="1:57">
      <c r="A163" s="125"/>
      <c r="G163" s="125"/>
      <c r="L163" s="125"/>
      <c r="Q163" s="125"/>
      <c r="V163" s="125"/>
      <c r="AA163" s="125"/>
      <c r="AF163" s="125"/>
      <c r="AK163" s="125"/>
      <c r="AP163" s="125"/>
      <c r="AU163" s="125"/>
      <c r="AZ163" s="125"/>
      <c r="BE163" s="125"/>
    </row>
    <row r="164" spans="1:57">
      <c r="A164" s="125"/>
      <c r="G164" s="125"/>
      <c r="L164" s="125"/>
      <c r="Q164" s="125"/>
      <c r="V164" s="125"/>
      <c r="AA164" s="125"/>
      <c r="AF164" s="125"/>
      <c r="AK164" s="125"/>
      <c r="AP164" s="125"/>
      <c r="AU164" s="125"/>
      <c r="AZ164" s="125"/>
      <c r="BE164" s="125"/>
    </row>
    <row r="165" spans="1:57">
      <c r="A165" s="125"/>
      <c r="G165" s="125"/>
      <c r="L165" s="125"/>
      <c r="Q165" s="125"/>
      <c r="V165" s="125"/>
      <c r="AA165" s="125"/>
      <c r="AF165" s="125"/>
      <c r="AK165" s="125"/>
      <c r="AP165" s="125"/>
      <c r="AU165" s="125"/>
      <c r="AZ165" s="125"/>
      <c r="BE165" s="125"/>
    </row>
    <row r="166" spans="1:57">
      <c r="A166" s="125"/>
      <c r="G166" s="125"/>
      <c r="L166" s="125"/>
      <c r="Q166" s="125"/>
      <c r="V166" s="125"/>
      <c r="AA166" s="125"/>
      <c r="AF166" s="125"/>
      <c r="AK166" s="125"/>
      <c r="AP166" s="125"/>
      <c r="AU166" s="125"/>
      <c r="AZ166" s="125"/>
      <c r="BE166" s="125"/>
    </row>
    <row r="167" spans="1:57">
      <c r="A167" s="125"/>
      <c r="G167" s="125"/>
      <c r="L167" s="125"/>
      <c r="Q167" s="125"/>
      <c r="V167" s="125"/>
      <c r="AA167" s="125"/>
      <c r="AF167" s="125"/>
      <c r="AK167" s="125"/>
      <c r="AP167" s="125"/>
      <c r="AU167" s="125"/>
      <c r="AZ167" s="125"/>
      <c r="BE167" s="125"/>
    </row>
    <row r="168" spans="1:57">
      <c r="A168" s="125"/>
      <c r="G168" s="125"/>
      <c r="L168" s="125"/>
      <c r="Q168" s="125"/>
      <c r="V168" s="125"/>
      <c r="AA168" s="125"/>
      <c r="AF168" s="125"/>
      <c r="AK168" s="125"/>
      <c r="AP168" s="125"/>
      <c r="AU168" s="125"/>
      <c r="AZ168" s="125"/>
      <c r="BE168" s="125"/>
    </row>
    <row r="169" spans="1:57">
      <c r="A169" s="125"/>
      <c r="G169" s="125"/>
      <c r="L169" s="125"/>
      <c r="Q169" s="125"/>
      <c r="V169" s="125"/>
      <c r="AA169" s="125"/>
      <c r="AF169" s="125"/>
      <c r="AK169" s="125"/>
      <c r="AP169" s="125"/>
      <c r="AU169" s="125"/>
      <c r="AZ169" s="125"/>
      <c r="BE169" s="125"/>
    </row>
    <row r="170" spans="1:57">
      <c r="A170" s="125"/>
      <c r="G170" s="125"/>
      <c r="L170" s="125"/>
      <c r="Q170" s="125"/>
      <c r="V170" s="125"/>
      <c r="AA170" s="125"/>
      <c r="AF170" s="125"/>
      <c r="AK170" s="125"/>
      <c r="AP170" s="125"/>
      <c r="AU170" s="125"/>
      <c r="AZ170" s="125"/>
      <c r="BE170" s="125"/>
    </row>
    <row r="171" spans="1:57">
      <c r="A171" s="125"/>
      <c r="G171" s="125"/>
      <c r="L171" s="125"/>
      <c r="Q171" s="125"/>
      <c r="V171" s="125"/>
      <c r="AA171" s="125"/>
      <c r="AF171" s="125"/>
      <c r="AK171" s="125"/>
      <c r="AP171" s="125"/>
      <c r="AU171" s="125"/>
      <c r="AZ171" s="125"/>
      <c r="BE171" s="125"/>
    </row>
    <row r="172" spans="1:57">
      <c r="A172" s="125"/>
      <c r="G172" s="125"/>
      <c r="L172" s="125"/>
      <c r="Q172" s="125"/>
      <c r="V172" s="125"/>
      <c r="AA172" s="125"/>
      <c r="AF172" s="125"/>
      <c r="AK172" s="125"/>
      <c r="AP172" s="125"/>
      <c r="AU172" s="125"/>
      <c r="AZ172" s="125"/>
      <c r="BE172" s="125"/>
    </row>
    <row r="173" spans="1:57">
      <c r="A173" s="125"/>
      <c r="G173" s="125"/>
      <c r="L173" s="125"/>
      <c r="Q173" s="125"/>
      <c r="V173" s="125"/>
      <c r="AA173" s="125"/>
      <c r="AF173" s="125"/>
      <c r="AK173" s="125"/>
      <c r="AP173" s="125"/>
      <c r="AU173" s="125"/>
      <c r="AZ173" s="125"/>
      <c r="BE173" s="125"/>
    </row>
    <row r="174" spans="1:57">
      <c r="A174" s="125"/>
      <c r="G174" s="125"/>
      <c r="L174" s="125"/>
      <c r="Q174" s="125"/>
      <c r="V174" s="125"/>
      <c r="AA174" s="125"/>
      <c r="AF174" s="125"/>
      <c r="AK174" s="125"/>
      <c r="AP174" s="125"/>
      <c r="AU174" s="125"/>
      <c r="AZ174" s="125"/>
      <c r="BE174" s="125"/>
    </row>
    <row r="175" spans="1:57">
      <c r="A175" s="125"/>
      <c r="G175" s="125"/>
      <c r="L175" s="125"/>
      <c r="Q175" s="125"/>
      <c r="V175" s="125"/>
      <c r="AA175" s="125"/>
      <c r="AF175" s="125"/>
      <c r="AK175" s="125"/>
      <c r="AP175" s="125"/>
      <c r="AU175" s="125"/>
      <c r="AZ175" s="125"/>
      <c r="BE175" s="125"/>
    </row>
    <row r="176" spans="1:57">
      <c r="A176" s="125"/>
      <c r="G176" s="125"/>
      <c r="L176" s="125"/>
      <c r="Q176" s="125"/>
      <c r="V176" s="125"/>
      <c r="AA176" s="125"/>
      <c r="AF176" s="125"/>
      <c r="AK176" s="125"/>
      <c r="AP176" s="125"/>
      <c r="AU176" s="125"/>
      <c r="AZ176" s="125"/>
      <c r="BE176" s="125"/>
    </row>
    <row r="177" spans="1:57">
      <c r="A177" s="125"/>
      <c r="G177" s="125"/>
      <c r="L177" s="125"/>
      <c r="Q177" s="125"/>
      <c r="V177" s="125"/>
      <c r="AA177" s="125"/>
      <c r="AF177" s="125"/>
      <c r="AK177" s="125"/>
      <c r="AP177" s="125"/>
      <c r="AU177" s="125"/>
      <c r="AZ177" s="125"/>
      <c r="BE177" s="125"/>
    </row>
    <row r="178" spans="1:57">
      <c r="A178" s="125"/>
      <c r="G178" s="125"/>
      <c r="L178" s="125"/>
      <c r="Q178" s="125"/>
      <c r="V178" s="125"/>
      <c r="AA178" s="125"/>
      <c r="AF178" s="125"/>
      <c r="AK178" s="125"/>
      <c r="AP178" s="125"/>
      <c r="AU178" s="125"/>
      <c r="AZ178" s="125"/>
      <c r="BE178" s="125"/>
    </row>
    <row r="179" spans="1:57">
      <c r="A179" s="125"/>
      <c r="G179" s="125"/>
      <c r="L179" s="125"/>
      <c r="Q179" s="125"/>
      <c r="V179" s="125"/>
      <c r="AA179" s="125"/>
      <c r="AF179" s="125"/>
      <c r="AK179" s="125"/>
      <c r="AP179" s="125"/>
      <c r="AU179" s="125"/>
      <c r="AZ179" s="125"/>
      <c r="BE179" s="125"/>
    </row>
    <row r="180" spans="1:57">
      <c r="A180" s="125"/>
      <c r="G180" s="125"/>
      <c r="L180" s="125"/>
      <c r="Q180" s="125"/>
      <c r="V180" s="125"/>
      <c r="AA180" s="125"/>
      <c r="AF180" s="125"/>
      <c r="AK180" s="125"/>
      <c r="AP180" s="125"/>
      <c r="AU180" s="125"/>
      <c r="AZ180" s="125"/>
      <c r="BE180" s="125"/>
    </row>
    <row r="181" spans="1:57">
      <c r="A181" s="125"/>
      <c r="G181" s="125"/>
      <c r="L181" s="125"/>
      <c r="Q181" s="125"/>
      <c r="V181" s="125"/>
      <c r="AA181" s="125"/>
      <c r="AF181" s="125"/>
      <c r="AK181" s="125"/>
      <c r="AP181" s="125"/>
      <c r="AU181" s="125"/>
      <c r="AZ181" s="125"/>
      <c r="BE181" s="125"/>
    </row>
    <row r="182" spans="1:57">
      <c r="A182" s="125"/>
      <c r="G182" s="125"/>
      <c r="L182" s="125"/>
      <c r="Q182" s="125"/>
      <c r="V182" s="125"/>
      <c r="AA182" s="125"/>
      <c r="AF182" s="125"/>
      <c r="AK182" s="125"/>
      <c r="AP182" s="125"/>
      <c r="AU182" s="125"/>
      <c r="AZ182" s="125"/>
      <c r="BE182" s="125"/>
    </row>
    <row r="183" spans="1:57">
      <c r="A183" s="125"/>
      <c r="G183" s="125"/>
      <c r="L183" s="125"/>
      <c r="Q183" s="125"/>
      <c r="V183" s="125"/>
      <c r="AA183" s="125"/>
      <c r="AF183" s="125"/>
      <c r="AK183" s="125"/>
      <c r="AP183" s="125"/>
      <c r="AU183" s="125"/>
      <c r="AZ183" s="125"/>
      <c r="BE183" s="125"/>
    </row>
    <row r="184" spans="1:57">
      <c r="A184" s="125"/>
      <c r="G184" s="125"/>
      <c r="L184" s="125"/>
      <c r="Q184" s="125"/>
      <c r="V184" s="125"/>
      <c r="AA184" s="125"/>
      <c r="AF184" s="125"/>
      <c r="AK184" s="125"/>
      <c r="AP184" s="125"/>
      <c r="AU184" s="125"/>
      <c r="AZ184" s="125"/>
      <c r="BE184" s="125"/>
    </row>
    <row r="185" spans="1:57">
      <c r="A185" s="125"/>
      <c r="G185" s="125"/>
      <c r="L185" s="125"/>
      <c r="Q185" s="125"/>
      <c r="V185" s="125"/>
      <c r="AA185" s="125"/>
      <c r="AF185" s="125"/>
      <c r="AK185" s="125"/>
      <c r="AP185" s="125"/>
      <c r="AU185" s="125"/>
      <c r="AZ185" s="125"/>
      <c r="BE185" s="125"/>
    </row>
    <row r="186" spans="1:57">
      <c r="A186" s="125"/>
      <c r="G186" s="125"/>
      <c r="L186" s="125"/>
      <c r="Q186" s="125"/>
      <c r="V186" s="125"/>
      <c r="AA186" s="125"/>
      <c r="AF186" s="125"/>
      <c r="AK186" s="125"/>
      <c r="AP186" s="125"/>
      <c r="AU186" s="125"/>
      <c r="AZ186" s="125"/>
      <c r="BE186" s="125"/>
    </row>
    <row r="187" spans="1:57">
      <c r="A187" s="125"/>
      <c r="G187" s="125"/>
      <c r="L187" s="125"/>
      <c r="Q187" s="125"/>
      <c r="V187" s="125"/>
      <c r="AA187" s="125"/>
      <c r="AF187" s="125"/>
      <c r="AK187" s="125"/>
      <c r="AP187" s="125"/>
      <c r="AU187" s="125"/>
      <c r="AZ187" s="125"/>
      <c r="BE187" s="125"/>
    </row>
    <row r="188" spans="1:57">
      <c r="A188" s="125"/>
      <c r="G188" s="125"/>
      <c r="L188" s="125"/>
      <c r="Q188" s="125"/>
      <c r="V188" s="125"/>
      <c r="AA188" s="125"/>
      <c r="AF188" s="125"/>
      <c r="AK188" s="125"/>
      <c r="AP188" s="125"/>
      <c r="AU188" s="125"/>
      <c r="AZ188" s="125"/>
      <c r="BE188" s="125"/>
    </row>
    <row r="189" spans="1:57">
      <c r="A189" s="125"/>
      <c r="G189" s="125"/>
      <c r="L189" s="125"/>
      <c r="Q189" s="125"/>
      <c r="V189" s="125"/>
      <c r="AA189" s="125"/>
      <c r="AF189" s="125"/>
      <c r="AK189" s="125"/>
      <c r="AP189" s="125"/>
      <c r="AU189" s="125"/>
      <c r="AZ189" s="125"/>
      <c r="BE189" s="125"/>
    </row>
    <row r="190" spans="1:57">
      <c r="A190" s="125"/>
      <c r="G190" s="125"/>
      <c r="L190" s="125"/>
      <c r="Q190" s="125"/>
      <c r="V190" s="125"/>
      <c r="AA190" s="125"/>
      <c r="AF190" s="125"/>
      <c r="AK190" s="125"/>
      <c r="AP190" s="125"/>
      <c r="AU190" s="125"/>
      <c r="AZ190" s="125"/>
      <c r="BE190" s="125"/>
    </row>
    <row r="191" spans="1:57">
      <c r="A191" s="125"/>
      <c r="G191" s="125"/>
      <c r="L191" s="125"/>
      <c r="Q191" s="125"/>
      <c r="V191" s="125"/>
      <c r="AA191" s="125"/>
      <c r="AF191" s="125"/>
      <c r="AK191" s="125"/>
      <c r="AP191" s="125"/>
      <c r="AU191" s="125"/>
      <c r="AZ191" s="125"/>
      <c r="BE191" s="125"/>
    </row>
    <row r="192" spans="1:57">
      <c r="A192" s="125"/>
      <c r="G192" s="125"/>
      <c r="L192" s="125"/>
      <c r="Q192" s="125"/>
      <c r="V192" s="125"/>
      <c r="AA192" s="125"/>
      <c r="AF192" s="125"/>
      <c r="AK192" s="125"/>
      <c r="AP192" s="125"/>
      <c r="AU192" s="125"/>
      <c r="AZ192" s="125"/>
      <c r="BE192" s="125"/>
    </row>
    <row r="193" spans="1:57">
      <c r="A193" s="125"/>
      <c r="G193" s="125"/>
      <c r="L193" s="125"/>
      <c r="Q193" s="125"/>
      <c r="V193" s="125"/>
      <c r="AA193" s="125"/>
      <c r="AF193" s="125"/>
      <c r="AK193" s="125"/>
      <c r="AP193" s="125"/>
      <c r="AU193" s="125"/>
      <c r="AZ193" s="125"/>
      <c r="BE193" s="125"/>
    </row>
    <row r="194" spans="1:57">
      <c r="A194" s="125"/>
      <c r="G194" s="125"/>
      <c r="L194" s="125"/>
      <c r="Q194" s="125"/>
      <c r="V194" s="125"/>
      <c r="AA194" s="125"/>
      <c r="AF194" s="125"/>
      <c r="AK194" s="125"/>
      <c r="AP194" s="125"/>
      <c r="AU194" s="125"/>
      <c r="AZ194" s="125"/>
      <c r="BE194" s="125"/>
    </row>
    <row r="195" spans="1:57">
      <c r="A195" s="125"/>
      <c r="G195" s="125"/>
      <c r="L195" s="125"/>
      <c r="Q195" s="125"/>
      <c r="V195" s="125"/>
      <c r="AA195" s="125"/>
      <c r="AF195" s="125"/>
      <c r="AK195" s="125"/>
      <c r="AP195" s="125"/>
      <c r="AU195" s="125"/>
      <c r="AZ195" s="125"/>
      <c r="BE195" s="125"/>
    </row>
    <row r="196" spans="1:57">
      <c r="A196" s="125"/>
      <c r="G196" s="125"/>
      <c r="L196" s="125"/>
      <c r="Q196" s="125"/>
      <c r="V196" s="125"/>
      <c r="AA196" s="125"/>
      <c r="AF196" s="125"/>
      <c r="AK196" s="125"/>
      <c r="AP196" s="125"/>
      <c r="AU196" s="125"/>
      <c r="AZ196" s="125"/>
      <c r="BE196" s="125"/>
    </row>
    <row r="197" spans="1:57">
      <c r="A197" s="125"/>
      <c r="G197" s="125"/>
      <c r="L197" s="125"/>
      <c r="Q197" s="125"/>
      <c r="V197" s="125"/>
      <c r="AA197" s="125"/>
      <c r="AF197" s="125"/>
      <c r="AK197" s="125"/>
      <c r="AP197" s="125"/>
      <c r="AU197" s="125"/>
      <c r="AZ197" s="125"/>
      <c r="BE197" s="125"/>
    </row>
    <row r="198" spans="1:57">
      <c r="A198" s="125"/>
      <c r="G198" s="125"/>
      <c r="L198" s="125"/>
      <c r="Q198" s="125"/>
      <c r="V198" s="125"/>
      <c r="AA198" s="125"/>
      <c r="AF198" s="125"/>
      <c r="AK198" s="125"/>
      <c r="AP198" s="125"/>
      <c r="AU198" s="125"/>
      <c r="AZ198" s="125"/>
      <c r="BE198" s="125"/>
    </row>
    <row r="199" spans="1:57">
      <c r="A199" s="125"/>
      <c r="G199" s="125"/>
      <c r="L199" s="125"/>
      <c r="Q199" s="125"/>
      <c r="V199" s="125"/>
      <c r="AA199" s="125"/>
      <c r="AF199" s="125"/>
      <c r="AK199" s="125"/>
      <c r="AP199" s="125"/>
      <c r="AU199" s="125"/>
      <c r="AZ199" s="125"/>
      <c r="BE199" s="125"/>
    </row>
    <row r="200" spans="1:57">
      <c r="A200" s="125"/>
      <c r="G200" s="125"/>
      <c r="L200" s="125"/>
      <c r="Q200" s="125"/>
      <c r="V200" s="125"/>
      <c r="AA200" s="125"/>
      <c r="AF200" s="125"/>
      <c r="AK200" s="125"/>
      <c r="AP200" s="125"/>
      <c r="AU200" s="125"/>
      <c r="AZ200" s="125"/>
      <c r="BE200" s="125"/>
    </row>
    <row r="201" spans="1:57">
      <c r="A201" s="125"/>
      <c r="G201" s="125"/>
      <c r="L201" s="125"/>
      <c r="Q201" s="125"/>
      <c r="V201" s="125"/>
      <c r="AA201" s="125"/>
      <c r="AF201" s="125"/>
      <c r="AK201" s="125"/>
      <c r="AP201" s="125"/>
      <c r="AU201" s="125"/>
      <c r="AZ201" s="125"/>
      <c r="BE201" s="125"/>
    </row>
    <row r="202" spans="1:57">
      <c r="A202" s="125"/>
      <c r="G202" s="125"/>
      <c r="L202" s="125"/>
      <c r="Q202" s="125"/>
      <c r="V202" s="125"/>
      <c r="AA202" s="125"/>
      <c r="AF202" s="125"/>
      <c r="AK202" s="125"/>
      <c r="AP202" s="125"/>
      <c r="AU202" s="125"/>
      <c r="AZ202" s="125"/>
      <c r="BE202" s="125"/>
    </row>
    <row r="203" spans="1:57">
      <c r="A203" s="125"/>
      <c r="G203" s="125"/>
      <c r="L203" s="125"/>
      <c r="Q203" s="125"/>
      <c r="V203" s="125"/>
      <c r="AA203" s="125"/>
      <c r="AF203" s="125"/>
      <c r="AK203" s="125"/>
      <c r="AP203" s="125"/>
      <c r="AU203" s="125"/>
      <c r="AZ203" s="125"/>
      <c r="BE203" s="125"/>
    </row>
    <row r="204" spans="1:57">
      <c r="A204" s="125"/>
      <c r="G204" s="125"/>
      <c r="L204" s="125"/>
      <c r="Q204" s="125"/>
      <c r="V204" s="125"/>
      <c r="AA204" s="125"/>
      <c r="AF204" s="125"/>
      <c r="AK204" s="125"/>
      <c r="AP204" s="125"/>
      <c r="AU204" s="125"/>
      <c r="AZ204" s="125"/>
      <c r="BE204" s="125"/>
    </row>
    <row r="205" spans="1:57">
      <c r="A205" s="125"/>
      <c r="G205" s="125"/>
      <c r="L205" s="125"/>
      <c r="Q205" s="125"/>
      <c r="V205" s="125"/>
      <c r="AA205" s="125"/>
      <c r="AF205" s="125"/>
      <c r="AK205" s="125"/>
      <c r="AP205" s="125"/>
      <c r="AU205" s="125"/>
      <c r="AZ205" s="125"/>
      <c r="BE205" s="125"/>
    </row>
    <row r="206" spans="1:57">
      <c r="A206" s="125"/>
      <c r="G206" s="125"/>
      <c r="L206" s="125"/>
      <c r="Q206" s="125"/>
      <c r="V206" s="125"/>
      <c r="AA206" s="125"/>
      <c r="AF206" s="125"/>
      <c r="AK206" s="125"/>
      <c r="AP206" s="125"/>
      <c r="AU206" s="125"/>
      <c r="AZ206" s="125"/>
      <c r="BE206" s="125"/>
    </row>
    <row r="207" spans="1:57">
      <c r="A207" s="125"/>
      <c r="G207" s="125"/>
      <c r="L207" s="125"/>
      <c r="Q207" s="125"/>
      <c r="V207" s="125"/>
      <c r="AA207" s="125"/>
      <c r="AF207" s="125"/>
      <c r="AK207" s="125"/>
      <c r="AP207" s="125"/>
      <c r="AU207" s="125"/>
      <c r="AZ207" s="125"/>
      <c r="BE207" s="125"/>
    </row>
    <row r="208" spans="1:57">
      <c r="A208" s="125"/>
      <c r="G208" s="125"/>
      <c r="L208" s="125"/>
      <c r="Q208" s="125"/>
      <c r="V208" s="125"/>
      <c r="AA208" s="125"/>
      <c r="AF208" s="125"/>
      <c r="AK208" s="125"/>
      <c r="AP208" s="125"/>
      <c r="AU208" s="125"/>
      <c r="AZ208" s="125"/>
      <c r="BE208" s="125"/>
    </row>
    <row r="209" spans="1:57">
      <c r="A209" s="125"/>
      <c r="G209" s="125"/>
      <c r="L209" s="125"/>
      <c r="Q209" s="125"/>
      <c r="V209" s="125"/>
      <c r="AA209" s="125"/>
      <c r="AF209" s="125"/>
      <c r="AK209" s="125"/>
      <c r="AP209" s="125"/>
      <c r="AU209" s="125"/>
      <c r="AZ209" s="125"/>
      <c r="BE209" s="125"/>
    </row>
    <row r="210" spans="1:57">
      <c r="A210" s="125"/>
      <c r="G210" s="125"/>
      <c r="L210" s="125"/>
      <c r="Q210" s="125"/>
      <c r="V210" s="125"/>
      <c r="AA210" s="125"/>
      <c r="AF210" s="125"/>
      <c r="AK210" s="125"/>
      <c r="AP210" s="125"/>
      <c r="AU210" s="125"/>
      <c r="AZ210" s="125"/>
      <c r="BE210" s="125"/>
    </row>
    <row r="211" spans="1:57">
      <c r="A211" s="125"/>
      <c r="G211" s="125"/>
      <c r="L211" s="125"/>
      <c r="Q211" s="125"/>
      <c r="V211" s="125"/>
      <c r="AA211" s="125"/>
      <c r="AF211" s="125"/>
      <c r="AK211" s="125"/>
      <c r="AP211" s="125"/>
      <c r="AU211" s="125"/>
      <c r="AZ211" s="125"/>
      <c r="BE211" s="125"/>
    </row>
    <row r="212" spans="1:57">
      <c r="A212" s="125"/>
      <c r="G212" s="125"/>
      <c r="L212" s="125"/>
      <c r="Q212" s="125"/>
      <c r="V212" s="125"/>
      <c r="AA212" s="125"/>
      <c r="AF212" s="125"/>
      <c r="AK212" s="125"/>
      <c r="AP212" s="125"/>
      <c r="AU212" s="125"/>
      <c r="AZ212" s="125"/>
      <c r="BE212" s="125"/>
    </row>
    <row r="213" spans="1:57">
      <c r="A213" s="125"/>
      <c r="G213" s="125"/>
      <c r="L213" s="125"/>
      <c r="Q213" s="125"/>
      <c r="V213" s="125"/>
      <c r="AA213" s="125"/>
      <c r="AF213" s="125"/>
      <c r="AK213" s="125"/>
      <c r="AP213" s="125"/>
      <c r="AU213" s="125"/>
      <c r="AZ213" s="125"/>
      <c r="BE213" s="125"/>
    </row>
    <row r="214" spans="1:57">
      <c r="A214" s="125"/>
      <c r="G214" s="125"/>
      <c r="L214" s="125"/>
      <c r="Q214" s="125"/>
      <c r="V214" s="125"/>
      <c r="AA214" s="125"/>
      <c r="AF214" s="125"/>
      <c r="AK214" s="125"/>
      <c r="AP214" s="125"/>
      <c r="AU214" s="125"/>
      <c r="AZ214" s="125"/>
      <c r="BE214" s="125"/>
    </row>
    <row r="215" spans="1:57">
      <c r="A215" s="125"/>
      <c r="G215" s="125"/>
      <c r="L215" s="125"/>
      <c r="Q215" s="125"/>
      <c r="V215" s="125"/>
      <c r="AA215" s="125"/>
      <c r="AF215" s="125"/>
      <c r="AK215" s="125"/>
      <c r="AP215" s="125"/>
      <c r="AU215" s="125"/>
      <c r="AZ215" s="125"/>
      <c r="BE215" s="125"/>
    </row>
    <row r="216" spans="1:57">
      <c r="A216" s="125"/>
      <c r="G216" s="125"/>
      <c r="L216" s="125"/>
      <c r="Q216" s="125"/>
      <c r="V216" s="125"/>
      <c r="AA216" s="125"/>
      <c r="AF216" s="125"/>
      <c r="AK216" s="125"/>
      <c r="AP216" s="125"/>
      <c r="AU216" s="125"/>
      <c r="AZ216" s="125"/>
      <c r="BE216" s="125"/>
    </row>
    <row r="217" spans="1:57">
      <c r="A217" s="125"/>
      <c r="G217" s="125"/>
      <c r="L217" s="125"/>
      <c r="Q217" s="125"/>
      <c r="V217" s="125"/>
      <c r="AA217" s="125"/>
      <c r="AF217" s="125"/>
      <c r="AK217" s="125"/>
      <c r="AP217" s="125"/>
      <c r="AU217" s="125"/>
      <c r="AZ217" s="125"/>
      <c r="BE217" s="125"/>
    </row>
    <row r="218" spans="1:57">
      <c r="A218" s="125"/>
      <c r="G218" s="125"/>
      <c r="L218" s="125"/>
      <c r="Q218" s="125"/>
      <c r="V218" s="125"/>
      <c r="AA218" s="125"/>
      <c r="AF218" s="125"/>
      <c r="AK218" s="125"/>
      <c r="AP218" s="125"/>
      <c r="AU218" s="125"/>
      <c r="AZ218" s="125"/>
      <c r="BE218" s="125"/>
    </row>
    <row r="219" spans="1:57">
      <c r="A219" s="125"/>
      <c r="G219" s="125"/>
      <c r="L219" s="125"/>
      <c r="Q219" s="125"/>
      <c r="V219" s="125"/>
      <c r="AA219" s="125"/>
      <c r="AF219" s="125"/>
      <c r="AK219" s="125"/>
      <c r="AP219" s="125"/>
      <c r="AU219" s="125"/>
      <c r="AZ219" s="125"/>
      <c r="BE219" s="125"/>
    </row>
    <row r="220" spans="1:57">
      <c r="A220" s="125"/>
      <c r="G220" s="125"/>
      <c r="L220" s="125"/>
      <c r="Q220" s="125"/>
      <c r="V220" s="125"/>
      <c r="AA220" s="125"/>
      <c r="AF220" s="125"/>
      <c r="AK220" s="125"/>
      <c r="AP220" s="125"/>
      <c r="AU220" s="125"/>
      <c r="AZ220" s="125"/>
      <c r="BE220" s="125"/>
    </row>
    <row r="221" spans="1:57">
      <c r="A221" s="125"/>
      <c r="G221" s="125"/>
      <c r="L221" s="125"/>
      <c r="Q221" s="125"/>
      <c r="V221" s="125"/>
      <c r="AA221" s="125"/>
      <c r="AF221" s="125"/>
      <c r="AK221" s="125"/>
      <c r="AP221" s="125"/>
      <c r="AU221" s="125"/>
      <c r="AZ221" s="125"/>
      <c r="BE221" s="125"/>
    </row>
    <row r="222" spans="1:57">
      <c r="A222" s="125"/>
      <c r="G222" s="125"/>
      <c r="L222" s="125"/>
      <c r="Q222" s="125"/>
      <c r="V222" s="125"/>
      <c r="AA222" s="125"/>
      <c r="AF222" s="125"/>
      <c r="AK222" s="125"/>
      <c r="AP222" s="125"/>
      <c r="AU222" s="125"/>
      <c r="AZ222" s="125"/>
      <c r="BE222" s="125"/>
    </row>
    <row r="223" spans="1:57">
      <c r="A223" s="125"/>
      <c r="G223" s="125"/>
      <c r="L223" s="125"/>
      <c r="Q223" s="125"/>
      <c r="V223" s="125"/>
      <c r="AA223" s="125"/>
      <c r="AF223" s="125"/>
      <c r="AK223" s="125"/>
      <c r="AP223" s="125"/>
      <c r="AU223" s="125"/>
      <c r="AZ223" s="125"/>
      <c r="BE223" s="125"/>
    </row>
    <row r="224" spans="1:57">
      <c r="A224" s="125"/>
      <c r="G224" s="125"/>
      <c r="L224" s="125"/>
      <c r="Q224" s="125"/>
      <c r="V224" s="125"/>
      <c r="AA224" s="125"/>
      <c r="AF224" s="125"/>
      <c r="AK224" s="125"/>
      <c r="AP224" s="125"/>
      <c r="AU224" s="125"/>
      <c r="AZ224" s="125"/>
      <c r="BE224" s="125"/>
    </row>
    <row r="225" spans="1:57">
      <c r="A225" s="125"/>
      <c r="G225" s="125"/>
      <c r="L225" s="125"/>
      <c r="Q225" s="125"/>
      <c r="V225" s="125"/>
      <c r="AA225" s="125"/>
      <c r="AF225" s="125"/>
      <c r="AK225" s="125"/>
      <c r="AP225" s="125"/>
      <c r="AU225" s="125"/>
      <c r="AZ225" s="125"/>
      <c r="BE225" s="125"/>
    </row>
    <row r="226" spans="1:57">
      <c r="A226" s="125"/>
      <c r="G226" s="125"/>
      <c r="L226" s="125"/>
      <c r="Q226" s="125"/>
      <c r="V226" s="125"/>
      <c r="AA226" s="125"/>
      <c r="AF226" s="125"/>
      <c r="AK226" s="125"/>
      <c r="AP226" s="125"/>
      <c r="AU226" s="125"/>
      <c r="AZ226" s="125"/>
      <c r="BE226" s="125"/>
    </row>
    <row r="227" spans="1:57">
      <c r="A227" s="125"/>
      <c r="G227" s="125"/>
      <c r="L227" s="125"/>
      <c r="Q227" s="125"/>
      <c r="V227" s="125"/>
      <c r="AA227" s="125"/>
      <c r="AF227" s="125"/>
      <c r="AK227" s="125"/>
      <c r="AP227" s="125"/>
      <c r="AU227" s="125"/>
      <c r="AZ227" s="125"/>
      <c r="BE227" s="125"/>
    </row>
    <row r="228" spans="1:57">
      <c r="A228" s="125"/>
      <c r="G228" s="125"/>
      <c r="L228" s="125"/>
      <c r="Q228" s="125"/>
      <c r="V228" s="125"/>
      <c r="AA228" s="125"/>
      <c r="AF228" s="125"/>
      <c r="AK228" s="125"/>
      <c r="AP228" s="125"/>
      <c r="AU228" s="125"/>
      <c r="AZ228" s="125"/>
      <c r="BE228" s="125"/>
    </row>
    <row r="229" spans="1:57">
      <c r="A229" s="125"/>
      <c r="G229" s="125"/>
      <c r="L229" s="125"/>
      <c r="Q229" s="125"/>
      <c r="V229" s="125"/>
      <c r="AA229" s="125"/>
      <c r="AF229" s="125"/>
      <c r="AK229" s="125"/>
      <c r="AP229" s="125"/>
      <c r="AU229" s="125"/>
      <c r="AZ229" s="125"/>
      <c r="BE229" s="125"/>
    </row>
    <row r="230" spans="1:57">
      <c r="A230" s="125"/>
      <c r="G230" s="125"/>
      <c r="L230" s="125"/>
      <c r="Q230" s="125"/>
      <c r="V230" s="125"/>
      <c r="AA230" s="125"/>
      <c r="AF230" s="125"/>
      <c r="AK230" s="125"/>
      <c r="AP230" s="125"/>
      <c r="AU230" s="125"/>
      <c r="AZ230" s="125"/>
      <c r="BE230" s="125"/>
    </row>
    <row r="231" spans="1:57">
      <c r="A231" s="125"/>
      <c r="G231" s="125"/>
      <c r="L231" s="125"/>
      <c r="Q231" s="125"/>
      <c r="V231" s="125"/>
      <c r="AA231" s="125"/>
      <c r="AF231" s="125"/>
      <c r="AK231" s="125"/>
      <c r="AP231" s="125"/>
      <c r="AU231" s="125"/>
      <c r="AZ231" s="125"/>
      <c r="BE231" s="125"/>
    </row>
    <row r="232" spans="1:57">
      <c r="A232" s="125"/>
      <c r="G232" s="125"/>
      <c r="L232" s="125"/>
      <c r="Q232" s="125"/>
      <c r="V232" s="125"/>
      <c r="AA232" s="125"/>
      <c r="AF232" s="125"/>
      <c r="AK232" s="125"/>
      <c r="AP232" s="125"/>
      <c r="AU232" s="125"/>
      <c r="AZ232" s="125"/>
      <c r="BE232" s="125"/>
    </row>
    <row r="233" spans="1:57">
      <c r="A233" s="125"/>
      <c r="G233" s="125"/>
      <c r="L233" s="125"/>
      <c r="Q233" s="125"/>
      <c r="V233" s="125"/>
      <c r="AA233" s="125"/>
      <c r="AF233" s="125"/>
      <c r="AK233" s="125"/>
      <c r="AP233" s="125"/>
      <c r="AU233" s="125"/>
      <c r="AZ233" s="125"/>
      <c r="BE233" s="125"/>
    </row>
    <row r="234" spans="1:57">
      <c r="A234" s="125"/>
      <c r="G234" s="125"/>
      <c r="L234" s="125"/>
      <c r="Q234" s="125"/>
      <c r="V234" s="125"/>
      <c r="AA234" s="125"/>
      <c r="AF234" s="125"/>
      <c r="AK234" s="125"/>
      <c r="AP234" s="125"/>
      <c r="AU234" s="125"/>
      <c r="AZ234" s="125"/>
      <c r="BE234" s="125"/>
    </row>
    <row r="235" spans="1:57">
      <c r="A235" s="125"/>
      <c r="G235" s="125"/>
      <c r="L235" s="125"/>
      <c r="Q235" s="125"/>
      <c r="V235" s="125"/>
      <c r="AA235" s="125"/>
      <c r="AF235" s="125"/>
      <c r="AK235" s="125"/>
      <c r="AP235" s="125"/>
      <c r="AU235" s="125"/>
      <c r="AZ235" s="125"/>
      <c r="BE235" s="125"/>
    </row>
    <row r="236" spans="1:57">
      <c r="A236" s="125"/>
      <c r="G236" s="125"/>
      <c r="L236" s="125"/>
      <c r="Q236" s="125"/>
      <c r="V236" s="125"/>
      <c r="AA236" s="125"/>
      <c r="AF236" s="125"/>
      <c r="AK236" s="125"/>
      <c r="AP236" s="125"/>
      <c r="AU236" s="125"/>
      <c r="AZ236" s="125"/>
      <c r="BE236" s="125"/>
    </row>
    <row r="237" spans="1:57">
      <c r="A237" s="125"/>
      <c r="G237" s="125"/>
      <c r="L237" s="125"/>
      <c r="Q237" s="125"/>
      <c r="V237" s="125"/>
      <c r="AA237" s="125"/>
      <c r="AF237" s="125"/>
      <c r="AK237" s="125"/>
      <c r="AP237" s="125"/>
      <c r="AU237" s="125"/>
      <c r="AZ237" s="125"/>
      <c r="BE237" s="125"/>
    </row>
    <row r="238" spans="1:57">
      <c r="A238" s="125"/>
      <c r="G238" s="125"/>
      <c r="L238" s="125"/>
      <c r="Q238" s="125"/>
      <c r="V238" s="125"/>
      <c r="AA238" s="125"/>
      <c r="AF238" s="125"/>
      <c r="AK238" s="125"/>
      <c r="AP238" s="125"/>
      <c r="AU238" s="125"/>
      <c r="AZ238" s="125"/>
      <c r="BE238" s="125"/>
    </row>
    <row r="239" spans="1:57">
      <c r="A239" s="125"/>
      <c r="G239" s="125"/>
      <c r="L239" s="125"/>
      <c r="Q239" s="125"/>
      <c r="V239" s="125"/>
      <c r="AA239" s="125"/>
      <c r="AF239" s="125"/>
      <c r="AK239" s="125"/>
      <c r="AP239" s="125"/>
      <c r="AU239" s="125"/>
      <c r="AZ239" s="125"/>
      <c r="BE239" s="125"/>
    </row>
    <row r="240" spans="1:57">
      <c r="A240" s="125"/>
      <c r="G240" s="125"/>
      <c r="L240" s="125"/>
      <c r="Q240" s="125"/>
      <c r="V240" s="125"/>
      <c r="AA240" s="125"/>
      <c r="AF240" s="125"/>
      <c r="AK240" s="125"/>
      <c r="AP240" s="125"/>
      <c r="AU240" s="125"/>
      <c r="AZ240" s="125"/>
      <c r="BE240" s="125"/>
    </row>
    <row r="241" spans="1:57">
      <c r="A241" s="125"/>
      <c r="G241" s="125"/>
      <c r="L241" s="125"/>
      <c r="Q241" s="125"/>
      <c r="V241" s="125"/>
      <c r="AA241" s="125"/>
      <c r="AF241" s="125"/>
      <c r="AK241" s="125"/>
      <c r="AP241" s="125"/>
      <c r="AU241" s="125"/>
      <c r="AZ241" s="125"/>
      <c r="BE241" s="125"/>
    </row>
    <row r="242" spans="1:57">
      <c r="A242" s="125"/>
      <c r="G242" s="125"/>
      <c r="L242" s="125"/>
      <c r="Q242" s="125"/>
      <c r="V242" s="125"/>
      <c r="AA242" s="125"/>
      <c r="AF242" s="125"/>
      <c r="AK242" s="125"/>
      <c r="AP242" s="125"/>
      <c r="AU242" s="125"/>
      <c r="AZ242" s="125"/>
      <c r="BE242" s="125"/>
    </row>
    <row r="243" spans="1:57">
      <c r="A243" s="125"/>
      <c r="G243" s="125"/>
      <c r="L243" s="125"/>
      <c r="Q243" s="125"/>
      <c r="V243" s="125"/>
      <c r="AA243" s="125"/>
      <c r="AF243" s="125"/>
      <c r="AK243" s="125"/>
      <c r="AP243" s="125"/>
      <c r="AU243" s="125"/>
      <c r="AZ243" s="125"/>
      <c r="BE243" s="125"/>
    </row>
    <row r="244" spans="1:57">
      <c r="A244" s="125"/>
      <c r="G244" s="125"/>
      <c r="L244" s="125"/>
      <c r="Q244" s="125"/>
      <c r="V244" s="125"/>
      <c r="AA244" s="125"/>
      <c r="AF244" s="125"/>
      <c r="AK244" s="125"/>
      <c r="AP244" s="125"/>
      <c r="AU244" s="125"/>
      <c r="AZ244" s="125"/>
      <c r="BE244" s="125"/>
    </row>
    <row r="245" spans="1:57">
      <c r="A245" s="125"/>
      <c r="G245" s="125"/>
      <c r="L245" s="125"/>
      <c r="Q245" s="125"/>
      <c r="V245" s="125"/>
      <c r="AA245" s="125"/>
      <c r="AF245" s="125"/>
      <c r="AK245" s="125"/>
      <c r="AP245" s="125"/>
      <c r="AU245" s="125"/>
      <c r="AZ245" s="125"/>
      <c r="BE245" s="125"/>
    </row>
    <row r="246" spans="1:57">
      <c r="A246" s="125"/>
      <c r="G246" s="125"/>
      <c r="L246" s="125"/>
      <c r="Q246" s="125"/>
      <c r="V246" s="125"/>
      <c r="AA246" s="125"/>
      <c r="AF246" s="125"/>
      <c r="AK246" s="125"/>
      <c r="AP246" s="125"/>
      <c r="AU246" s="125"/>
      <c r="AZ246" s="125"/>
      <c r="BE246" s="125"/>
    </row>
    <row r="247" spans="1:57">
      <c r="A247" s="125"/>
      <c r="G247" s="125"/>
      <c r="L247" s="125"/>
      <c r="Q247" s="125"/>
      <c r="V247" s="125"/>
      <c r="AA247" s="125"/>
      <c r="AF247" s="125"/>
      <c r="AK247" s="125"/>
      <c r="AP247" s="125"/>
      <c r="AU247" s="125"/>
      <c r="AZ247" s="125"/>
      <c r="BE247" s="125"/>
    </row>
    <row r="248" spans="1:57">
      <c r="A248" s="125"/>
      <c r="G248" s="125"/>
      <c r="L248" s="125"/>
      <c r="Q248" s="125"/>
      <c r="V248" s="125"/>
      <c r="AA248" s="125"/>
      <c r="AF248" s="125"/>
      <c r="AK248" s="125"/>
      <c r="AP248" s="125"/>
      <c r="AU248" s="125"/>
      <c r="AZ248" s="125"/>
      <c r="BE248" s="125"/>
    </row>
    <row r="249" spans="1:57">
      <c r="A249" s="125"/>
      <c r="G249" s="125"/>
      <c r="L249" s="125"/>
      <c r="Q249" s="125"/>
      <c r="V249" s="125"/>
      <c r="AA249" s="125"/>
      <c r="AF249" s="125"/>
      <c r="AK249" s="125"/>
      <c r="AP249" s="125"/>
      <c r="AU249" s="125"/>
      <c r="AZ249" s="125"/>
      <c r="BE249" s="125"/>
    </row>
    <row r="250" spans="1:57">
      <c r="A250" s="125"/>
      <c r="G250" s="125"/>
      <c r="L250" s="125"/>
      <c r="Q250" s="125"/>
      <c r="V250" s="125"/>
      <c r="AA250" s="125"/>
      <c r="AF250" s="125"/>
      <c r="AK250" s="125"/>
      <c r="AP250" s="125"/>
      <c r="AU250" s="125"/>
      <c r="AZ250" s="125"/>
      <c r="BE250" s="125"/>
    </row>
    <row r="251" spans="1:57">
      <c r="A251" s="125"/>
      <c r="G251" s="125"/>
      <c r="L251" s="125"/>
      <c r="Q251" s="125"/>
      <c r="V251" s="125"/>
      <c r="AA251" s="125"/>
      <c r="AF251" s="125"/>
      <c r="AK251" s="125"/>
      <c r="AP251" s="125"/>
      <c r="AU251" s="125"/>
      <c r="AZ251" s="125"/>
      <c r="BE251" s="125"/>
    </row>
    <row r="252" spans="1:57">
      <c r="A252" s="125"/>
      <c r="G252" s="125"/>
      <c r="L252" s="125"/>
      <c r="Q252" s="125"/>
      <c r="V252" s="125"/>
      <c r="AA252" s="125"/>
      <c r="AF252" s="125"/>
      <c r="AK252" s="125"/>
      <c r="AP252" s="125"/>
      <c r="AU252" s="125"/>
      <c r="AZ252" s="125"/>
      <c r="BE252" s="125"/>
    </row>
    <row r="253" spans="1:57">
      <c r="A253" s="125"/>
      <c r="G253" s="125"/>
      <c r="L253" s="125"/>
      <c r="Q253" s="125"/>
      <c r="V253" s="125"/>
      <c r="AA253" s="125"/>
      <c r="AF253" s="125"/>
      <c r="AK253" s="125"/>
      <c r="AP253" s="125"/>
      <c r="AU253" s="125"/>
      <c r="AZ253" s="125"/>
      <c r="BE253" s="125"/>
    </row>
    <row r="254" spans="1:57">
      <c r="A254" s="125"/>
      <c r="G254" s="125"/>
      <c r="L254" s="125"/>
      <c r="Q254" s="125"/>
      <c r="V254" s="125"/>
      <c r="AA254" s="125"/>
      <c r="AF254" s="125"/>
      <c r="AK254" s="125"/>
      <c r="AP254" s="125"/>
      <c r="AU254" s="125"/>
      <c r="AZ254" s="125"/>
      <c r="BE254" s="125"/>
    </row>
    <row r="255" spans="1:57">
      <c r="A255" s="125"/>
      <c r="G255" s="125"/>
      <c r="L255" s="125"/>
      <c r="Q255" s="125"/>
      <c r="V255" s="125"/>
      <c r="AA255" s="125"/>
      <c r="AF255" s="125"/>
      <c r="AK255" s="125"/>
      <c r="AP255" s="125"/>
      <c r="AU255" s="125"/>
      <c r="AZ255" s="125"/>
      <c r="BE255" s="125"/>
    </row>
    <row r="256" spans="1:57">
      <c r="A256" s="125"/>
      <c r="G256" s="125"/>
      <c r="L256" s="125"/>
      <c r="Q256" s="125"/>
      <c r="V256" s="125"/>
      <c r="AA256" s="125"/>
      <c r="AF256" s="125"/>
      <c r="AK256" s="125"/>
      <c r="AP256" s="125"/>
      <c r="AU256" s="125"/>
      <c r="AZ256" s="125"/>
      <c r="BE256" s="125"/>
    </row>
    <row r="257" spans="1:57">
      <c r="A257" s="125"/>
      <c r="G257" s="125"/>
      <c r="L257" s="125"/>
      <c r="Q257" s="125"/>
      <c r="V257" s="125"/>
      <c r="AA257" s="125"/>
      <c r="AF257" s="125"/>
      <c r="AK257" s="125"/>
      <c r="AP257" s="125"/>
      <c r="AU257" s="125"/>
      <c r="AZ257" s="125"/>
      <c r="BE257" s="125"/>
    </row>
    <row r="258" spans="1:57">
      <c r="A258" s="125"/>
      <c r="G258" s="125"/>
      <c r="L258" s="125"/>
      <c r="Q258" s="125"/>
      <c r="V258" s="125"/>
      <c r="AA258" s="125"/>
      <c r="AF258" s="125"/>
      <c r="AK258" s="125"/>
      <c r="AP258" s="125"/>
      <c r="AU258" s="125"/>
      <c r="AZ258" s="125"/>
      <c r="BE258" s="125"/>
    </row>
    <row r="259" spans="1:57">
      <c r="A259" s="125"/>
      <c r="G259" s="125"/>
      <c r="L259" s="125"/>
      <c r="Q259" s="125"/>
      <c r="V259" s="125"/>
      <c r="AA259" s="125"/>
      <c r="AF259" s="125"/>
      <c r="AK259" s="125"/>
      <c r="AP259" s="125"/>
      <c r="AU259" s="125"/>
      <c r="AZ259" s="125"/>
      <c r="BE259" s="125"/>
    </row>
    <row r="260" spans="1:57">
      <c r="A260" s="125"/>
      <c r="G260" s="125"/>
      <c r="L260" s="125"/>
      <c r="Q260" s="125"/>
      <c r="V260" s="125"/>
      <c r="AA260" s="125"/>
      <c r="AF260" s="125"/>
      <c r="AK260" s="125"/>
      <c r="AP260" s="125"/>
      <c r="AU260" s="125"/>
      <c r="AZ260" s="125"/>
      <c r="BE260" s="125"/>
    </row>
    <row r="261" spans="1:57">
      <c r="A261" s="125"/>
      <c r="G261" s="125"/>
      <c r="L261" s="125"/>
      <c r="Q261" s="125"/>
      <c r="V261" s="125"/>
      <c r="AA261" s="125"/>
      <c r="AF261" s="125"/>
      <c r="AK261" s="125"/>
      <c r="AP261" s="125"/>
      <c r="AU261" s="125"/>
      <c r="AZ261" s="125"/>
      <c r="BE261" s="125"/>
    </row>
    <row r="262" spans="1:57">
      <c r="A262" s="125"/>
      <c r="G262" s="125"/>
      <c r="L262" s="125"/>
      <c r="Q262" s="125"/>
      <c r="V262" s="125"/>
      <c r="AA262" s="125"/>
      <c r="AF262" s="125"/>
      <c r="AK262" s="125"/>
      <c r="AP262" s="125"/>
      <c r="AU262" s="125"/>
      <c r="AZ262" s="125"/>
      <c r="BE262" s="125"/>
    </row>
    <row r="263" spans="1:57">
      <c r="A263" s="125"/>
      <c r="G263" s="125"/>
      <c r="L263" s="125"/>
      <c r="Q263" s="125"/>
      <c r="V263" s="125"/>
      <c r="AA263" s="125"/>
      <c r="AF263" s="125"/>
      <c r="AK263" s="125"/>
      <c r="AP263" s="125"/>
      <c r="AU263" s="125"/>
      <c r="AZ263" s="125"/>
      <c r="BE263" s="125"/>
    </row>
    <row r="264" spans="1:57">
      <c r="A264" s="125"/>
      <c r="G264" s="125"/>
      <c r="L264" s="125"/>
      <c r="Q264" s="125"/>
      <c r="V264" s="125"/>
      <c r="AA264" s="125"/>
      <c r="AF264" s="125"/>
      <c r="AK264" s="125"/>
      <c r="AP264" s="125"/>
      <c r="AU264" s="125"/>
      <c r="AZ264" s="125"/>
      <c r="BE264" s="125"/>
    </row>
    <row r="265" spans="1:57">
      <c r="A265" s="125"/>
      <c r="G265" s="125"/>
      <c r="L265" s="125"/>
      <c r="Q265" s="125"/>
      <c r="V265" s="125"/>
      <c r="AA265" s="125"/>
      <c r="AF265" s="125"/>
      <c r="AK265" s="125"/>
      <c r="AP265" s="125"/>
      <c r="AU265" s="125"/>
      <c r="AZ265" s="125"/>
      <c r="BE265" s="125"/>
    </row>
    <row r="266" spans="1:57">
      <c r="A266" s="125"/>
      <c r="G266" s="125"/>
      <c r="L266" s="125"/>
      <c r="Q266" s="125"/>
      <c r="V266" s="125"/>
      <c r="AA266" s="125"/>
      <c r="AF266" s="125"/>
      <c r="AK266" s="125"/>
      <c r="AP266" s="125"/>
      <c r="AU266" s="125"/>
      <c r="AZ266" s="125"/>
      <c r="BE266" s="125"/>
    </row>
    <row r="267" spans="1:57">
      <c r="A267" s="125"/>
      <c r="G267" s="125"/>
      <c r="L267" s="125"/>
      <c r="Q267" s="125"/>
      <c r="V267" s="125"/>
      <c r="AA267" s="125"/>
      <c r="AF267" s="125"/>
      <c r="AK267" s="125"/>
      <c r="AP267" s="125"/>
      <c r="AU267" s="125"/>
      <c r="AZ267" s="125"/>
      <c r="BE267" s="125"/>
    </row>
    <row r="268" spans="1:57">
      <c r="A268" s="125"/>
      <c r="G268" s="125"/>
      <c r="L268" s="125"/>
      <c r="Q268" s="125"/>
      <c r="V268" s="125"/>
      <c r="AA268" s="125"/>
      <c r="AF268" s="125"/>
      <c r="AK268" s="125"/>
      <c r="AP268" s="125"/>
      <c r="AU268" s="125"/>
      <c r="AZ268" s="125"/>
      <c r="BE268" s="125"/>
    </row>
    <row r="269" spans="1:57">
      <c r="A269" s="125"/>
      <c r="G269" s="125"/>
      <c r="L269" s="125"/>
      <c r="Q269" s="125"/>
      <c r="V269" s="125"/>
      <c r="AA269" s="125"/>
      <c r="AF269" s="125"/>
      <c r="AK269" s="125"/>
      <c r="AP269" s="125"/>
      <c r="AU269" s="125"/>
      <c r="AZ269" s="125"/>
      <c r="BE269" s="125"/>
    </row>
    <row r="270" spans="1:57">
      <c r="A270" s="125"/>
      <c r="G270" s="125"/>
      <c r="L270" s="125"/>
      <c r="Q270" s="125"/>
      <c r="V270" s="125"/>
      <c r="AA270" s="125"/>
      <c r="AF270" s="125"/>
      <c r="AK270" s="125"/>
      <c r="AP270" s="125"/>
      <c r="AU270" s="125"/>
      <c r="AZ270" s="125"/>
      <c r="BE270" s="125"/>
    </row>
    <row r="271" spans="1:57">
      <c r="A271" s="125"/>
      <c r="G271" s="125"/>
      <c r="L271" s="125"/>
      <c r="Q271" s="125"/>
      <c r="V271" s="125"/>
      <c r="AA271" s="125"/>
      <c r="AF271" s="125"/>
      <c r="AK271" s="125"/>
      <c r="AP271" s="125"/>
      <c r="AU271" s="125"/>
      <c r="AZ271" s="125"/>
      <c r="BE271" s="125"/>
    </row>
    <row r="272" spans="1:57">
      <c r="A272" s="125"/>
      <c r="G272" s="125"/>
      <c r="L272" s="125"/>
      <c r="Q272" s="125"/>
      <c r="V272" s="125"/>
      <c r="AA272" s="125"/>
      <c r="AF272" s="125"/>
      <c r="AK272" s="125"/>
      <c r="AP272" s="125"/>
      <c r="AU272" s="125"/>
      <c r="AZ272" s="125"/>
      <c r="BE272" s="125"/>
    </row>
    <row r="273" spans="1:57">
      <c r="A273" s="125"/>
      <c r="G273" s="125"/>
      <c r="L273" s="125"/>
      <c r="Q273" s="125"/>
      <c r="V273" s="125"/>
      <c r="AA273" s="125"/>
      <c r="AF273" s="125"/>
      <c r="AK273" s="125"/>
      <c r="AP273" s="125"/>
      <c r="AU273" s="125"/>
      <c r="AZ273" s="125"/>
      <c r="BE273" s="125"/>
    </row>
    <row r="274" spans="1:57">
      <c r="A274" s="125"/>
      <c r="G274" s="125"/>
      <c r="L274" s="125"/>
      <c r="Q274" s="125"/>
      <c r="V274" s="125"/>
      <c r="AA274" s="125"/>
      <c r="AF274" s="125"/>
      <c r="AK274" s="125"/>
      <c r="AP274" s="125"/>
      <c r="AU274" s="125"/>
      <c r="AZ274" s="125"/>
      <c r="BE274" s="125"/>
    </row>
    <row r="275" spans="1:57">
      <c r="A275" s="125"/>
      <c r="G275" s="125"/>
      <c r="L275" s="125"/>
      <c r="Q275" s="125"/>
      <c r="V275" s="125"/>
      <c r="AA275" s="125"/>
      <c r="AF275" s="125"/>
      <c r="AK275" s="125"/>
      <c r="AP275" s="125"/>
      <c r="AU275" s="125"/>
      <c r="AZ275" s="125"/>
      <c r="BE275" s="125"/>
    </row>
    <row r="276" spans="1:57">
      <c r="A276" s="125"/>
      <c r="G276" s="125"/>
      <c r="L276" s="125"/>
      <c r="Q276" s="125"/>
      <c r="V276" s="125"/>
      <c r="AA276" s="125"/>
      <c r="AF276" s="125"/>
      <c r="AK276" s="125"/>
      <c r="AP276" s="125"/>
      <c r="AU276" s="125"/>
      <c r="AZ276" s="125"/>
      <c r="BE276" s="125"/>
    </row>
    <row r="277" spans="1:57">
      <c r="A277" s="125"/>
      <c r="G277" s="125"/>
      <c r="L277" s="125"/>
      <c r="Q277" s="125"/>
      <c r="V277" s="125"/>
      <c r="AA277" s="125"/>
      <c r="AF277" s="125"/>
      <c r="AK277" s="125"/>
      <c r="AP277" s="125"/>
      <c r="AU277" s="125"/>
      <c r="AZ277" s="125"/>
      <c r="BE277" s="125"/>
    </row>
    <row r="278" spans="1:57">
      <c r="A278" s="125"/>
      <c r="G278" s="125"/>
      <c r="L278" s="125"/>
      <c r="Q278" s="125"/>
      <c r="V278" s="125"/>
      <c r="AA278" s="125"/>
      <c r="AF278" s="125"/>
      <c r="AK278" s="125"/>
      <c r="AP278" s="125"/>
      <c r="AU278" s="125"/>
      <c r="AZ278" s="125"/>
      <c r="BE278" s="125"/>
    </row>
    <row r="279" spans="1:57">
      <c r="A279" s="125"/>
      <c r="G279" s="125"/>
      <c r="L279" s="125"/>
      <c r="Q279" s="125"/>
      <c r="V279" s="125"/>
      <c r="AA279" s="125"/>
      <c r="AF279" s="125"/>
      <c r="AK279" s="125"/>
      <c r="AP279" s="125"/>
      <c r="AU279" s="125"/>
      <c r="AZ279" s="125"/>
      <c r="BE279" s="125"/>
    </row>
    <row r="280" spans="1:57">
      <c r="A280" s="125"/>
      <c r="G280" s="125"/>
      <c r="L280" s="125"/>
      <c r="Q280" s="125"/>
      <c r="V280" s="125"/>
      <c r="AA280" s="125"/>
      <c r="AF280" s="125"/>
      <c r="AK280" s="125"/>
      <c r="AP280" s="125"/>
      <c r="AU280" s="125"/>
      <c r="AZ280" s="125"/>
      <c r="BE280" s="125"/>
    </row>
    <row r="281" spans="1:57">
      <c r="A281" s="125"/>
      <c r="G281" s="125"/>
      <c r="L281" s="125"/>
      <c r="Q281" s="125"/>
      <c r="V281" s="125"/>
      <c r="AA281" s="125"/>
      <c r="AF281" s="125"/>
      <c r="AK281" s="125"/>
      <c r="AP281" s="125"/>
      <c r="AU281" s="125"/>
      <c r="AZ281" s="125"/>
      <c r="BE281" s="125"/>
    </row>
    <row r="282" spans="1:57">
      <c r="A282" s="125"/>
      <c r="G282" s="125"/>
      <c r="L282" s="125"/>
      <c r="Q282" s="125"/>
      <c r="V282" s="125"/>
      <c r="AA282" s="125"/>
      <c r="AF282" s="125"/>
      <c r="AK282" s="125"/>
      <c r="AP282" s="125"/>
      <c r="AU282" s="125"/>
      <c r="AZ282" s="125"/>
      <c r="BE282" s="125"/>
    </row>
    <row r="283" spans="1:57">
      <c r="A283" s="125"/>
      <c r="G283" s="125"/>
      <c r="L283" s="125"/>
      <c r="Q283" s="125"/>
      <c r="V283" s="125"/>
      <c r="AA283" s="125"/>
      <c r="AF283" s="125"/>
      <c r="AK283" s="125"/>
      <c r="AP283" s="125"/>
      <c r="AU283" s="125"/>
      <c r="AZ283" s="125"/>
      <c r="BE283" s="125"/>
    </row>
    <row r="284" spans="1:57">
      <c r="A284" s="125"/>
      <c r="G284" s="125"/>
      <c r="L284" s="125"/>
      <c r="Q284" s="125"/>
      <c r="V284" s="125"/>
      <c r="AA284" s="125"/>
      <c r="AF284" s="125"/>
      <c r="AK284" s="125"/>
      <c r="AP284" s="125"/>
      <c r="AU284" s="125"/>
      <c r="AZ284" s="125"/>
      <c r="BE284" s="125"/>
    </row>
    <row r="285" spans="1:57">
      <c r="A285" s="125"/>
      <c r="G285" s="125"/>
      <c r="L285" s="125"/>
      <c r="Q285" s="125"/>
      <c r="V285" s="125"/>
      <c r="AA285" s="125"/>
      <c r="AF285" s="125"/>
      <c r="AK285" s="125"/>
      <c r="AP285" s="125"/>
      <c r="AU285" s="125"/>
      <c r="AZ285" s="125"/>
      <c r="BE285" s="125"/>
    </row>
    <row r="286" spans="1:57">
      <c r="A286" s="125"/>
      <c r="G286" s="125"/>
      <c r="L286" s="125"/>
      <c r="Q286" s="125"/>
      <c r="V286" s="125"/>
      <c r="AA286" s="125"/>
      <c r="AF286" s="125"/>
      <c r="AK286" s="125"/>
      <c r="AP286" s="125"/>
      <c r="AU286" s="125"/>
      <c r="AZ286" s="125"/>
      <c r="BE286" s="125"/>
    </row>
    <row r="287" spans="1:57">
      <c r="A287" s="125"/>
      <c r="G287" s="125"/>
      <c r="L287" s="125"/>
      <c r="Q287" s="125"/>
      <c r="V287" s="125"/>
      <c r="AA287" s="125"/>
      <c r="AF287" s="125"/>
      <c r="AK287" s="125"/>
      <c r="AP287" s="125"/>
      <c r="AU287" s="125"/>
      <c r="AZ287" s="125"/>
      <c r="BE287" s="125"/>
    </row>
    <row r="288" spans="1:57">
      <c r="A288" s="125"/>
      <c r="G288" s="125"/>
      <c r="L288" s="125"/>
      <c r="Q288" s="125"/>
      <c r="V288" s="125"/>
      <c r="AA288" s="125"/>
      <c r="AF288" s="125"/>
      <c r="AK288" s="125"/>
      <c r="AP288" s="125"/>
      <c r="AU288" s="125"/>
      <c r="AZ288" s="125"/>
      <c r="BE288" s="125"/>
    </row>
    <row r="289" spans="1:57">
      <c r="A289" s="125"/>
      <c r="G289" s="125"/>
      <c r="L289" s="125"/>
      <c r="Q289" s="125"/>
      <c r="V289" s="125"/>
      <c r="AA289" s="125"/>
      <c r="AF289" s="125"/>
      <c r="AK289" s="125"/>
      <c r="AP289" s="125"/>
      <c r="AU289" s="125"/>
      <c r="AZ289" s="125"/>
      <c r="BE289" s="125"/>
    </row>
    <row r="290" spans="1:57">
      <c r="A290" s="125"/>
      <c r="G290" s="125"/>
      <c r="L290" s="125"/>
      <c r="Q290" s="125"/>
      <c r="V290" s="125"/>
      <c r="AA290" s="125"/>
      <c r="AF290" s="125"/>
      <c r="AK290" s="125"/>
      <c r="AP290" s="125"/>
      <c r="AU290" s="125"/>
      <c r="AZ290" s="125"/>
      <c r="BE290" s="125"/>
    </row>
    <row r="291" spans="1:57">
      <c r="A291" s="125"/>
      <c r="G291" s="125"/>
      <c r="L291" s="125"/>
      <c r="Q291" s="125"/>
      <c r="V291" s="125"/>
      <c r="AA291" s="125"/>
      <c r="AF291" s="125"/>
      <c r="AK291" s="125"/>
      <c r="AP291" s="125"/>
      <c r="AU291" s="125"/>
      <c r="AZ291" s="125"/>
      <c r="BE291" s="125"/>
    </row>
    <row r="292" spans="1:57">
      <c r="A292" s="125"/>
      <c r="G292" s="125"/>
      <c r="L292" s="125"/>
      <c r="Q292" s="125"/>
      <c r="V292" s="125"/>
      <c r="AA292" s="125"/>
      <c r="AF292" s="125"/>
      <c r="AK292" s="125"/>
      <c r="AP292" s="125"/>
      <c r="AU292" s="125"/>
      <c r="AZ292" s="125"/>
      <c r="BE292" s="125"/>
    </row>
    <row r="293" spans="1:57">
      <c r="A293" s="125"/>
      <c r="G293" s="125"/>
      <c r="L293" s="125"/>
      <c r="Q293" s="125"/>
      <c r="V293" s="125"/>
      <c r="AA293" s="125"/>
      <c r="AF293" s="125"/>
      <c r="AK293" s="125"/>
      <c r="AP293" s="125"/>
      <c r="AU293" s="125"/>
      <c r="AZ293" s="125"/>
      <c r="BE293" s="125"/>
    </row>
    <row r="294" spans="1:57">
      <c r="A294" s="125"/>
      <c r="G294" s="125"/>
      <c r="L294" s="125"/>
      <c r="Q294" s="125"/>
      <c r="V294" s="125"/>
      <c r="AA294" s="125"/>
      <c r="AF294" s="125"/>
      <c r="AK294" s="125"/>
      <c r="AP294" s="125"/>
      <c r="AU294" s="125"/>
      <c r="AZ294" s="125"/>
      <c r="BE294" s="125"/>
    </row>
    <row r="295" spans="1:57">
      <c r="A295" s="125"/>
      <c r="G295" s="125"/>
      <c r="L295" s="125"/>
      <c r="Q295" s="125"/>
      <c r="V295" s="125"/>
      <c r="AA295" s="125"/>
      <c r="AF295" s="125"/>
      <c r="AK295" s="125"/>
      <c r="AP295" s="125"/>
      <c r="AU295" s="125"/>
      <c r="AZ295" s="125"/>
      <c r="BE295" s="125"/>
    </row>
    <row r="296" spans="1:57">
      <c r="A296" s="125"/>
      <c r="G296" s="125"/>
      <c r="L296" s="125"/>
      <c r="Q296" s="125"/>
      <c r="V296" s="125"/>
      <c r="AA296" s="125"/>
      <c r="AF296" s="125"/>
      <c r="AK296" s="125"/>
      <c r="AP296" s="125"/>
      <c r="AU296" s="125"/>
      <c r="AZ296" s="125"/>
      <c r="BE296" s="125"/>
    </row>
    <row r="297" spans="1:57">
      <c r="A297" s="125"/>
      <c r="G297" s="125"/>
      <c r="L297" s="125"/>
      <c r="Q297" s="125"/>
      <c r="V297" s="125"/>
      <c r="AA297" s="125"/>
      <c r="AF297" s="125"/>
      <c r="AK297" s="125"/>
      <c r="AP297" s="125"/>
      <c r="AU297" s="125"/>
      <c r="AZ297" s="125"/>
      <c r="BE297" s="125"/>
    </row>
    <row r="298" spans="1:57">
      <c r="A298" s="125"/>
      <c r="G298" s="125"/>
      <c r="L298" s="125"/>
      <c r="Q298" s="125"/>
      <c r="V298" s="125"/>
      <c r="AA298" s="125"/>
      <c r="AF298" s="125"/>
      <c r="AK298" s="125"/>
      <c r="AP298" s="125"/>
      <c r="AU298" s="125"/>
      <c r="AZ298" s="125"/>
      <c r="BE298" s="125"/>
    </row>
    <row r="299" spans="1:57">
      <c r="A299" s="125"/>
      <c r="G299" s="125"/>
      <c r="L299" s="125"/>
      <c r="Q299" s="125"/>
      <c r="V299" s="125"/>
      <c r="AA299" s="125"/>
      <c r="AF299" s="125"/>
      <c r="AK299" s="125"/>
      <c r="AP299" s="125"/>
      <c r="AU299" s="125"/>
      <c r="AZ299" s="125"/>
      <c r="BE299" s="125"/>
    </row>
    <row r="300" spans="1:57">
      <c r="A300" s="125"/>
      <c r="G300" s="125"/>
      <c r="L300" s="125"/>
      <c r="Q300" s="125"/>
      <c r="V300" s="125"/>
      <c r="AA300" s="125"/>
      <c r="AF300" s="125"/>
      <c r="AK300" s="125"/>
      <c r="AP300" s="125"/>
      <c r="AU300" s="125"/>
      <c r="AZ300" s="125"/>
      <c r="BE300" s="125"/>
    </row>
    <row r="301" spans="1:57">
      <c r="A301" s="125"/>
      <c r="G301" s="125"/>
      <c r="L301" s="125"/>
      <c r="Q301" s="125"/>
      <c r="V301" s="125"/>
      <c r="AA301" s="125"/>
      <c r="AF301" s="125"/>
      <c r="AK301" s="125"/>
      <c r="AP301" s="125"/>
      <c r="AU301" s="125"/>
      <c r="AZ301" s="125"/>
      <c r="BE301" s="125"/>
    </row>
    <row r="302" spans="1:57">
      <c r="A302" s="125"/>
      <c r="G302" s="125"/>
      <c r="L302" s="125"/>
      <c r="Q302" s="125"/>
      <c r="V302" s="125"/>
      <c r="AA302" s="125"/>
      <c r="AF302" s="125"/>
      <c r="AK302" s="125"/>
      <c r="AP302" s="125"/>
      <c r="AU302" s="125"/>
      <c r="AZ302" s="125"/>
      <c r="BE302" s="125"/>
    </row>
    <row r="303" spans="1:57">
      <c r="A303" s="125"/>
      <c r="G303" s="125"/>
      <c r="L303" s="125"/>
      <c r="Q303" s="125"/>
      <c r="V303" s="125"/>
      <c r="AA303" s="125"/>
      <c r="AF303" s="125"/>
      <c r="AK303" s="125"/>
      <c r="AP303" s="125"/>
      <c r="AU303" s="125"/>
      <c r="AZ303" s="125"/>
      <c r="BE303" s="125"/>
    </row>
    <row r="304" spans="1:57">
      <c r="A304" s="125"/>
      <c r="G304" s="125"/>
      <c r="L304" s="125"/>
      <c r="Q304" s="125"/>
      <c r="V304" s="125"/>
      <c r="AA304" s="125"/>
      <c r="AF304" s="125"/>
      <c r="AK304" s="125"/>
      <c r="AP304" s="125"/>
      <c r="AU304" s="125"/>
      <c r="AZ304" s="125"/>
      <c r="BE304" s="125"/>
    </row>
    <row r="305" spans="1:57">
      <c r="A305" s="125"/>
      <c r="G305" s="125"/>
      <c r="L305" s="125"/>
      <c r="Q305" s="125"/>
      <c r="V305" s="125"/>
      <c r="AA305" s="125"/>
      <c r="AF305" s="125"/>
      <c r="AK305" s="125"/>
      <c r="AP305" s="125"/>
      <c r="AU305" s="125"/>
      <c r="AZ305" s="125"/>
      <c r="BE305" s="125"/>
    </row>
    <row r="306" spans="1:57">
      <c r="A306" s="125"/>
      <c r="G306" s="125"/>
      <c r="L306" s="125"/>
      <c r="Q306" s="125"/>
      <c r="V306" s="125"/>
      <c r="AA306" s="125"/>
      <c r="AF306" s="125"/>
      <c r="AK306" s="125"/>
      <c r="AP306" s="125"/>
      <c r="AU306" s="125"/>
      <c r="AZ306" s="125"/>
      <c r="BE306" s="125"/>
    </row>
    <row r="307" spans="1:57">
      <c r="A307" s="125"/>
      <c r="G307" s="125"/>
      <c r="L307" s="125"/>
      <c r="Q307" s="125"/>
      <c r="V307" s="125"/>
      <c r="AA307" s="125"/>
      <c r="AF307" s="125"/>
      <c r="AK307" s="125"/>
      <c r="AP307" s="125"/>
      <c r="AU307" s="125"/>
      <c r="AZ307" s="125"/>
      <c r="BE307" s="125"/>
    </row>
    <row r="308" spans="1:57">
      <c r="A308" s="125"/>
      <c r="G308" s="125"/>
      <c r="L308" s="125"/>
      <c r="Q308" s="125"/>
      <c r="V308" s="125"/>
      <c r="AA308" s="125"/>
      <c r="AF308" s="125"/>
      <c r="AK308" s="125"/>
      <c r="AP308" s="125"/>
      <c r="AU308" s="125"/>
      <c r="AZ308" s="125"/>
      <c r="BE308" s="125"/>
    </row>
    <row r="309" spans="1:57">
      <c r="A309" s="125"/>
      <c r="G309" s="125"/>
      <c r="L309" s="125"/>
      <c r="Q309" s="125"/>
      <c r="V309" s="125"/>
      <c r="AA309" s="125"/>
      <c r="AF309" s="125"/>
      <c r="AK309" s="125"/>
      <c r="AP309" s="125"/>
      <c r="AU309" s="125"/>
      <c r="AZ309" s="125"/>
      <c r="BE309" s="125"/>
    </row>
    <row r="310" spans="1:57">
      <c r="A310" s="125"/>
      <c r="G310" s="125"/>
      <c r="L310" s="125"/>
      <c r="Q310" s="125"/>
      <c r="V310" s="125"/>
      <c r="AA310" s="125"/>
      <c r="AF310" s="125"/>
      <c r="AK310" s="125"/>
      <c r="AP310" s="125"/>
      <c r="AU310" s="125"/>
      <c r="AZ310" s="125"/>
      <c r="BE310" s="125"/>
    </row>
    <row r="311" spans="1:57">
      <c r="A311" s="125"/>
      <c r="G311" s="125"/>
      <c r="L311" s="125"/>
      <c r="Q311" s="125"/>
      <c r="V311" s="125"/>
      <c r="AA311" s="125"/>
      <c r="AF311" s="125"/>
      <c r="AK311" s="125"/>
      <c r="AP311" s="125"/>
      <c r="AU311" s="125"/>
      <c r="AZ311" s="125"/>
      <c r="BE311" s="125"/>
    </row>
    <row r="312" spans="1:57">
      <c r="A312" s="125"/>
      <c r="G312" s="125"/>
      <c r="L312" s="125"/>
      <c r="Q312" s="125"/>
      <c r="V312" s="125"/>
      <c r="AA312" s="125"/>
      <c r="AF312" s="125"/>
      <c r="AK312" s="125"/>
      <c r="AP312" s="125"/>
      <c r="AU312" s="125"/>
      <c r="AZ312" s="125"/>
      <c r="BE312" s="125"/>
    </row>
    <row r="313" spans="1:57">
      <c r="A313" s="125"/>
      <c r="G313" s="125"/>
      <c r="L313" s="125"/>
      <c r="Q313" s="125"/>
      <c r="V313" s="125"/>
      <c r="AA313" s="125"/>
      <c r="AF313" s="125"/>
      <c r="AK313" s="125"/>
      <c r="AP313" s="125"/>
      <c r="AU313" s="125"/>
      <c r="AZ313" s="125"/>
      <c r="BE313" s="125"/>
    </row>
    <row r="314" spans="1:57">
      <c r="A314" s="125"/>
      <c r="G314" s="125"/>
      <c r="L314" s="125"/>
      <c r="Q314" s="125"/>
      <c r="V314" s="125"/>
      <c r="AA314" s="125"/>
      <c r="AF314" s="125"/>
      <c r="AK314" s="125"/>
      <c r="AP314" s="125"/>
      <c r="AU314" s="125"/>
      <c r="AZ314" s="125"/>
      <c r="BE314" s="125"/>
    </row>
    <row r="315" spans="1:57">
      <c r="A315" s="125"/>
      <c r="G315" s="125"/>
      <c r="L315" s="125"/>
      <c r="Q315" s="125"/>
      <c r="V315" s="125"/>
      <c r="AA315" s="125"/>
      <c r="AF315" s="125"/>
      <c r="AK315" s="125"/>
      <c r="AP315" s="125"/>
      <c r="AU315" s="125"/>
      <c r="AZ315" s="125"/>
      <c r="BE315" s="125"/>
    </row>
    <row r="316" spans="1:57">
      <c r="A316" s="125"/>
      <c r="G316" s="125"/>
      <c r="L316" s="125"/>
      <c r="Q316" s="125"/>
      <c r="V316" s="125"/>
      <c r="AA316" s="125"/>
      <c r="AF316" s="125"/>
      <c r="AK316" s="125"/>
      <c r="AP316" s="125"/>
      <c r="AU316" s="125"/>
      <c r="AZ316" s="125"/>
      <c r="BE316" s="125"/>
    </row>
    <row r="317" spans="1:57">
      <c r="A317" s="125"/>
      <c r="G317" s="125"/>
      <c r="L317" s="125"/>
      <c r="Q317" s="125"/>
      <c r="V317" s="125"/>
      <c r="AA317" s="125"/>
      <c r="AF317" s="125"/>
      <c r="AK317" s="125"/>
      <c r="AP317" s="125"/>
      <c r="AU317" s="125"/>
      <c r="AZ317" s="125"/>
      <c r="BE317" s="125"/>
    </row>
    <row r="318" spans="1:57">
      <c r="A318" s="125"/>
      <c r="G318" s="125"/>
      <c r="L318" s="125"/>
      <c r="Q318" s="125"/>
      <c r="V318" s="125"/>
      <c r="AA318" s="125"/>
      <c r="AF318" s="125"/>
      <c r="AK318" s="125"/>
      <c r="AP318" s="125"/>
      <c r="AU318" s="125"/>
      <c r="AZ318" s="125"/>
      <c r="BE318" s="125"/>
    </row>
    <row r="319" spans="1:57">
      <c r="A319" s="125"/>
      <c r="G319" s="125"/>
      <c r="L319" s="125"/>
      <c r="Q319" s="125"/>
      <c r="V319" s="125"/>
      <c r="AA319" s="125"/>
      <c r="AF319" s="125"/>
      <c r="AK319" s="125"/>
      <c r="AP319" s="125"/>
      <c r="AU319" s="125"/>
      <c r="AZ319" s="125"/>
      <c r="BE319" s="125"/>
    </row>
    <row r="320" spans="1:57">
      <c r="A320" s="125"/>
      <c r="G320" s="125"/>
      <c r="L320" s="125"/>
      <c r="Q320" s="125"/>
      <c r="V320" s="125"/>
      <c r="AA320" s="125"/>
      <c r="AF320" s="125"/>
      <c r="AK320" s="125"/>
      <c r="AP320" s="125"/>
      <c r="AU320" s="125"/>
      <c r="AZ320" s="125"/>
      <c r="BE320" s="125"/>
    </row>
    <row r="321" spans="1:57">
      <c r="A321" s="125"/>
      <c r="G321" s="125"/>
      <c r="L321" s="125"/>
      <c r="Q321" s="125"/>
      <c r="V321" s="125"/>
      <c r="AA321" s="125"/>
      <c r="AF321" s="125"/>
      <c r="AK321" s="125"/>
      <c r="AP321" s="125"/>
      <c r="AU321" s="125"/>
      <c r="AZ321" s="125"/>
      <c r="BE321" s="125"/>
    </row>
    <row r="322" spans="1:57">
      <c r="A322" s="125"/>
      <c r="G322" s="125"/>
      <c r="L322" s="125"/>
      <c r="Q322" s="125"/>
      <c r="V322" s="125"/>
      <c r="AA322" s="125"/>
      <c r="AF322" s="125"/>
      <c r="AK322" s="125"/>
      <c r="AP322" s="125"/>
      <c r="AU322" s="125"/>
      <c r="AZ322" s="125"/>
      <c r="BE322" s="125"/>
    </row>
    <row r="323" spans="1:57">
      <c r="A323" s="125"/>
      <c r="G323" s="125"/>
      <c r="L323" s="125"/>
      <c r="Q323" s="125"/>
      <c r="V323" s="125"/>
      <c r="AA323" s="125"/>
      <c r="AF323" s="125"/>
      <c r="AK323" s="125"/>
      <c r="AP323" s="125"/>
      <c r="AU323" s="125"/>
      <c r="AZ323" s="125"/>
      <c r="BE323" s="125"/>
    </row>
    <row r="324" spans="1:57">
      <c r="A324" s="125"/>
      <c r="G324" s="125"/>
      <c r="L324" s="125"/>
      <c r="Q324" s="125"/>
      <c r="V324" s="125"/>
      <c r="AA324" s="125"/>
      <c r="AF324" s="125"/>
      <c r="AK324" s="125"/>
      <c r="AP324" s="125"/>
      <c r="AU324" s="125"/>
      <c r="AZ324" s="125"/>
      <c r="BE324" s="125"/>
    </row>
    <row r="325" spans="1:57">
      <c r="A325" s="125"/>
      <c r="G325" s="125"/>
      <c r="L325" s="125"/>
      <c r="Q325" s="125"/>
      <c r="V325" s="125"/>
      <c r="AA325" s="125"/>
      <c r="AF325" s="125"/>
      <c r="AK325" s="125"/>
      <c r="AP325" s="125"/>
      <c r="AU325" s="125"/>
      <c r="AZ325" s="125"/>
      <c r="BE325" s="125"/>
    </row>
    <row r="326" spans="1:57">
      <c r="A326" s="125"/>
      <c r="G326" s="125"/>
      <c r="L326" s="125"/>
      <c r="Q326" s="125"/>
      <c r="V326" s="125"/>
      <c r="AA326" s="125"/>
      <c r="AF326" s="125"/>
      <c r="AK326" s="125"/>
      <c r="AP326" s="125"/>
      <c r="AU326" s="125"/>
      <c r="AZ326" s="125"/>
      <c r="BE326" s="125"/>
    </row>
    <row r="327" spans="1:57">
      <c r="A327" s="125"/>
      <c r="G327" s="125"/>
      <c r="L327" s="125"/>
      <c r="Q327" s="125"/>
      <c r="V327" s="125"/>
      <c r="AA327" s="125"/>
      <c r="AF327" s="125"/>
      <c r="AK327" s="125"/>
      <c r="AP327" s="125"/>
      <c r="AU327" s="125"/>
      <c r="AZ327" s="125"/>
      <c r="BE327" s="125"/>
    </row>
    <row r="328" spans="1:57">
      <c r="A328" s="125"/>
      <c r="G328" s="125"/>
      <c r="L328" s="125"/>
      <c r="Q328" s="125"/>
      <c r="V328" s="125"/>
      <c r="AA328" s="125"/>
      <c r="AF328" s="125"/>
      <c r="AK328" s="125"/>
      <c r="AP328" s="125"/>
      <c r="AU328" s="125"/>
      <c r="AZ328" s="125"/>
      <c r="BE328" s="125"/>
    </row>
    <row r="329" spans="1:57">
      <c r="A329" s="125"/>
      <c r="G329" s="125"/>
      <c r="L329" s="125"/>
      <c r="Q329" s="125"/>
      <c r="V329" s="125"/>
      <c r="AA329" s="125"/>
      <c r="AF329" s="125"/>
      <c r="AK329" s="125"/>
      <c r="AP329" s="125"/>
      <c r="AU329" s="125"/>
      <c r="AZ329" s="125"/>
      <c r="BE329" s="125"/>
    </row>
    <row r="330" spans="1:57">
      <c r="A330" s="125"/>
      <c r="G330" s="125"/>
      <c r="L330" s="125"/>
      <c r="Q330" s="125"/>
      <c r="V330" s="125"/>
      <c r="AA330" s="125"/>
      <c r="AF330" s="125"/>
      <c r="AK330" s="125"/>
      <c r="AP330" s="125"/>
      <c r="AU330" s="125"/>
      <c r="AZ330" s="125"/>
      <c r="BE330" s="125"/>
    </row>
    <row r="331" spans="1:57">
      <c r="A331" s="125"/>
      <c r="G331" s="125"/>
      <c r="L331" s="125"/>
      <c r="Q331" s="125"/>
      <c r="V331" s="125"/>
      <c r="AA331" s="125"/>
      <c r="AF331" s="125"/>
      <c r="AK331" s="125"/>
      <c r="AP331" s="125"/>
      <c r="AU331" s="125"/>
      <c r="AZ331" s="125"/>
      <c r="BE331" s="125"/>
    </row>
    <row r="332" spans="1:57">
      <c r="A332" s="125"/>
      <c r="G332" s="125"/>
      <c r="L332" s="125"/>
      <c r="Q332" s="125"/>
      <c r="V332" s="125"/>
      <c r="AA332" s="125"/>
      <c r="AF332" s="125"/>
      <c r="AK332" s="125"/>
      <c r="AP332" s="125"/>
      <c r="AU332" s="125"/>
      <c r="AZ332" s="125"/>
      <c r="BE332" s="125"/>
    </row>
    <row r="333" spans="1:57">
      <c r="A333" s="125"/>
      <c r="G333" s="125"/>
      <c r="L333" s="125"/>
      <c r="Q333" s="125"/>
      <c r="V333" s="125"/>
      <c r="AA333" s="125"/>
      <c r="AF333" s="125"/>
      <c r="AK333" s="125"/>
      <c r="AP333" s="125"/>
      <c r="AU333" s="125"/>
      <c r="AZ333" s="125"/>
      <c r="BE333" s="125"/>
    </row>
    <row r="334" spans="1:57">
      <c r="A334" s="125"/>
      <c r="G334" s="125"/>
      <c r="L334" s="125"/>
      <c r="Q334" s="125"/>
      <c r="V334" s="125"/>
      <c r="AA334" s="125"/>
      <c r="AF334" s="125"/>
      <c r="AK334" s="125"/>
      <c r="AP334" s="125"/>
      <c r="AU334" s="125"/>
      <c r="AZ334" s="125"/>
      <c r="BE334" s="125"/>
    </row>
    <row r="335" spans="1:57">
      <c r="A335" s="125"/>
      <c r="G335" s="125"/>
      <c r="L335" s="125"/>
      <c r="Q335" s="125"/>
      <c r="V335" s="125"/>
      <c r="AA335" s="125"/>
      <c r="AF335" s="125"/>
      <c r="AK335" s="125"/>
      <c r="AP335" s="125"/>
      <c r="AU335" s="125"/>
      <c r="AZ335" s="125"/>
      <c r="BE335" s="125"/>
    </row>
    <row r="336" spans="1:57">
      <c r="A336" s="125"/>
      <c r="G336" s="125"/>
      <c r="L336" s="125"/>
      <c r="Q336" s="125"/>
      <c r="V336" s="125"/>
      <c r="AA336" s="125"/>
      <c r="AF336" s="125"/>
      <c r="AK336" s="125"/>
      <c r="AP336" s="125"/>
      <c r="AU336" s="125"/>
      <c r="AZ336" s="125"/>
      <c r="BE336" s="125"/>
    </row>
    <row r="337" spans="1:57">
      <c r="A337" s="125"/>
      <c r="G337" s="125"/>
      <c r="L337" s="125"/>
      <c r="Q337" s="125"/>
      <c r="V337" s="125"/>
      <c r="AA337" s="125"/>
      <c r="AF337" s="125"/>
      <c r="AK337" s="125"/>
      <c r="AP337" s="125"/>
      <c r="AU337" s="125"/>
      <c r="AZ337" s="125"/>
      <c r="BE337" s="125"/>
    </row>
    <row r="338" spans="1:57">
      <c r="A338" s="125"/>
      <c r="G338" s="125"/>
      <c r="L338" s="125"/>
      <c r="Q338" s="125"/>
      <c r="V338" s="125"/>
      <c r="AA338" s="125"/>
      <c r="AF338" s="125"/>
      <c r="AK338" s="125"/>
      <c r="AP338" s="125"/>
      <c r="AU338" s="125"/>
      <c r="AZ338" s="125"/>
      <c r="BE338" s="125"/>
    </row>
    <row r="339" spans="1:57">
      <c r="A339" s="125"/>
      <c r="G339" s="125"/>
      <c r="L339" s="125"/>
      <c r="Q339" s="125"/>
      <c r="V339" s="125"/>
      <c r="AA339" s="125"/>
      <c r="AF339" s="125"/>
      <c r="AK339" s="125"/>
      <c r="AP339" s="125"/>
      <c r="AU339" s="125"/>
      <c r="AZ339" s="125"/>
      <c r="BE339" s="125"/>
    </row>
    <row r="340" spans="1:57">
      <c r="A340" s="125"/>
      <c r="G340" s="125"/>
      <c r="L340" s="125"/>
      <c r="Q340" s="125"/>
      <c r="V340" s="125"/>
      <c r="AA340" s="125"/>
      <c r="AF340" s="125"/>
      <c r="AK340" s="125"/>
      <c r="AP340" s="125"/>
      <c r="AU340" s="125"/>
      <c r="AZ340" s="125"/>
      <c r="BE340" s="125"/>
    </row>
    <row r="341" spans="1:57">
      <c r="A341" s="125"/>
      <c r="G341" s="125"/>
      <c r="L341" s="125"/>
      <c r="Q341" s="125"/>
      <c r="V341" s="125"/>
      <c r="AA341" s="125"/>
      <c r="AF341" s="125"/>
      <c r="AK341" s="125"/>
      <c r="AP341" s="125"/>
      <c r="AU341" s="125"/>
      <c r="AZ341" s="125"/>
      <c r="BE341" s="125"/>
    </row>
    <row r="342" spans="1:57">
      <c r="A342" s="125"/>
      <c r="G342" s="125"/>
      <c r="L342" s="125"/>
      <c r="Q342" s="125"/>
      <c r="V342" s="125"/>
      <c r="AA342" s="125"/>
      <c r="AF342" s="125"/>
      <c r="AK342" s="125"/>
      <c r="AP342" s="125"/>
      <c r="AU342" s="125"/>
      <c r="AZ342" s="125"/>
      <c r="BE342" s="125"/>
    </row>
    <row r="343" spans="1:57">
      <c r="A343" s="125"/>
      <c r="G343" s="125"/>
      <c r="L343" s="125"/>
      <c r="Q343" s="125"/>
      <c r="V343" s="125"/>
      <c r="AA343" s="125"/>
      <c r="AF343" s="125"/>
      <c r="AK343" s="125"/>
      <c r="AP343" s="125"/>
      <c r="AU343" s="125"/>
      <c r="AZ343" s="125"/>
      <c r="BE343" s="125"/>
    </row>
    <row r="344" spans="1:57">
      <c r="A344" s="125"/>
      <c r="G344" s="125"/>
      <c r="L344" s="125"/>
      <c r="Q344" s="125"/>
      <c r="V344" s="125"/>
      <c r="AA344" s="125"/>
      <c r="AF344" s="125"/>
      <c r="AK344" s="125"/>
      <c r="AP344" s="125"/>
      <c r="AU344" s="125"/>
      <c r="AZ344" s="125"/>
      <c r="BE344" s="125"/>
    </row>
    <row r="345" spans="1:57">
      <c r="A345" s="125"/>
      <c r="G345" s="125"/>
      <c r="L345" s="125"/>
      <c r="Q345" s="125"/>
      <c r="V345" s="125"/>
      <c r="AA345" s="125"/>
      <c r="AF345" s="125"/>
      <c r="AK345" s="125"/>
      <c r="AP345" s="125"/>
      <c r="AU345" s="125"/>
      <c r="AZ345" s="125"/>
      <c r="BE345" s="125"/>
    </row>
    <row r="346" spans="1:57">
      <c r="A346" s="125"/>
      <c r="G346" s="125"/>
      <c r="L346" s="125"/>
      <c r="Q346" s="125"/>
      <c r="V346" s="125"/>
      <c r="AA346" s="125"/>
      <c r="AF346" s="125"/>
      <c r="AK346" s="125"/>
      <c r="AP346" s="125"/>
      <c r="AU346" s="125"/>
      <c r="AZ346" s="125"/>
      <c r="BE346" s="125"/>
    </row>
    <row r="347" spans="1:57">
      <c r="A347" s="125"/>
      <c r="G347" s="125"/>
      <c r="L347" s="125"/>
      <c r="Q347" s="125"/>
      <c r="V347" s="125"/>
      <c r="AA347" s="125"/>
      <c r="AF347" s="125"/>
      <c r="AK347" s="125"/>
      <c r="AP347" s="125"/>
      <c r="AU347" s="125"/>
      <c r="AZ347" s="125"/>
      <c r="BE347" s="125"/>
    </row>
    <row r="348" spans="1:57">
      <c r="A348" s="125"/>
      <c r="G348" s="125"/>
      <c r="L348" s="125"/>
      <c r="Q348" s="125"/>
      <c r="V348" s="125"/>
      <c r="AA348" s="125"/>
      <c r="AF348" s="125"/>
      <c r="AK348" s="125"/>
      <c r="AP348" s="125"/>
      <c r="AU348" s="125"/>
      <c r="AZ348" s="125"/>
      <c r="BE348" s="125"/>
    </row>
    <row r="349" spans="1:57">
      <c r="A349" s="125"/>
      <c r="G349" s="125"/>
      <c r="L349" s="125"/>
      <c r="Q349" s="125"/>
      <c r="V349" s="125"/>
      <c r="AA349" s="125"/>
      <c r="AF349" s="125"/>
      <c r="AK349" s="125"/>
      <c r="AP349" s="125"/>
      <c r="AU349" s="125"/>
      <c r="AZ349" s="125"/>
      <c r="BE349" s="125"/>
    </row>
    <row r="350" spans="1:57">
      <c r="A350" s="125"/>
      <c r="G350" s="125"/>
      <c r="L350" s="125"/>
      <c r="Q350" s="125"/>
      <c r="V350" s="125"/>
      <c r="AA350" s="125"/>
      <c r="AF350" s="125"/>
      <c r="AK350" s="125"/>
      <c r="AP350" s="125"/>
      <c r="AU350" s="125"/>
      <c r="AZ350" s="125"/>
      <c r="BE350" s="125"/>
    </row>
    <row r="351" spans="1:57">
      <c r="A351" s="125"/>
      <c r="G351" s="125"/>
      <c r="L351" s="125"/>
      <c r="Q351" s="125"/>
      <c r="V351" s="125"/>
      <c r="AA351" s="125"/>
      <c r="AF351" s="125"/>
      <c r="AK351" s="125"/>
      <c r="AP351" s="125"/>
      <c r="AU351" s="125"/>
      <c r="AZ351" s="125"/>
      <c r="BE351" s="125"/>
    </row>
    <row r="352" spans="1:57">
      <c r="A352" s="125"/>
      <c r="G352" s="125"/>
      <c r="L352" s="125"/>
      <c r="Q352" s="125"/>
      <c r="V352" s="125"/>
      <c r="AA352" s="125"/>
      <c r="AF352" s="125"/>
      <c r="AK352" s="125"/>
      <c r="AP352" s="125"/>
      <c r="AU352" s="125"/>
      <c r="AZ352" s="125"/>
      <c r="BE352" s="125"/>
    </row>
    <row r="353" spans="1:57">
      <c r="A353" s="125"/>
      <c r="G353" s="125"/>
      <c r="L353" s="125"/>
      <c r="Q353" s="125"/>
      <c r="V353" s="125"/>
      <c r="AA353" s="125"/>
      <c r="AF353" s="125"/>
      <c r="AK353" s="125"/>
      <c r="AP353" s="125"/>
      <c r="AU353" s="125"/>
      <c r="AZ353" s="125"/>
      <c r="BE353" s="125"/>
    </row>
    <row r="354" spans="1:57">
      <c r="A354" s="125"/>
      <c r="G354" s="125"/>
      <c r="L354" s="125"/>
      <c r="Q354" s="125"/>
      <c r="V354" s="125"/>
      <c r="AA354" s="125"/>
      <c r="AF354" s="125"/>
      <c r="AK354" s="125"/>
      <c r="AP354" s="125"/>
      <c r="AU354" s="125"/>
      <c r="AZ354" s="125"/>
      <c r="BE354" s="125"/>
    </row>
    <row r="355" spans="1:57">
      <c r="A355" s="125"/>
      <c r="G355" s="125"/>
      <c r="L355" s="125"/>
      <c r="Q355" s="125"/>
      <c r="V355" s="125"/>
      <c r="AA355" s="125"/>
      <c r="AF355" s="125"/>
      <c r="AK355" s="125"/>
      <c r="AP355" s="125"/>
      <c r="AU355" s="125"/>
      <c r="AZ355" s="125"/>
      <c r="BE355" s="125"/>
    </row>
    <row r="356" spans="1:57">
      <c r="A356" s="125"/>
      <c r="G356" s="125"/>
      <c r="L356" s="125"/>
      <c r="Q356" s="125"/>
      <c r="V356" s="125"/>
      <c r="AA356" s="125"/>
      <c r="AF356" s="125"/>
      <c r="AK356" s="125"/>
      <c r="AP356" s="125"/>
      <c r="AU356" s="125"/>
      <c r="AZ356" s="125"/>
      <c r="BE356" s="125"/>
    </row>
    <row r="357" spans="1:57">
      <c r="A357" s="125"/>
      <c r="G357" s="125"/>
      <c r="L357" s="125"/>
      <c r="Q357" s="125"/>
      <c r="V357" s="125"/>
      <c r="AA357" s="125"/>
      <c r="AF357" s="125"/>
      <c r="AK357" s="125"/>
      <c r="AP357" s="125"/>
      <c r="AU357" s="125"/>
      <c r="AZ357" s="125"/>
      <c r="BE357" s="125"/>
    </row>
    <row r="358" spans="1:57">
      <c r="A358" s="125"/>
      <c r="G358" s="125"/>
      <c r="L358" s="125"/>
      <c r="Q358" s="125"/>
      <c r="V358" s="125"/>
      <c r="AA358" s="125"/>
      <c r="AF358" s="125"/>
      <c r="AK358" s="125"/>
      <c r="AP358" s="125"/>
      <c r="AU358" s="125"/>
      <c r="AZ358" s="125"/>
      <c r="BE358" s="125"/>
    </row>
    <row r="359" spans="1:57">
      <c r="A359" s="125"/>
      <c r="G359" s="125"/>
      <c r="L359" s="125"/>
      <c r="Q359" s="125"/>
      <c r="V359" s="125"/>
      <c r="AA359" s="125"/>
      <c r="AF359" s="125"/>
      <c r="AK359" s="125"/>
      <c r="AP359" s="125"/>
      <c r="AU359" s="125"/>
      <c r="AZ359" s="125"/>
      <c r="BE359" s="125"/>
    </row>
    <row r="360" spans="1:57">
      <c r="A360" s="125"/>
      <c r="G360" s="125"/>
      <c r="L360" s="125"/>
      <c r="Q360" s="125"/>
      <c r="V360" s="125"/>
      <c r="AA360" s="125"/>
      <c r="AF360" s="125"/>
      <c r="AK360" s="125"/>
      <c r="AP360" s="125"/>
      <c r="AU360" s="125"/>
      <c r="AZ360" s="125"/>
      <c r="BE360" s="125"/>
    </row>
    <row r="361" spans="1:57">
      <c r="A361" s="125"/>
      <c r="G361" s="125"/>
      <c r="L361" s="125"/>
      <c r="Q361" s="125"/>
      <c r="V361" s="125"/>
      <c r="AA361" s="125"/>
      <c r="AF361" s="125"/>
      <c r="AK361" s="125"/>
      <c r="AP361" s="125"/>
      <c r="AU361" s="125"/>
      <c r="AZ361" s="125"/>
      <c r="BE361" s="125"/>
    </row>
    <row r="362" spans="1:57">
      <c r="A362" s="125"/>
      <c r="G362" s="125"/>
      <c r="L362" s="125"/>
      <c r="Q362" s="125"/>
      <c r="V362" s="125"/>
      <c r="AA362" s="125"/>
      <c r="AF362" s="125"/>
      <c r="AK362" s="125"/>
      <c r="AP362" s="125"/>
      <c r="AU362" s="125"/>
      <c r="AZ362" s="125"/>
      <c r="BE362" s="125"/>
    </row>
    <row r="363" spans="1:57">
      <c r="A363" s="125"/>
      <c r="G363" s="125"/>
      <c r="L363" s="125"/>
      <c r="Q363" s="125"/>
      <c r="V363" s="125"/>
      <c r="AA363" s="125"/>
      <c r="AF363" s="125"/>
      <c r="AK363" s="125"/>
      <c r="AP363" s="125"/>
      <c r="AU363" s="125"/>
      <c r="AZ363" s="125"/>
      <c r="BE363" s="125"/>
    </row>
    <row r="364" spans="1:57">
      <c r="A364" s="125"/>
      <c r="G364" s="125"/>
      <c r="L364" s="125"/>
      <c r="Q364" s="125"/>
      <c r="V364" s="125"/>
      <c r="AA364" s="125"/>
      <c r="AF364" s="125"/>
      <c r="AK364" s="125"/>
      <c r="AP364" s="125"/>
      <c r="AU364" s="125"/>
      <c r="AZ364" s="125"/>
      <c r="BE364" s="125"/>
    </row>
    <row r="365" spans="1:57">
      <c r="A365" s="125"/>
      <c r="G365" s="125"/>
      <c r="L365" s="125"/>
      <c r="Q365" s="125"/>
      <c r="V365" s="125"/>
      <c r="AA365" s="125"/>
      <c r="AF365" s="125"/>
      <c r="AK365" s="125"/>
      <c r="AP365" s="125"/>
      <c r="AU365" s="125"/>
      <c r="AZ365" s="125"/>
      <c r="BE365" s="125"/>
    </row>
    <row r="366" spans="1:57">
      <c r="A366" s="125"/>
      <c r="G366" s="125"/>
      <c r="L366" s="125"/>
      <c r="Q366" s="125"/>
      <c r="V366" s="125"/>
      <c r="AA366" s="125"/>
      <c r="AF366" s="125"/>
      <c r="AK366" s="125"/>
      <c r="AP366" s="125"/>
      <c r="AU366" s="125"/>
      <c r="AZ366" s="125"/>
      <c r="BE366" s="125"/>
    </row>
    <row r="367" spans="1:57">
      <c r="A367" s="125"/>
      <c r="G367" s="125"/>
      <c r="L367" s="125"/>
      <c r="Q367" s="125"/>
      <c r="V367" s="125"/>
      <c r="AA367" s="125"/>
      <c r="AF367" s="125"/>
      <c r="AK367" s="125"/>
      <c r="AP367" s="125"/>
      <c r="AU367" s="125"/>
      <c r="AZ367" s="125"/>
      <c r="BE367" s="125"/>
    </row>
    <row r="368" spans="1:57">
      <c r="A368" s="125"/>
      <c r="G368" s="125"/>
      <c r="L368" s="125"/>
      <c r="Q368" s="125"/>
      <c r="V368" s="125"/>
      <c r="AA368" s="125"/>
      <c r="AF368" s="125"/>
      <c r="AK368" s="125"/>
      <c r="AP368" s="125"/>
      <c r="AU368" s="125"/>
      <c r="AZ368" s="125"/>
      <c r="BE368" s="125"/>
    </row>
    <row r="369" spans="1:57">
      <c r="A369" s="125"/>
      <c r="G369" s="125"/>
      <c r="L369" s="125"/>
      <c r="Q369" s="125"/>
      <c r="V369" s="125"/>
      <c r="AA369" s="125"/>
      <c r="AF369" s="125"/>
      <c r="AK369" s="125"/>
      <c r="AP369" s="125"/>
      <c r="AU369" s="125"/>
      <c r="AZ369" s="125"/>
      <c r="BE369" s="125"/>
    </row>
    <row r="370" spans="1:57">
      <c r="A370" s="125"/>
      <c r="G370" s="125"/>
      <c r="L370" s="125"/>
      <c r="Q370" s="125"/>
      <c r="V370" s="125"/>
      <c r="AA370" s="125"/>
      <c r="AF370" s="125"/>
      <c r="AK370" s="125"/>
      <c r="AP370" s="125"/>
      <c r="AU370" s="125"/>
      <c r="AZ370" s="125"/>
      <c r="BE370" s="125"/>
    </row>
    <row r="371" spans="1:57">
      <c r="A371" s="125"/>
      <c r="G371" s="125"/>
      <c r="L371" s="125"/>
      <c r="Q371" s="125"/>
      <c r="V371" s="125"/>
      <c r="AA371" s="125"/>
      <c r="AF371" s="125"/>
      <c r="AK371" s="125"/>
      <c r="AP371" s="125"/>
      <c r="AU371" s="125"/>
      <c r="AZ371" s="125"/>
      <c r="BE371" s="125"/>
    </row>
    <row r="372" spans="1:57">
      <c r="A372" s="125"/>
      <c r="G372" s="125"/>
      <c r="L372" s="125"/>
      <c r="Q372" s="125"/>
      <c r="V372" s="125"/>
      <c r="AA372" s="125"/>
      <c r="AF372" s="125"/>
      <c r="AK372" s="125"/>
      <c r="AP372" s="125"/>
      <c r="AU372" s="125"/>
      <c r="AZ372" s="125"/>
      <c r="BE372" s="125"/>
    </row>
    <row r="373" spans="1:57">
      <c r="A373" s="125"/>
      <c r="G373" s="125"/>
      <c r="L373" s="125"/>
      <c r="Q373" s="125"/>
      <c r="V373" s="125"/>
      <c r="AA373" s="125"/>
      <c r="AF373" s="125"/>
      <c r="AK373" s="125"/>
      <c r="AP373" s="125"/>
      <c r="AU373" s="125"/>
      <c r="AZ373" s="125"/>
      <c r="BE373" s="125"/>
    </row>
    <row r="374" spans="1:57">
      <c r="A374" s="125"/>
      <c r="G374" s="125"/>
      <c r="L374" s="125"/>
      <c r="Q374" s="125"/>
      <c r="V374" s="125"/>
      <c r="AA374" s="125"/>
      <c r="AF374" s="125"/>
      <c r="AK374" s="125"/>
      <c r="AP374" s="125"/>
      <c r="AU374" s="125"/>
      <c r="AZ374" s="125"/>
      <c r="BE374" s="125"/>
    </row>
    <row r="375" spans="1:57">
      <c r="A375" s="125"/>
      <c r="G375" s="125"/>
      <c r="L375" s="125"/>
      <c r="Q375" s="125"/>
      <c r="V375" s="125"/>
      <c r="AA375" s="125"/>
      <c r="AF375" s="125"/>
      <c r="AK375" s="125"/>
      <c r="AP375" s="125"/>
      <c r="AU375" s="125"/>
      <c r="AZ375" s="125"/>
      <c r="BE375" s="125"/>
    </row>
    <row r="376" spans="1:57">
      <c r="A376" s="125"/>
      <c r="G376" s="125"/>
      <c r="L376" s="125"/>
      <c r="Q376" s="125"/>
      <c r="V376" s="125"/>
      <c r="AA376" s="125"/>
      <c r="AF376" s="125"/>
      <c r="AK376" s="125"/>
      <c r="AP376" s="125"/>
      <c r="AU376" s="125"/>
      <c r="AZ376" s="125"/>
      <c r="BE376" s="125"/>
    </row>
    <row r="377" spans="1:57">
      <c r="A377" s="125"/>
      <c r="G377" s="125"/>
      <c r="L377" s="125"/>
      <c r="Q377" s="125"/>
      <c r="V377" s="125"/>
      <c r="AA377" s="125"/>
      <c r="AF377" s="125"/>
      <c r="AK377" s="125"/>
      <c r="AP377" s="125"/>
      <c r="AU377" s="125"/>
      <c r="AZ377" s="125"/>
      <c r="BE377" s="125"/>
    </row>
    <row r="378" spans="1:57">
      <c r="A378" s="125"/>
      <c r="G378" s="125"/>
      <c r="L378" s="125"/>
      <c r="Q378" s="125"/>
      <c r="V378" s="125"/>
      <c r="AA378" s="125"/>
      <c r="AF378" s="125"/>
      <c r="AK378" s="125"/>
      <c r="AP378" s="125"/>
      <c r="AU378" s="125"/>
      <c r="AZ378" s="125"/>
      <c r="BE378" s="125"/>
    </row>
    <row r="379" spans="1:57">
      <c r="A379" s="125"/>
      <c r="G379" s="125"/>
      <c r="L379" s="125"/>
      <c r="Q379" s="125"/>
      <c r="V379" s="125"/>
      <c r="AA379" s="125"/>
      <c r="AF379" s="125"/>
      <c r="AK379" s="125"/>
      <c r="AP379" s="125"/>
      <c r="AU379" s="125"/>
      <c r="AZ379" s="125"/>
      <c r="BE379" s="125"/>
    </row>
    <row r="380" spans="1:57">
      <c r="A380" s="125"/>
      <c r="G380" s="125"/>
      <c r="L380" s="125"/>
      <c r="Q380" s="125"/>
      <c r="V380" s="125"/>
      <c r="AA380" s="125"/>
      <c r="AF380" s="125"/>
      <c r="AK380" s="125"/>
      <c r="AP380" s="125"/>
      <c r="AU380" s="125"/>
      <c r="AZ380" s="125"/>
      <c r="BE380" s="125"/>
    </row>
    <row r="381" spans="1:57">
      <c r="A381" s="125"/>
      <c r="G381" s="125"/>
      <c r="L381" s="125"/>
      <c r="Q381" s="125"/>
      <c r="V381" s="125"/>
      <c r="AA381" s="125"/>
      <c r="AF381" s="125"/>
      <c r="AK381" s="125"/>
      <c r="AP381" s="125"/>
      <c r="AU381" s="125"/>
      <c r="AZ381" s="125"/>
      <c r="BE381" s="125"/>
    </row>
    <row r="382" spans="1:57">
      <c r="A382" s="125"/>
      <c r="G382" s="125"/>
      <c r="L382" s="125"/>
      <c r="Q382" s="125"/>
      <c r="V382" s="125"/>
      <c r="AA382" s="125"/>
      <c r="AF382" s="125"/>
      <c r="AK382" s="125"/>
      <c r="AP382" s="125"/>
      <c r="AU382" s="125"/>
      <c r="AZ382" s="125"/>
      <c r="BE382" s="125"/>
    </row>
    <row r="383" spans="1:57">
      <c r="A383" s="125"/>
      <c r="G383" s="125"/>
      <c r="L383" s="125"/>
      <c r="Q383" s="125"/>
      <c r="V383" s="125"/>
      <c r="AA383" s="125"/>
      <c r="AF383" s="125"/>
      <c r="AK383" s="125"/>
      <c r="AP383" s="125"/>
      <c r="AU383" s="125"/>
      <c r="AZ383" s="125"/>
      <c r="BE383" s="125"/>
    </row>
    <row r="384" spans="1:57">
      <c r="A384" s="125"/>
      <c r="G384" s="125"/>
      <c r="L384" s="125"/>
      <c r="Q384" s="125"/>
      <c r="V384" s="125"/>
      <c r="AA384" s="125"/>
      <c r="AF384" s="125"/>
      <c r="AK384" s="125"/>
      <c r="AP384" s="125"/>
      <c r="AU384" s="125"/>
      <c r="AZ384" s="125"/>
      <c r="BE384" s="125"/>
    </row>
    <row r="385" spans="1:57">
      <c r="A385" s="125"/>
      <c r="G385" s="125"/>
      <c r="L385" s="125"/>
      <c r="Q385" s="125"/>
      <c r="V385" s="125"/>
      <c r="AA385" s="125"/>
      <c r="AF385" s="125"/>
      <c r="AK385" s="125"/>
      <c r="AP385" s="125"/>
      <c r="AU385" s="125"/>
      <c r="AZ385" s="125"/>
      <c r="BE385" s="125"/>
    </row>
    <row r="386" spans="1:57">
      <c r="A386" s="125"/>
      <c r="G386" s="125"/>
      <c r="L386" s="125"/>
      <c r="Q386" s="125"/>
      <c r="V386" s="125"/>
      <c r="AA386" s="125"/>
      <c r="AF386" s="125"/>
      <c r="AK386" s="125"/>
      <c r="AP386" s="125"/>
      <c r="AU386" s="125"/>
      <c r="AZ386" s="125"/>
      <c r="BE386" s="125"/>
    </row>
    <row r="387" spans="1:57">
      <c r="A387" s="125"/>
      <c r="G387" s="125"/>
      <c r="L387" s="125"/>
      <c r="Q387" s="125"/>
      <c r="V387" s="125"/>
      <c r="AA387" s="125"/>
      <c r="AF387" s="125"/>
      <c r="AK387" s="125"/>
      <c r="AP387" s="125"/>
      <c r="AU387" s="125"/>
      <c r="AZ387" s="125"/>
      <c r="BE387" s="125"/>
    </row>
    <row r="388" spans="1:57">
      <c r="A388" s="125"/>
      <c r="G388" s="125"/>
      <c r="L388" s="125"/>
      <c r="Q388" s="125"/>
      <c r="V388" s="125"/>
      <c r="AA388" s="125"/>
      <c r="AF388" s="125"/>
      <c r="AK388" s="125"/>
      <c r="AP388" s="125"/>
      <c r="AU388" s="125"/>
      <c r="AZ388" s="125"/>
      <c r="BE388" s="125"/>
    </row>
    <row r="389" spans="1:57">
      <c r="A389" s="125"/>
      <c r="G389" s="125"/>
      <c r="L389" s="125"/>
      <c r="Q389" s="125"/>
      <c r="V389" s="125"/>
      <c r="AA389" s="125"/>
      <c r="AF389" s="125"/>
      <c r="AK389" s="125"/>
      <c r="AP389" s="125"/>
      <c r="AU389" s="125"/>
      <c r="AZ389" s="125"/>
      <c r="BE389" s="125"/>
    </row>
    <row r="390" spans="1:57">
      <c r="A390" s="125"/>
      <c r="G390" s="125"/>
      <c r="L390" s="125"/>
      <c r="Q390" s="125"/>
      <c r="V390" s="125"/>
      <c r="AA390" s="125"/>
      <c r="AF390" s="125"/>
      <c r="AK390" s="125"/>
      <c r="AP390" s="125"/>
      <c r="AU390" s="125"/>
      <c r="AZ390" s="125"/>
      <c r="BE390" s="125"/>
    </row>
    <row r="391" spans="1:57">
      <c r="A391" s="125"/>
      <c r="G391" s="125"/>
      <c r="L391" s="125"/>
      <c r="Q391" s="125"/>
      <c r="V391" s="125"/>
      <c r="AA391" s="125"/>
      <c r="AF391" s="125"/>
      <c r="AK391" s="125"/>
      <c r="AP391" s="125"/>
      <c r="AU391" s="125"/>
      <c r="AZ391" s="125"/>
      <c r="BE391" s="125"/>
    </row>
    <row r="392" spans="1:57">
      <c r="A392" s="125"/>
      <c r="G392" s="125"/>
      <c r="L392" s="125"/>
      <c r="Q392" s="125"/>
      <c r="V392" s="125"/>
      <c r="AA392" s="125"/>
      <c r="AF392" s="125"/>
      <c r="AK392" s="125"/>
      <c r="AP392" s="125"/>
      <c r="AU392" s="125"/>
      <c r="AZ392" s="125"/>
      <c r="BE392" s="125"/>
    </row>
    <row r="393" spans="1:57">
      <c r="A393" s="125"/>
      <c r="G393" s="125"/>
      <c r="L393" s="125"/>
      <c r="Q393" s="125"/>
      <c r="V393" s="125"/>
      <c r="AA393" s="125"/>
      <c r="AF393" s="125"/>
      <c r="AK393" s="125"/>
      <c r="AP393" s="125"/>
      <c r="AU393" s="125"/>
      <c r="AZ393" s="125"/>
      <c r="BE393" s="125"/>
    </row>
    <row r="394" spans="1:57">
      <c r="A394" s="125"/>
      <c r="G394" s="125"/>
      <c r="L394" s="125"/>
      <c r="Q394" s="125"/>
      <c r="V394" s="125"/>
      <c r="AA394" s="125"/>
      <c r="AF394" s="125"/>
      <c r="AK394" s="125"/>
      <c r="AP394" s="125"/>
      <c r="AU394" s="125"/>
      <c r="AZ394" s="125"/>
      <c r="BE394" s="125"/>
    </row>
    <row r="395" spans="1:57">
      <c r="A395" s="125"/>
      <c r="G395" s="125"/>
      <c r="L395" s="125"/>
      <c r="Q395" s="125"/>
      <c r="V395" s="125"/>
      <c r="AA395" s="125"/>
      <c r="AF395" s="125"/>
      <c r="AK395" s="125"/>
      <c r="AP395" s="125"/>
      <c r="AU395" s="125"/>
      <c r="AZ395" s="125"/>
      <c r="BE395" s="125"/>
    </row>
    <row r="396" spans="1:57">
      <c r="A396" s="125"/>
      <c r="G396" s="125"/>
      <c r="L396" s="125"/>
      <c r="Q396" s="125"/>
      <c r="V396" s="125"/>
      <c r="AA396" s="125"/>
      <c r="AF396" s="125"/>
      <c r="AK396" s="125"/>
      <c r="AP396" s="125"/>
      <c r="AU396" s="125"/>
      <c r="AZ396" s="125"/>
      <c r="BE396" s="125"/>
    </row>
    <row r="397" spans="1:57">
      <c r="A397" s="125"/>
      <c r="G397" s="125"/>
      <c r="L397" s="125"/>
      <c r="Q397" s="125"/>
      <c r="V397" s="125"/>
      <c r="AA397" s="125"/>
      <c r="AF397" s="125"/>
      <c r="AK397" s="125"/>
      <c r="AP397" s="125"/>
      <c r="AU397" s="125"/>
      <c r="AZ397" s="125"/>
      <c r="BE397" s="125"/>
    </row>
    <row r="398" spans="1:57">
      <c r="A398" s="125"/>
      <c r="G398" s="125"/>
      <c r="L398" s="125"/>
      <c r="Q398" s="125"/>
      <c r="V398" s="125"/>
      <c r="AA398" s="125"/>
      <c r="AF398" s="125"/>
      <c r="AK398" s="125"/>
      <c r="AP398" s="125"/>
      <c r="AU398" s="125"/>
      <c r="AZ398" s="125"/>
      <c r="BE398" s="125"/>
    </row>
    <row r="399" spans="1:57">
      <c r="A399" s="125"/>
      <c r="G399" s="125"/>
      <c r="L399" s="125"/>
      <c r="Q399" s="125"/>
      <c r="V399" s="125"/>
      <c r="AA399" s="125"/>
      <c r="AF399" s="125"/>
      <c r="AK399" s="125"/>
      <c r="AP399" s="125"/>
      <c r="AU399" s="125"/>
      <c r="AZ399" s="125"/>
      <c r="BE399" s="125"/>
    </row>
    <row r="400" spans="1:57">
      <c r="A400" s="125"/>
      <c r="G400" s="125"/>
      <c r="L400" s="125"/>
      <c r="Q400" s="125"/>
      <c r="V400" s="125"/>
      <c r="AA400" s="125"/>
      <c r="AF400" s="125"/>
      <c r="AK400" s="125"/>
      <c r="AP400" s="125"/>
      <c r="AU400" s="125"/>
      <c r="AZ400" s="125"/>
      <c r="BE400" s="125"/>
    </row>
    <row r="401" spans="1:57">
      <c r="A401" s="125"/>
      <c r="G401" s="125"/>
      <c r="L401" s="125"/>
      <c r="Q401" s="125"/>
      <c r="V401" s="125"/>
      <c r="AA401" s="125"/>
      <c r="AF401" s="125"/>
      <c r="AK401" s="125"/>
      <c r="AP401" s="125"/>
      <c r="AU401" s="125"/>
      <c r="AZ401" s="125"/>
      <c r="BE401" s="125"/>
    </row>
    <row r="402" spans="1:57">
      <c r="A402" s="125"/>
      <c r="G402" s="125"/>
      <c r="L402" s="125"/>
      <c r="Q402" s="125"/>
      <c r="V402" s="125"/>
      <c r="AA402" s="125"/>
      <c r="AF402" s="125"/>
      <c r="AK402" s="125"/>
      <c r="AP402" s="125"/>
      <c r="AU402" s="125"/>
      <c r="AZ402" s="125"/>
      <c r="BE402" s="125"/>
    </row>
    <row r="403" spans="1:57">
      <c r="A403" s="125"/>
      <c r="G403" s="125"/>
      <c r="L403" s="125"/>
      <c r="Q403" s="125"/>
      <c r="V403" s="125"/>
      <c r="AA403" s="125"/>
      <c r="AF403" s="125"/>
      <c r="AK403" s="125"/>
      <c r="AP403" s="125"/>
      <c r="AU403" s="125"/>
      <c r="AZ403" s="125"/>
      <c r="BE403" s="125"/>
    </row>
    <row r="404" spans="1:57">
      <c r="A404" s="125"/>
      <c r="G404" s="125"/>
      <c r="L404" s="125"/>
      <c r="Q404" s="125"/>
      <c r="V404" s="125"/>
      <c r="AA404" s="125"/>
      <c r="AF404" s="125"/>
      <c r="AK404" s="125"/>
      <c r="AP404" s="125"/>
      <c r="AU404" s="125"/>
      <c r="AZ404" s="125"/>
      <c r="BE404" s="125"/>
    </row>
    <row r="405" spans="1:57">
      <c r="A405" s="125"/>
      <c r="G405" s="125"/>
      <c r="L405" s="125"/>
      <c r="Q405" s="125"/>
      <c r="V405" s="125"/>
      <c r="AA405" s="125"/>
      <c r="AF405" s="125"/>
      <c r="AK405" s="125"/>
      <c r="AP405" s="125"/>
      <c r="AU405" s="125"/>
      <c r="AZ405" s="125"/>
      <c r="BE405" s="125"/>
    </row>
    <row r="406" spans="1:57">
      <c r="A406" s="125"/>
      <c r="G406" s="125"/>
      <c r="L406" s="125"/>
      <c r="Q406" s="125"/>
      <c r="V406" s="125"/>
      <c r="AA406" s="125"/>
      <c r="AF406" s="125"/>
      <c r="AK406" s="125"/>
      <c r="AP406" s="125"/>
      <c r="AU406" s="125"/>
      <c r="AZ406" s="125"/>
      <c r="BE406" s="125"/>
    </row>
    <row r="407" spans="1:57">
      <c r="A407" s="125"/>
      <c r="G407" s="125"/>
      <c r="L407" s="125"/>
      <c r="Q407" s="125"/>
      <c r="V407" s="125"/>
      <c r="AA407" s="125"/>
      <c r="AF407" s="125"/>
      <c r="AK407" s="125"/>
      <c r="AP407" s="125"/>
      <c r="AU407" s="125"/>
      <c r="AZ407" s="125"/>
      <c r="BE407" s="125"/>
    </row>
    <row r="408" spans="1:57">
      <c r="A408" s="125"/>
      <c r="G408" s="125"/>
      <c r="L408" s="125"/>
      <c r="Q408" s="125"/>
      <c r="V408" s="125"/>
      <c r="AA408" s="125"/>
      <c r="AF408" s="125"/>
      <c r="AK408" s="125"/>
      <c r="AP408" s="125"/>
      <c r="AU408" s="125"/>
      <c r="AZ408" s="125"/>
      <c r="BE408" s="125"/>
    </row>
    <row r="409" spans="1:57">
      <c r="A409" s="125"/>
      <c r="G409" s="125"/>
      <c r="L409" s="125"/>
      <c r="Q409" s="125"/>
      <c r="V409" s="125"/>
      <c r="AA409" s="125"/>
      <c r="AF409" s="125"/>
      <c r="AK409" s="125"/>
      <c r="AP409" s="125"/>
      <c r="AU409" s="125"/>
      <c r="AZ409" s="125"/>
      <c r="BE409" s="125"/>
    </row>
    <row r="410" spans="1:57">
      <c r="A410" s="125"/>
      <c r="G410" s="125"/>
      <c r="L410" s="125"/>
      <c r="Q410" s="125"/>
      <c r="V410" s="125"/>
      <c r="AA410" s="125"/>
      <c r="AF410" s="125"/>
      <c r="AK410" s="125"/>
      <c r="AP410" s="125"/>
      <c r="AU410" s="125"/>
      <c r="AZ410" s="125"/>
      <c r="BE410" s="125"/>
    </row>
    <row r="411" spans="1:57">
      <c r="A411" s="125"/>
      <c r="G411" s="125"/>
      <c r="L411" s="125"/>
      <c r="Q411" s="125"/>
      <c r="V411" s="125"/>
      <c r="AA411" s="125"/>
      <c r="AF411" s="125"/>
      <c r="AK411" s="125"/>
      <c r="AP411" s="125"/>
      <c r="AU411" s="125"/>
      <c r="AZ411" s="125"/>
      <c r="BE411" s="125"/>
    </row>
    <row r="412" spans="1:57">
      <c r="A412" s="125"/>
      <c r="G412" s="125"/>
      <c r="L412" s="125"/>
      <c r="Q412" s="125"/>
      <c r="V412" s="125"/>
      <c r="AA412" s="125"/>
      <c r="AF412" s="125"/>
      <c r="AK412" s="125"/>
      <c r="AP412" s="125"/>
      <c r="AU412" s="125"/>
      <c r="AZ412" s="125"/>
      <c r="BE412" s="125"/>
    </row>
    <row r="413" spans="1:57">
      <c r="A413" s="125"/>
      <c r="G413" s="125"/>
      <c r="L413" s="125"/>
      <c r="Q413" s="125"/>
      <c r="V413" s="125"/>
      <c r="AA413" s="125"/>
      <c r="AF413" s="125"/>
      <c r="AK413" s="125"/>
      <c r="AP413" s="125"/>
      <c r="AU413" s="125"/>
      <c r="AZ413" s="125"/>
      <c r="BE413" s="125"/>
    </row>
    <row r="414" spans="1:57">
      <c r="A414" s="125"/>
      <c r="G414" s="125"/>
      <c r="L414" s="125"/>
      <c r="Q414" s="125"/>
      <c r="V414" s="125"/>
      <c r="AA414" s="125"/>
      <c r="AF414" s="125"/>
      <c r="AK414" s="125"/>
      <c r="AP414" s="125"/>
      <c r="AU414" s="125"/>
      <c r="AZ414" s="125"/>
      <c r="BE414" s="125"/>
    </row>
    <row r="415" spans="1:57">
      <c r="A415" s="125"/>
      <c r="G415" s="125"/>
      <c r="L415" s="125"/>
      <c r="Q415" s="125"/>
      <c r="V415" s="125"/>
      <c r="AA415" s="125"/>
      <c r="AF415" s="125"/>
      <c r="AK415" s="125"/>
      <c r="AP415" s="125"/>
      <c r="AU415" s="125"/>
      <c r="AZ415" s="125"/>
      <c r="BE415" s="125"/>
    </row>
    <row r="416" spans="1:57">
      <c r="A416" s="125"/>
      <c r="G416" s="125"/>
      <c r="L416" s="125"/>
      <c r="Q416" s="125"/>
      <c r="V416" s="125"/>
      <c r="AA416" s="125"/>
      <c r="AF416" s="125"/>
      <c r="AK416" s="125"/>
      <c r="AP416" s="125"/>
      <c r="AU416" s="125"/>
      <c r="AZ416" s="125"/>
      <c r="BE416" s="125"/>
    </row>
    <row r="417" spans="1:57">
      <c r="A417" s="125"/>
      <c r="G417" s="125"/>
      <c r="L417" s="125"/>
      <c r="Q417" s="125"/>
      <c r="V417" s="125"/>
      <c r="AA417" s="125"/>
      <c r="AF417" s="125"/>
      <c r="AK417" s="125"/>
      <c r="AP417" s="125"/>
      <c r="AU417" s="125"/>
      <c r="AZ417" s="125"/>
      <c r="BE417" s="125"/>
    </row>
    <row r="418" spans="1:57">
      <c r="A418" s="125"/>
      <c r="G418" s="125"/>
      <c r="L418" s="125"/>
      <c r="Q418" s="125"/>
      <c r="V418" s="125"/>
      <c r="AA418" s="125"/>
      <c r="AF418" s="125"/>
      <c r="AK418" s="125"/>
      <c r="AP418" s="125"/>
      <c r="AU418" s="125"/>
      <c r="AZ418" s="125"/>
      <c r="BE418" s="125"/>
    </row>
    <row r="419" spans="1:57">
      <c r="A419" s="125"/>
      <c r="G419" s="125"/>
      <c r="L419" s="125"/>
      <c r="Q419" s="125"/>
      <c r="V419" s="125"/>
      <c r="AA419" s="125"/>
      <c r="AF419" s="125"/>
      <c r="AK419" s="125"/>
      <c r="AP419" s="125"/>
      <c r="AU419" s="125"/>
      <c r="AZ419" s="125"/>
      <c r="BE419" s="125"/>
    </row>
    <row r="420" spans="1:57">
      <c r="A420" s="125"/>
      <c r="G420" s="125"/>
      <c r="L420" s="125"/>
      <c r="Q420" s="125"/>
      <c r="V420" s="125"/>
      <c r="AA420" s="125"/>
      <c r="AF420" s="125"/>
      <c r="AK420" s="125"/>
      <c r="AP420" s="125"/>
      <c r="AU420" s="125"/>
      <c r="AZ420" s="125"/>
      <c r="BE420" s="125"/>
    </row>
    <row r="421" spans="1:57">
      <c r="A421" s="125"/>
      <c r="G421" s="125"/>
      <c r="L421" s="125"/>
      <c r="Q421" s="125"/>
      <c r="V421" s="125"/>
      <c r="AA421" s="125"/>
      <c r="AF421" s="125"/>
      <c r="AK421" s="125"/>
      <c r="AP421" s="125"/>
      <c r="AU421" s="125"/>
      <c r="AZ421" s="125"/>
      <c r="BE421" s="125"/>
    </row>
    <row r="422" spans="1:57">
      <c r="A422" s="125"/>
      <c r="G422" s="125"/>
      <c r="L422" s="125"/>
      <c r="Q422" s="125"/>
      <c r="V422" s="125"/>
      <c r="AA422" s="125"/>
      <c r="AF422" s="125"/>
      <c r="AK422" s="125"/>
      <c r="AP422" s="125"/>
      <c r="AU422" s="125"/>
      <c r="AZ422" s="125"/>
      <c r="BE422" s="125"/>
    </row>
    <row r="423" spans="1:57">
      <c r="A423" s="125"/>
      <c r="G423" s="125"/>
      <c r="L423" s="125"/>
      <c r="Q423" s="125"/>
      <c r="V423" s="125"/>
      <c r="AA423" s="125"/>
      <c r="AF423" s="125"/>
      <c r="AK423" s="125"/>
      <c r="AP423" s="125"/>
      <c r="AU423" s="125"/>
      <c r="AZ423" s="125"/>
      <c r="BE423" s="125"/>
    </row>
    <row r="424" spans="1:57">
      <c r="A424" s="125"/>
      <c r="G424" s="125"/>
      <c r="L424" s="125"/>
      <c r="Q424" s="125"/>
      <c r="V424" s="125"/>
      <c r="AA424" s="125"/>
      <c r="AF424" s="125"/>
      <c r="AK424" s="125"/>
      <c r="AP424" s="125"/>
      <c r="AU424" s="125"/>
      <c r="AZ424" s="125"/>
      <c r="BE424" s="125"/>
    </row>
    <row r="425" spans="1:57">
      <c r="A425" s="125"/>
      <c r="G425" s="125"/>
      <c r="L425" s="125"/>
      <c r="Q425" s="125"/>
      <c r="V425" s="125"/>
      <c r="AA425" s="125"/>
      <c r="AF425" s="125"/>
      <c r="AK425" s="125"/>
      <c r="AP425" s="125"/>
      <c r="AU425" s="125"/>
      <c r="AZ425" s="125"/>
      <c r="BE425" s="125"/>
    </row>
    <row r="426" spans="1:57">
      <c r="A426" s="125"/>
      <c r="G426" s="125"/>
      <c r="L426" s="125"/>
      <c r="Q426" s="125"/>
      <c r="V426" s="125"/>
      <c r="AA426" s="125"/>
      <c r="AF426" s="125"/>
      <c r="AK426" s="125"/>
      <c r="AP426" s="125"/>
      <c r="AU426" s="125"/>
      <c r="AZ426" s="125"/>
      <c r="BE426" s="125"/>
    </row>
    <row r="427" spans="1:57">
      <c r="A427" s="125"/>
      <c r="G427" s="125"/>
      <c r="L427" s="125"/>
      <c r="Q427" s="125"/>
      <c r="V427" s="125"/>
      <c r="AA427" s="125"/>
      <c r="AF427" s="125"/>
      <c r="AK427" s="125"/>
      <c r="AP427" s="125"/>
      <c r="AU427" s="125"/>
      <c r="AZ427" s="125"/>
      <c r="BE427" s="125"/>
    </row>
    <row r="428" spans="1:57">
      <c r="A428" s="125"/>
      <c r="G428" s="125"/>
      <c r="L428" s="125"/>
      <c r="Q428" s="125"/>
      <c r="V428" s="125"/>
      <c r="AA428" s="125"/>
      <c r="AF428" s="125"/>
      <c r="AK428" s="125"/>
      <c r="AP428" s="125"/>
      <c r="AU428" s="125"/>
      <c r="AZ428" s="125"/>
      <c r="BE428" s="125"/>
    </row>
    <row r="429" spans="1:57">
      <c r="A429" s="125"/>
      <c r="G429" s="125"/>
      <c r="L429" s="125"/>
      <c r="Q429" s="125"/>
      <c r="V429" s="125"/>
      <c r="AA429" s="125"/>
      <c r="AF429" s="125"/>
      <c r="AK429" s="125"/>
      <c r="AP429" s="125"/>
      <c r="AU429" s="125"/>
      <c r="AZ429" s="125"/>
      <c r="BE429" s="125"/>
    </row>
    <row r="430" spans="1:57">
      <c r="A430" s="125"/>
      <c r="G430" s="125"/>
      <c r="L430" s="125"/>
      <c r="Q430" s="125"/>
      <c r="V430" s="125"/>
      <c r="AA430" s="125"/>
      <c r="AF430" s="125"/>
      <c r="AK430" s="125"/>
      <c r="AP430" s="125"/>
      <c r="AU430" s="125"/>
      <c r="AZ430" s="125"/>
      <c r="BE430" s="125"/>
    </row>
    <row r="431" spans="1:57">
      <c r="A431" s="125"/>
      <c r="G431" s="125"/>
      <c r="L431" s="125"/>
      <c r="Q431" s="125"/>
      <c r="V431" s="125"/>
      <c r="AA431" s="125"/>
      <c r="AF431" s="125"/>
      <c r="AK431" s="125"/>
      <c r="AP431" s="125"/>
      <c r="AU431" s="125"/>
      <c r="AZ431" s="125"/>
      <c r="BE431" s="125"/>
    </row>
    <row r="432" spans="1:57">
      <c r="A432" s="125"/>
      <c r="G432" s="125"/>
      <c r="L432" s="125"/>
      <c r="Q432" s="125"/>
      <c r="V432" s="125"/>
      <c r="AA432" s="125"/>
      <c r="AF432" s="125"/>
      <c r="AK432" s="125"/>
      <c r="AP432" s="125"/>
      <c r="AU432" s="125"/>
      <c r="AZ432" s="125"/>
      <c r="BE432" s="125"/>
    </row>
    <row r="433" spans="1:57">
      <c r="A433" s="125"/>
      <c r="G433" s="125"/>
      <c r="L433" s="125"/>
      <c r="Q433" s="125"/>
      <c r="V433" s="125"/>
      <c r="AA433" s="125"/>
      <c r="AF433" s="125"/>
      <c r="AK433" s="125"/>
      <c r="AP433" s="125"/>
      <c r="AU433" s="125"/>
      <c r="AZ433" s="125"/>
      <c r="BE433" s="125"/>
    </row>
    <row r="434" spans="1:57">
      <c r="A434" s="125"/>
      <c r="G434" s="125"/>
      <c r="L434" s="125"/>
      <c r="Q434" s="125"/>
      <c r="V434" s="125"/>
      <c r="AA434" s="125"/>
      <c r="AF434" s="125"/>
      <c r="AK434" s="125"/>
      <c r="AP434" s="125"/>
      <c r="AU434" s="125"/>
      <c r="AZ434" s="125"/>
      <c r="BE434" s="125"/>
    </row>
    <row r="435" spans="1:57">
      <c r="A435" s="125"/>
      <c r="G435" s="125"/>
      <c r="L435" s="125"/>
      <c r="Q435" s="125"/>
      <c r="V435" s="125"/>
      <c r="AA435" s="125"/>
      <c r="AF435" s="125"/>
      <c r="AK435" s="125"/>
      <c r="AP435" s="125"/>
      <c r="AU435" s="125"/>
      <c r="AZ435" s="125"/>
      <c r="BE435" s="125"/>
    </row>
    <row r="436" spans="1:57">
      <c r="A436" s="125"/>
      <c r="G436" s="125"/>
      <c r="L436" s="125"/>
      <c r="Q436" s="125"/>
      <c r="V436" s="125"/>
      <c r="AA436" s="125"/>
      <c r="AF436" s="125"/>
      <c r="AK436" s="125"/>
      <c r="AP436" s="125"/>
      <c r="AU436" s="125"/>
      <c r="AZ436" s="125"/>
      <c r="BE436" s="125"/>
    </row>
    <row r="437" spans="1:57">
      <c r="A437" s="125"/>
      <c r="G437" s="125"/>
      <c r="L437" s="125"/>
      <c r="Q437" s="125"/>
      <c r="V437" s="125"/>
      <c r="AA437" s="125"/>
      <c r="AF437" s="125"/>
      <c r="AK437" s="125"/>
      <c r="AP437" s="125"/>
      <c r="AU437" s="125"/>
      <c r="AZ437" s="125"/>
      <c r="BE437" s="125"/>
    </row>
    <row r="438" spans="1:57">
      <c r="A438" s="125"/>
      <c r="G438" s="125"/>
      <c r="L438" s="125"/>
      <c r="Q438" s="125"/>
      <c r="V438" s="125"/>
      <c r="AA438" s="125"/>
      <c r="AF438" s="125"/>
      <c r="AK438" s="125"/>
      <c r="AP438" s="125"/>
      <c r="AU438" s="125"/>
      <c r="AZ438" s="125"/>
      <c r="BE438" s="125"/>
    </row>
    <row r="439" spans="1:57">
      <c r="A439" s="125"/>
      <c r="G439" s="125"/>
      <c r="L439" s="125"/>
      <c r="Q439" s="125"/>
      <c r="V439" s="125"/>
      <c r="AA439" s="125"/>
      <c r="AF439" s="125"/>
      <c r="AK439" s="125"/>
      <c r="AP439" s="125"/>
      <c r="AU439" s="125"/>
      <c r="AZ439" s="125"/>
      <c r="BE439" s="125"/>
    </row>
    <row r="440" spans="1:57">
      <c r="A440" s="125"/>
      <c r="G440" s="125"/>
      <c r="L440" s="125"/>
      <c r="Q440" s="125"/>
      <c r="V440" s="125"/>
      <c r="AA440" s="125"/>
      <c r="AF440" s="125"/>
      <c r="AK440" s="125"/>
      <c r="AP440" s="125"/>
      <c r="AU440" s="125"/>
      <c r="AZ440" s="125"/>
      <c r="BE440" s="125"/>
    </row>
    <row r="441" spans="1:57">
      <c r="A441" s="125"/>
      <c r="G441" s="125"/>
      <c r="L441" s="125"/>
      <c r="Q441" s="125"/>
      <c r="V441" s="125"/>
      <c r="AA441" s="125"/>
      <c r="AF441" s="125"/>
      <c r="AK441" s="125"/>
      <c r="AP441" s="125"/>
      <c r="AU441" s="125"/>
      <c r="AZ441" s="125"/>
      <c r="BE441" s="125"/>
    </row>
    <row r="442" spans="1:57">
      <c r="A442" s="125"/>
      <c r="G442" s="125"/>
      <c r="L442" s="125"/>
      <c r="Q442" s="125"/>
      <c r="V442" s="125"/>
      <c r="AA442" s="125"/>
      <c r="AF442" s="125"/>
      <c r="AK442" s="125"/>
      <c r="AP442" s="125"/>
      <c r="AU442" s="125"/>
      <c r="AZ442" s="125"/>
      <c r="BE442" s="125"/>
    </row>
    <row r="443" spans="1:57">
      <c r="A443" s="125"/>
      <c r="G443" s="125"/>
      <c r="L443" s="125"/>
      <c r="Q443" s="125"/>
      <c r="V443" s="125"/>
      <c r="AA443" s="125"/>
      <c r="AF443" s="125"/>
      <c r="AK443" s="125"/>
      <c r="AP443" s="125"/>
      <c r="AU443" s="125"/>
      <c r="AZ443" s="125"/>
      <c r="BE443" s="125"/>
    </row>
    <row r="444" spans="1:57">
      <c r="A444" s="125"/>
      <c r="G444" s="125"/>
      <c r="L444" s="125"/>
      <c r="Q444" s="125"/>
      <c r="V444" s="125"/>
      <c r="AA444" s="125"/>
      <c r="AF444" s="125"/>
      <c r="AK444" s="125"/>
      <c r="AP444" s="125"/>
      <c r="AU444" s="125"/>
      <c r="AZ444" s="125"/>
      <c r="BE444" s="125"/>
    </row>
    <row r="445" spans="1:57">
      <c r="A445" s="125"/>
      <c r="G445" s="125"/>
      <c r="L445" s="125"/>
      <c r="Q445" s="125"/>
      <c r="V445" s="125"/>
      <c r="AA445" s="125"/>
      <c r="AF445" s="125"/>
      <c r="AK445" s="125"/>
      <c r="AP445" s="125"/>
      <c r="AU445" s="125"/>
      <c r="AZ445" s="125"/>
      <c r="BE445" s="125"/>
    </row>
    <row r="446" spans="1:57">
      <c r="A446" s="125"/>
      <c r="G446" s="125"/>
      <c r="L446" s="125"/>
      <c r="Q446" s="125"/>
      <c r="V446" s="125"/>
      <c r="AA446" s="125"/>
      <c r="AF446" s="125"/>
      <c r="AK446" s="125"/>
      <c r="AP446" s="125"/>
      <c r="AU446" s="125"/>
      <c r="AZ446" s="125"/>
      <c r="BE446" s="125"/>
    </row>
    <row r="447" spans="1:57">
      <c r="A447" s="125"/>
      <c r="G447" s="125"/>
      <c r="L447" s="125"/>
      <c r="Q447" s="125"/>
      <c r="V447" s="125"/>
      <c r="AA447" s="125"/>
      <c r="AF447" s="125"/>
      <c r="AK447" s="125"/>
      <c r="AP447" s="125"/>
      <c r="AU447" s="125"/>
      <c r="AZ447" s="125"/>
      <c r="BE447" s="125"/>
    </row>
    <row r="448" spans="1:57">
      <c r="A448" s="125"/>
      <c r="G448" s="125"/>
      <c r="L448" s="125"/>
      <c r="Q448" s="125"/>
      <c r="V448" s="125"/>
      <c r="AA448" s="125"/>
      <c r="AF448" s="125"/>
      <c r="AK448" s="125"/>
      <c r="AP448" s="125"/>
      <c r="AU448" s="125"/>
      <c r="AZ448" s="125"/>
      <c r="BE448" s="125"/>
    </row>
    <row r="449" spans="1:57">
      <c r="A449" s="125"/>
      <c r="G449" s="125"/>
      <c r="L449" s="125"/>
      <c r="Q449" s="125"/>
      <c r="V449" s="125"/>
      <c r="AA449" s="125"/>
      <c r="AF449" s="125"/>
      <c r="AK449" s="125"/>
      <c r="AP449" s="125"/>
      <c r="AU449" s="125"/>
      <c r="AZ449" s="125"/>
      <c r="BE449" s="125"/>
    </row>
    <row r="450" spans="1:57">
      <c r="A450" s="125"/>
      <c r="G450" s="125"/>
      <c r="L450" s="125"/>
      <c r="Q450" s="125"/>
      <c r="V450" s="125"/>
      <c r="AA450" s="125"/>
      <c r="AF450" s="125"/>
      <c r="AK450" s="125"/>
      <c r="AP450" s="125"/>
      <c r="AU450" s="125"/>
      <c r="AZ450" s="125"/>
      <c r="BE450" s="125"/>
    </row>
    <row r="451" spans="1:57">
      <c r="A451" s="125"/>
      <c r="G451" s="125"/>
      <c r="L451" s="125"/>
      <c r="Q451" s="125"/>
      <c r="V451" s="125"/>
      <c r="AA451" s="125"/>
      <c r="AF451" s="125"/>
      <c r="AK451" s="125"/>
      <c r="AP451" s="125"/>
      <c r="AU451" s="125"/>
      <c r="AZ451" s="125"/>
      <c r="BE451" s="125"/>
    </row>
    <row r="452" spans="1:57">
      <c r="A452" s="125"/>
      <c r="G452" s="125"/>
      <c r="L452" s="125"/>
      <c r="Q452" s="125"/>
      <c r="V452" s="125"/>
      <c r="AA452" s="125"/>
      <c r="AF452" s="125"/>
      <c r="AK452" s="125"/>
      <c r="AP452" s="125"/>
      <c r="AU452" s="125"/>
      <c r="AZ452" s="125"/>
      <c r="BE452" s="125"/>
    </row>
    <row r="453" spans="1:57">
      <c r="A453" s="125"/>
      <c r="G453" s="125"/>
      <c r="L453" s="125"/>
      <c r="Q453" s="125"/>
      <c r="V453" s="125"/>
      <c r="AA453" s="125"/>
      <c r="AF453" s="125"/>
      <c r="AK453" s="125"/>
      <c r="AP453" s="125"/>
      <c r="AU453" s="125"/>
      <c r="AZ453" s="125"/>
      <c r="BE453" s="125"/>
    </row>
    <row r="454" spans="1:57">
      <c r="A454" s="125"/>
      <c r="G454" s="125"/>
      <c r="L454" s="125"/>
      <c r="Q454" s="125"/>
      <c r="V454" s="125"/>
      <c r="AA454" s="125"/>
      <c r="AF454" s="125"/>
      <c r="AK454" s="125"/>
      <c r="AP454" s="125"/>
      <c r="AU454" s="125"/>
      <c r="AZ454" s="125"/>
      <c r="BE454" s="125"/>
    </row>
    <row r="455" spans="1:57">
      <c r="A455" s="125"/>
      <c r="G455" s="125"/>
      <c r="L455" s="125"/>
      <c r="Q455" s="125"/>
      <c r="V455" s="125"/>
      <c r="AA455" s="125"/>
      <c r="AF455" s="125"/>
      <c r="AK455" s="125"/>
      <c r="AP455" s="125"/>
      <c r="AU455" s="125"/>
      <c r="AZ455" s="125"/>
      <c r="BE455" s="125"/>
    </row>
    <row r="456" spans="1:57">
      <c r="A456" s="125"/>
      <c r="G456" s="125"/>
      <c r="L456" s="125"/>
      <c r="Q456" s="125"/>
      <c r="V456" s="125"/>
      <c r="AA456" s="125"/>
      <c r="AF456" s="125"/>
      <c r="AK456" s="125"/>
      <c r="AP456" s="125"/>
      <c r="AU456" s="125"/>
      <c r="AZ456" s="125"/>
      <c r="BE456" s="125"/>
    </row>
    <row r="457" spans="1:57">
      <c r="A457" s="125"/>
      <c r="G457" s="125"/>
      <c r="L457" s="125"/>
      <c r="Q457" s="125"/>
      <c r="V457" s="125"/>
      <c r="AA457" s="125"/>
      <c r="AF457" s="125"/>
      <c r="AK457" s="125"/>
      <c r="AP457" s="125"/>
      <c r="AU457" s="125"/>
      <c r="AZ457" s="125"/>
      <c r="BE457" s="125"/>
    </row>
    <row r="458" spans="1:57">
      <c r="A458" s="125"/>
      <c r="G458" s="125"/>
      <c r="L458" s="125"/>
      <c r="Q458" s="125"/>
      <c r="V458" s="125"/>
      <c r="AA458" s="125"/>
      <c r="AF458" s="125"/>
      <c r="AK458" s="125"/>
      <c r="AP458" s="125"/>
      <c r="AU458" s="125"/>
      <c r="AZ458" s="125"/>
      <c r="BE458" s="125"/>
    </row>
    <row r="459" spans="1:57">
      <c r="A459" s="125"/>
      <c r="G459" s="125"/>
      <c r="L459" s="125"/>
      <c r="Q459" s="125"/>
      <c r="V459" s="125"/>
      <c r="AA459" s="125"/>
      <c r="AF459" s="125"/>
      <c r="AK459" s="125"/>
      <c r="AP459" s="125"/>
      <c r="AU459" s="125"/>
      <c r="AZ459" s="125"/>
      <c r="BE459" s="125"/>
    </row>
    <row r="460" spans="1:57">
      <c r="A460" s="125"/>
      <c r="G460" s="125"/>
      <c r="L460" s="125"/>
      <c r="Q460" s="125"/>
      <c r="V460" s="125"/>
      <c r="AA460" s="125"/>
      <c r="AF460" s="125"/>
      <c r="AK460" s="125"/>
      <c r="AP460" s="125"/>
      <c r="AU460" s="125"/>
      <c r="AZ460" s="125"/>
      <c r="BE460" s="125"/>
    </row>
    <row r="461" spans="1:57">
      <c r="A461" s="125"/>
      <c r="G461" s="125"/>
      <c r="L461" s="125"/>
      <c r="Q461" s="125"/>
      <c r="V461" s="125"/>
      <c r="AA461" s="125"/>
      <c r="AF461" s="125"/>
      <c r="AK461" s="125"/>
      <c r="AP461" s="125"/>
      <c r="AU461" s="125"/>
      <c r="AZ461" s="125"/>
      <c r="BE461" s="125"/>
    </row>
    <row r="462" spans="1:57">
      <c r="A462" s="125"/>
      <c r="G462" s="125"/>
      <c r="L462" s="125"/>
      <c r="Q462" s="125"/>
      <c r="V462" s="125"/>
      <c r="AA462" s="125"/>
      <c r="AF462" s="125"/>
      <c r="AK462" s="125"/>
      <c r="AP462" s="125"/>
      <c r="AU462" s="125"/>
      <c r="AZ462" s="125"/>
      <c r="BE462" s="125"/>
    </row>
    <row r="463" spans="1:57">
      <c r="A463" s="125"/>
      <c r="G463" s="125"/>
      <c r="L463" s="125"/>
      <c r="Q463" s="125"/>
      <c r="V463" s="125"/>
      <c r="AA463" s="125"/>
      <c r="AF463" s="125"/>
      <c r="AK463" s="125"/>
      <c r="AP463" s="125"/>
      <c r="AU463" s="125"/>
      <c r="AZ463" s="125"/>
      <c r="BE463" s="125"/>
    </row>
    <row r="464" spans="1:57">
      <c r="A464" s="125"/>
      <c r="G464" s="125"/>
      <c r="L464" s="125"/>
      <c r="Q464" s="125"/>
      <c r="V464" s="125"/>
      <c r="AA464" s="125"/>
      <c r="AF464" s="125"/>
      <c r="AK464" s="125"/>
      <c r="AP464" s="125"/>
      <c r="AU464" s="125"/>
      <c r="AZ464" s="125"/>
      <c r="BE464" s="125"/>
    </row>
    <row r="465" spans="1:57">
      <c r="A465" s="125"/>
      <c r="G465" s="125"/>
      <c r="L465" s="125"/>
      <c r="Q465" s="125"/>
      <c r="V465" s="125"/>
      <c r="AA465" s="125"/>
      <c r="AF465" s="125"/>
      <c r="AK465" s="125"/>
      <c r="AP465" s="125"/>
      <c r="AU465" s="125"/>
      <c r="AZ465" s="125"/>
      <c r="BE465" s="125"/>
    </row>
    <row r="466" spans="1:57">
      <c r="A466" s="125"/>
      <c r="G466" s="125"/>
      <c r="L466" s="125"/>
      <c r="Q466" s="125"/>
      <c r="V466" s="125"/>
      <c r="AA466" s="125"/>
      <c r="AF466" s="125"/>
      <c r="AK466" s="125"/>
      <c r="AP466" s="125"/>
      <c r="AU466" s="125"/>
      <c r="AZ466" s="125"/>
      <c r="BE466" s="125"/>
    </row>
    <row r="467" spans="1:57">
      <c r="A467" s="125"/>
      <c r="G467" s="125"/>
      <c r="L467" s="125"/>
      <c r="Q467" s="125"/>
      <c r="V467" s="125"/>
      <c r="AA467" s="125"/>
      <c r="AF467" s="125"/>
      <c r="AK467" s="125"/>
      <c r="AP467" s="125"/>
      <c r="AU467" s="125"/>
      <c r="AZ467" s="125"/>
      <c r="BE467" s="125"/>
    </row>
    <row r="468" spans="1:57">
      <c r="A468" s="125"/>
      <c r="G468" s="125"/>
      <c r="L468" s="125"/>
      <c r="Q468" s="125"/>
      <c r="V468" s="125"/>
      <c r="AA468" s="125"/>
      <c r="AF468" s="125"/>
      <c r="AK468" s="125"/>
      <c r="AP468" s="125"/>
      <c r="AU468" s="125"/>
      <c r="AZ468" s="125"/>
      <c r="BE468" s="125"/>
    </row>
    <row r="469" spans="1:57">
      <c r="A469" s="125"/>
      <c r="G469" s="125"/>
      <c r="L469" s="125"/>
      <c r="Q469" s="125"/>
      <c r="V469" s="125"/>
      <c r="AA469" s="125"/>
      <c r="AF469" s="125"/>
      <c r="AK469" s="125"/>
      <c r="AP469" s="125"/>
      <c r="AU469" s="125"/>
      <c r="AZ469" s="125"/>
      <c r="BE469" s="125"/>
    </row>
    <row r="470" spans="1:57">
      <c r="A470" s="125"/>
      <c r="G470" s="125"/>
      <c r="L470" s="125"/>
      <c r="Q470" s="125"/>
      <c r="V470" s="125"/>
      <c r="AA470" s="125"/>
      <c r="AF470" s="125"/>
      <c r="AK470" s="125"/>
      <c r="AP470" s="125"/>
      <c r="AU470" s="125"/>
      <c r="AZ470" s="125"/>
      <c r="BE470" s="125"/>
    </row>
    <row r="471" spans="1:57">
      <c r="A471" s="125"/>
      <c r="G471" s="125"/>
      <c r="L471" s="125"/>
      <c r="Q471" s="125"/>
      <c r="V471" s="125"/>
      <c r="AA471" s="125"/>
      <c r="AF471" s="125"/>
      <c r="AK471" s="125"/>
      <c r="AP471" s="125"/>
      <c r="AU471" s="125"/>
      <c r="AZ471" s="125"/>
      <c r="BE471" s="125"/>
    </row>
    <row r="472" spans="1:57">
      <c r="A472" s="125"/>
      <c r="G472" s="125"/>
      <c r="L472" s="125"/>
      <c r="Q472" s="125"/>
      <c r="V472" s="125"/>
      <c r="AA472" s="125"/>
      <c r="AF472" s="125"/>
      <c r="AK472" s="125"/>
      <c r="AP472" s="125"/>
      <c r="AU472" s="125"/>
      <c r="AZ472" s="125"/>
      <c r="BE472" s="125"/>
    </row>
    <row r="473" spans="1:57">
      <c r="A473" s="125"/>
      <c r="G473" s="125"/>
      <c r="L473" s="125"/>
      <c r="Q473" s="125"/>
      <c r="V473" s="125"/>
      <c r="AA473" s="125"/>
      <c r="AF473" s="125"/>
      <c r="AK473" s="125"/>
      <c r="AP473" s="125"/>
      <c r="AU473" s="125"/>
      <c r="AZ473" s="125"/>
      <c r="BE473" s="125"/>
    </row>
    <row r="474" spans="1:57">
      <c r="A474" s="125"/>
      <c r="G474" s="125"/>
      <c r="L474" s="125"/>
      <c r="Q474" s="125"/>
      <c r="V474" s="125"/>
      <c r="AA474" s="125"/>
      <c r="AF474" s="125"/>
      <c r="AK474" s="125"/>
      <c r="AP474" s="125"/>
      <c r="AU474" s="125"/>
      <c r="AZ474" s="125"/>
      <c r="BE474" s="125"/>
    </row>
    <row r="475" spans="1:57">
      <c r="A475" s="125"/>
      <c r="G475" s="125"/>
      <c r="L475" s="125"/>
      <c r="Q475" s="125"/>
      <c r="V475" s="125"/>
      <c r="AA475" s="125"/>
      <c r="AF475" s="125"/>
      <c r="AK475" s="125"/>
      <c r="AP475" s="125"/>
      <c r="AU475" s="125"/>
      <c r="AZ475" s="125"/>
      <c r="BE475" s="125"/>
    </row>
    <row r="476" spans="1:57">
      <c r="A476" s="125"/>
      <c r="G476" s="125"/>
      <c r="L476" s="125"/>
      <c r="Q476" s="125"/>
      <c r="V476" s="125"/>
      <c r="AA476" s="125"/>
      <c r="AF476" s="125"/>
      <c r="AK476" s="125"/>
      <c r="AP476" s="125"/>
      <c r="AU476" s="125"/>
      <c r="AZ476" s="125"/>
      <c r="BE476" s="125"/>
    </row>
    <row r="477" spans="1:57">
      <c r="A477" s="125"/>
      <c r="G477" s="125"/>
      <c r="L477" s="125"/>
      <c r="Q477" s="125"/>
      <c r="V477" s="125"/>
      <c r="AA477" s="125"/>
      <c r="AF477" s="125"/>
      <c r="AK477" s="125"/>
      <c r="AP477" s="125"/>
      <c r="AU477" s="125"/>
      <c r="AZ477" s="125"/>
      <c r="BE477" s="125"/>
    </row>
    <row r="478" spans="1:57">
      <c r="A478" s="125"/>
      <c r="G478" s="125"/>
      <c r="L478" s="125"/>
      <c r="Q478" s="125"/>
      <c r="V478" s="125"/>
      <c r="AA478" s="125"/>
      <c r="AF478" s="125"/>
      <c r="AK478" s="125"/>
      <c r="AP478" s="125"/>
      <c r="AU478" s="125"/>
      <c r="AZ478" s="125"/>
      <c r="BE478" s="125"/>
    </row>
    <row r="479" spans="1:57">
      <c r="A479" s="125"/>
      <c r="G479" s="125"/>
      <c r="L479" s="125"/>
      <c r="Q479" s="125"/>
      <c r="V479" s="125"/>
      <c r="AA479" s="125"/>
      <c r="AF479" s="125"/>
      <c r="AK479" s="125"/>
      <c r="AP479" s="125"/>
      <c r="AU479" s="125"/>
      <c r="AZ479" s="125"/>
      <c r="BE479" s="125"/>
    </row>
    <row r="480" spans="1:57">
      <c r="A480" s="125"/>
      <c r="G480" s="125"/>
      <c r="L480" s="125"/>
      <c r="Q480" s="125"/>
      <c r="V480" s="125"/>
      <c r="AA480" s="125"/>
      <c r="AF480" s="125"/>
      <c r="AK480" s="125"/>
      <c r="AP480" s="125"/>
      <c r="AU480" s="125"/>
      <c r="AZ480" s="125"/>
      <c r="BE480" s="125"/>
    </row>
    <row r="481" spans="1:57">
      <c r="A481" s="125"/>
      <c r="G481" s="125"/>
      <c r="L481" s="125"/>
      <c r="Q481" s="125"/>
      <c r="V481" s="125"/>
      <c r="AA481" s="125"/>
      <c r="AF481" s="125"/>
      <c r="AK481" s="125"/>
      <c r="AP481" s="125"/>
      <c r="AU481" s="125"/>
      <c r="AZ481" s="125"/>
      <c r="BE481" s="125"/>
    </row>
    <row r="482" spans="1:57">
      <c r="A482" s="125"/>
      <c r="G482" s="125"/>
      <c r="L482" s="125"/>
      <c r="Q482" s="125"/>
      <c r="V482" s="125"/>
      <c r="AA482" s="125"/>
      <c r="AF482" s="125"/>
      <c r="AK482" s="125"/>
      <c r="AP482" s="125"/>
      <c r="AU482" s="125"/>
      <c r="AZ482" s="125"/>
      <c r="BE482" s="125"/>
    </row>
    <row r="483" spans="1:57">
      <c r="A483" s="125"/>
      <c r="G483" s="125"/>
      <c r="L483" s="125"/>
      <c r="Q483" s="125"/>
      <c r="V483" s="125"/>
      <c r="AA483" s="125"/>
      <c r="AF483" s="125"/>
      <c r="AK483" s="125"/>
      <c r="AP483" s="125"/>
      <c r="AU483" s="125"/>
      <c r="AZ483" s="125"/>
      <c r="BE483" s="125"/>
    </row>
    <row r="484" spans="1:57">
      <c r="A484" s="125"/>
      <c r="G484" s="125"/>
      <c r="L484" s="125"/>
      <c r="Q484" s="125"/>
      <c r="V484" s="125"/>
      <c r="AA484" s="125"/>
      <c r="AF484" s="125"/>
      <c r="AK484" s="125"/>
      <c r="AP484" s="125"/>
      <c r="AU484" s="125"/>
      <c r="AZ484" s="125"/>
      <c r="BE484" s="125"/>
    </row>
    <row r="485" spans="1:57">
      <c r="A485" s="125"/>
      <c r="G485" s="125"/>
      <c r="L485" s="125"/>
      <c r="Q485" s="125"/>
      <c r="V485" s="125"/>
      <c r="AA485" s="125"/>
      <c r="AF485" s="125"/>
      <c r="AK485" s="125"/>
      <c r="AP485" s="125"/>
      <c r="AU485" s="125"/>
      <c r="AZ485" s="125"/>
      <c r="BE485" s="125"/>
    </row>
    <row r="486" spans="1:57">
      <c r="A486" s="125"/>
      <c r="G486" s="125"/>
      <c r="L486" s="125"/>
      <c r="Q486" s="125"/>
      <c r="V486" s="125"/>
      <c r="AA486" s="125"/>
      <c r="AF486" s="125"/>
      <c r="AK486" s="125"/>
      <c r="AP486" s="125"/>
      <c r="AU486" s="125"/>
      <c r="AZ486" s="125"/>
      <c r="BE486" s="125"/>
    </row>
    <row r="487" spans="1:57">
      <c r="A487" s="125"/>
      <c r="G487" s="125"/>
      <c r="L487" s="125"/>
      <c r="Q487" s="125"/>
      <c r="V487" s="125"/>
      <c r="AA487" s="125"/>
      <c r="AF487" s="125"/>
      <c r="AK487" s="125"/>
      <c r="AP487" s="125"/>
      <c r="AU487" s="125"/>
      <c r="AZ487" s="125"/>
      <c r="BE487" s="125"/>
    </row>
    <row r="488" spans="1:57">
      <c r="A488" s="125"/>
      <c r="G488" s="125"/>
      <c r="L488" s="125"/>
      <c r="Q488" s="125"/>
      <c r="V488" s="125"/>
      <c r="AA488" s="125"/>
      <c r="AF488" s="125"/>
      <c r="AK488" s="125"/>
      <c r="AP488" s="125"/>
      <c r="AU488" s="125"/>
      <c r="AZ488" s="125"/>
      <c r="BE488" s="125"/>
    </row>
    <row r="489" spans="1:57">
      <c r="A489" s="125"/>
      <c r="G489" s="125"/>
      <c r="L489" s="125"/>
      <c r="Q489" s="125"/>
      <c r="V489" s="125"/>
      <c r="AA489" s="125"/>
      <c r="AF489" s="125"/>
      <c r="AK489" s="125"/>
      <c r="AP489" s="125"/>
      <c r="AU489" s="125"/>
      <c r="AZ489" s="125"/>
      <c r="BE489" s="125"/>
    </row>
    <row r="490" spans="1:57">
      <c r="A490" s="125"/>
      <c r="G490" s="125"/>
      <c r="L490" s="125"/>
      <c r="Q490" s="125"/>
      <c r="V490" s="125"/>
      <c r="AA490" s="125"/>
      <c r="AF490" s="125"/>
      <c r="AK490" s="125"/>
      <c r="AP490" s="125"/>
      <c r="AU490" s="125"/>
      <c r="AZ490" s="125"/>
      <c r="BE490" s="125"/>
    </row>
    <row r="491" spans="1:57">
      <c r="A491" s="125"/>
      <c r="G491" s="125"/>
      <c r="L491" s="125"/>
      <c r="Q491" s="125"/>
      <c r="V491" s="125"/>
      <c r="AA491" s="125"/>
      <c r="AF491" s="125"/>
      <c r="AK491" s="125"/>
      <c r="AP491" s="125"/>
      <c r="AU491" s="125"/>
      <c r="AZ491" s="125"/>
      <c r="BE491" s="125"/>
    </row>
    <row r="492" spans="1:57">
      <c r="A492" s="125"/>
      <c r="G492" s="125"/>
      <c r="L492" s="125"/>
      <c r="Q492" s="125"/>
      <c r="V492" s="125"/>
      <c r="AA492" s="125"/>
      <c r="AF492" s="125"/>
      <c r="AK492" s="125"/>
      <c r="AP492" s="125"/>
      <c r="AU492" s="125"/>
      <c r="AZ492" s="125"/>
      <c r="BE492" s="125"/>
    </row>
    <row r="493" spans="1:57">
      <c r="A493" s="125"/>
      <c r="G493" s="125"/>
      <c r="L493" s="125"/>
      <c r="Q493" s="125"/>
      <c r="V493" s="125"/>
      <c r="AA493" s="125"/>
      <c r="AF493" s="125"/>
      <c r="AK493" s="125"/>
      <c r="AP493" s="125"/>
      <c r="AU493" s="125"/>
      <c r="AZ493" s="125"/>
      <c r="BE493" s="125"/>
    </row>
    <row r="494" spans="1:57">
      <c r="A494" s="125"/>
      <c r="G494" s="125"/>
      <c r="L494" s="125"/>
      <c r="Q494" s="125"/>
      <c r="V494" s="125"/>
      <c r="AA494" s="125"/>
      <c r="AF494" s="125"/>
      <c r="AK494" s="125"/>
      <c r="AP494" s="125"/>
      <c r="AU494" s="125"/>
      <c r="AZ494" s="125"/>
      <c r="BE494" s="125"/>
    </row>
    <row r="495" spans="1:57">
      <c r="A495" s="125"/>
      <c r="G495" s="125"/>
      <c r="L495" s="125"/>
      <c r="Q495" s="125"/>
      <c r="V495" s="125"/>
      <c r="AA495" s="125"/>
      <c r="AF495" s="125"/>
      <c r="AK495" s="125"/>
      <c r="AP495" s="125"/>
      <c r="AU495" s="125"/>
      <c r="AZ495" s="125"/>
      <c r="BE495" s="125"/>
    </row>
    <row r="496" spans="1:57">
      <c r="A496" s="125"/>
      <c r="G496" s="125"/>
      <c r="L496" s="125"/>
      <c r="Q496" s="125"/>
      <c r="V496" s="125"/>
      <c r="AA496" s="125"/>
      <c r="AF496" s="125"/>
      <c r="AK496" s="125"/>
      <c r="AP496" s="125"/>
      <c r="AU496" s="125"/>
      <c r="AZ496" s="125"/>
      <c r="BE496" s="125"/>
    </row>
    <row r="497" spans="1:57">
      <c r="A497" s="125"/>
      <c r="G497" s="125"/>
      <c r="L497" s="125"/>
      <c r="Q497" s="125"/>
      <c r="V497" s="125"/>
      <c r="AA497" s="125"/>
      <c r="AF497" s="125"/>
      <c r="AK497" s="125"/>
      <c r="AP497" s="125"/>
      <c r="AU497" s="125"/>
      <c r="AZ497" s="125"/>
      <c r="BE497" s="125"/>
    </row>
    <row r="498" spans="1:57">
      <c r="A498" s="125"/>
      <c r="G498" s="125"/>
      <c r="L498" s="125"/>
      <c r="Q498" s="125"/>
      <c r="V498" s="125"/>
      <c r="AA498" s="125"/>
      <c r="AF498" s="125"/>
      <c r="AK498" s="125"/>
      <c r="AP498" s="125"/>
      <c r="AU498" s="125"/>
      <c r="AZ498" s="125"/>
      <c r="BE498" s="125"/>
    </row>
    <row r="499" spans="1:57">
      <c r="A499" s="125"/>
      <c r="G499" s="125"/>
      <c r="L499" s="125"/>
      <c r="Q499" s="125"/>
      <c r="V499" s="125"/>
      <c r="AA499" s="125"/>
      <c r="AF499" s="125"/>
      <c r="AK499" s="125"/>
      <c r="AP499" s="125"/>
      <c r="AU499" s="125"/>
      <c r="AZ499" s="125"/>
      <c r="BE499" s="125"/>
    </row>
    <row r="500" spans="1:57">
      <c r="A500" s="125"/>
      <c r="G500" s="125"/>
      <c r="L500" s="125"/>
      <c r="Q500" s="125"/>
      <c r="V500" s="125"/>
      <c r="AA500" s="125"/>
      <c r="AF500" s="125"/>
      <c r="AK500" s="125"/>
      <c r="AP500" s="125"/>
      <c r="AU500" s="125"/>
      <c r="AZ500" s="125"/>
      <c r="BE500" s="125"/>
    </row>
    <row r="501" spans="1:57">
      <c r="A501" s="125"/>
      <c r="G501" s="125"/>
      <c r="L501" s="125"/>
      <c r="Q501" s="125"/>
      <c r="V501" s="125"/>
      <c r="AA501" s="125"/>
      <c r="AF501" s="125"/>
      <c r="AK501" s="125"/>
      <c r="AP501" s="125"/>
      <c r="AU501" s="125"/>
      <c r="AZ501" s="125"/>
      <c r="BE501" s="125"/>
    </row>
    <row r="502" spans="1:57">
      <c r="A502" s="125"/>
      <c r="G502" s="125"/>
      <c r="L502" s="125"/>
      <c r="Q502" s="125"/>
      <c r="V502" s="125"/>
      <c r="AA502" s="125"/>
      <c r="AF502" s="125"/>
      <c r="AK502" s="125"/>
      <c r="AP502" s="125"/>
      <c r="AU502" s="125"/>
      <c r="AZ502" s="125"/>
      <c r="BE502" s="125"/>
    </row>
    <row r="503" spans="1:57">
      <c r="A503" s="125"/>
      <c r="G503" s="125"/>
      <c r="L503" s="125"/>
      <c r="Q503" s="125"/>
      <c r="V503" s="125"/>
      <c r="AA503" s="125"/>
      <c r="AF503" s="125"/>
      <c r="AK503" s="125"/>
      <c r="AP503" s="125"/>
      <c r="AU503" s="125"/>
      <c r="AZ503" s="125"/>
      <c r="BE503" s="125"/>
    </row>
    <row r="504" spans="1:57">
      <c r="A504" s="125"/>
      <c r="G504" s="125"/>
      <c r="L504" s="125"/>
      <c r="Q504" s="125"/>
      <c r="V504" s="125"/>
      <c r="AA504" s="125"/>
      <c r="AF504" s="125"/>
      <c r="AK504" s="125"/>
      <c r="AP504" s="125"/>
      <c r="AU504" s="125"/>
      <c r="AZ504" s="125"/>
      <c r="BE504" s="125"/>
    </row>
    <row r="505" spans="1:57">
      <c r="A505" s="125"/>
      <c r="G505" s="125"/>
      <c r="L505" s="125"/>
      <c r="Q505" s="125"/>
      <c r="V505" s="125"/>
      <c r="AA505" s="125"/>
      <c r="AF505" s="125"/>
      <c r="AK505" s="125"/>
      <c r="AP505" s="125"/>
      <c r="AU505" s="125"/>
      <c r="AZ505" s="125"/>
      <c r="BE505" s="125"/>
    </row>
    <row r="506" spans="1:57">
      <c r="A506" s="125"/>
      <c r="G506" s="125"/>
      <c r="L506" s="125"/>
      <c r="Q506" s="125"/>
      <c r="V506" s="125"/>
      <c r="AA506" s="125"/>
      <c r="AF506" s="125"/>
      <c r="AK506" s="125"/>
      <c r="AP506" s="125"/>
      <c r="AU506" s="125"/>
      <c r="AZ506" s="125"/>
      <c r="BE506" s="125"/>
    </row>
    <row r="507" spans="1:57">
      <c r="A507" s="125"/>
      <c r="G507" s="125"/>
      <c r="L507" s="125"/>
      <c r="Q507" s="125"/>
      <c r="V507" s="125"/>
      <c r="AA507" s="125"/>
      <c r="AF507" s="125"/>
      <c r="AK507" s="125"/>
      <c r="AP507" s="125"/>
      <c r="AU507" s="125"/>
      <c r="AZ507" s="125"/>
      <c r="BE507" s="125"/>
    </row>
    <row r="508" spans="1:57">
      <c r="A508" s="125"/>
      <c r="G508" s="125"/>
      <c r="L508" s="125"/>
      <c r="Q508" s="125"/>
      <c r="V508" s="125"/>
      <c r="AA508" s="125"/>
      <c r="AF508" s="125"/>
      <c r="AK508" s="125"/>
      <c r="AP508" s="125"/>
      <c r="AU508" s="125"/>
      <c r="AZ508" s="125"/>
      <c r="BE508" s="125"/>
    </row>
    <row r="509" spans="1:57">
      <c r="A509" s="125"/>
      <c r="G509" s="125"/>
      <c r="L509" s="125"/>
      <c r="Q509" s="125"/>
      <c r="V509" s="125"/>
      <c r="AA509" s="125"/>
      <c r="AF509" s="125"/>
      <c r="AK509" s="125"/>
      <c r="AP509" s="125"/>
      <c r="AU509" s="125"/>
      <c r="AZ509" s="125"/>
      <c r="BE509" s="125"/>
    </row>
    <row r="510" spans="1:57">
      <c r="A510" s="125"/>
      <c r="G510" s="125"/>
      <c r="L510" s="125"/>
      <c r="Q510" s="125"/>
      <c r="V510" s="125"/>
      <c r="AA510" s="125"/>
      <c r="AF510" s="125"/>
      <c r="AK510" s="125"/>
      <c r="AP510" s="125"/>
      <c r="AU510" s="125"/>
      <c r="AZ510" s="125"/>
      <c r="BE510" s="125"/>
    </row>
    <row r="511" spans="1:57">
      <c r="A511" s="125"/>
      <c r="G511" s="125"/>
      <c r="L511" s="125"/>
      <c r="Q511" s="125"/>
      <c r="V511" s="125"/>
      <c r="AA511" s="125"/>
      <c r="AF511" s="125"/>
      <c r="AK511" s="125"/>
      <c r="AP511" s="125"/>
      <c r="AU511" s="125"/>
      <c r="AZ511" s="125"/>
      <c r="BE511" s="125"/>
    </row>
    <row r="512" spans="1:57">
      <c r="A512" s="125"/>
      <c r="G512" s="125"/>
      <c r="L512" s="125"/>
      <c r="Q512" s="125"/>
      <c r="V512" s="125"/>
      <c r="AA512" s="125"/>
      <c r="AF512" s="125"/>
      <c r="AK512" s="125"/>
      <c r="AP512" s="125"/>
      <c r="AU512" s="125"/>
      <c r="AZ512" s="125"/>
      <c r="BE512" s="125"/>
    </row>
    <row r="513" spans="1:57">
      <c r="A513" s="125"/>
      <c r="G513" s="125"/>
      <c r="L513" s="125"/>
      <c r="Q513" s="125"/>
      <c r="V513" s="125"/>
      <c r="AA513" s="125"/>
      <c r="AF513" s="125"/>
      <c r="AK513" s="125"/>
      <c r="AP513" s="125"/>
      <c r="AU513" s="125"/>
      <c r="AZ513" s="125"/>
      <c r="BE513" s="125"/>
    </row>
    <row r="514" spans="1:57">
      <c r="A514" s="125"/>
      <c r="G514" s="125"/>
      <c r="L514" s="125"/>
      <c r="Q514" s="125"/>
      <c r="V514" s="125"/>
      <c r="AA514" s="125"/>
      <c r="AF514" s="125"/>
      <c r="AK514" s="125"/>
      <c r="AP514" s="125"/>
      <c r="AU514" s="125"/>
      <c r="AZ514" s="125"/>
      <c r="BE514" s="125"/>
    </row>
    <row r="515" spans="1:57">
      <c r="A515" s="125"/>
      <c r="G515" s="125"/>
      <c r="L515" s="125"/>
      <c r="Q515" s="125"/>
      <c r="V515" s="125"/>
      <c r="AA515" s="125"/>
      <c r="AF515" s="125"/>
      <c r="AK515" s="125"/>
      <c r="AP515" s="125"/>
      <c r="AU515" s="125"/>
      <c r="AZ515" s="125"/>
      <c r="BE515" s="125"/>
    </row>
    <row r="516" spans="1:57">
      <c r="A516" s="125"/>
      <c r="G516" s="125"/>
      <c r="L516" s="125"/>
      <c r="Q516" s="125"/>
      <c r="V516" s="125"/>
      <c r="AA516" s="125"/>
      <c r="AF516" s="125"/>
      <c r="AK516" s="125"/>
      <c r="AP516" s="125"/>
      <c r="AU516" s="125"/>
      <c r="AZ516" s="125"/>
      <c r="BE516" s="125"/>
    </row>
    <row r="517" spans="1:57">
      <c r="A517" s="125"/>
      <c r="G517" s="125"/>
      <c r="L517" s="125"/>
      <c r="Q517" s="125"/>
      <c r="V517" s="125"/>
      <c r="AA517" s="125"/>
      <c r="AF517" s="125"/>
      <c r="AK517" s="125"/>
      <c r="AP517" s="125"/>
      <c r="AU517" s="125"/>
      <c r="AZ517" s="125"/>
      <c r="BE517" s="125"/>
    </row>
    <row r="518" spans="1:57">
      <c r="A518" s="125"/>
      <c r="G518" s="125"/>
      <c r="L518" s="125"/>
      <c r="Q518" s="125"/>
      <c r="V518" s="125"/>
      <c r="AA518" s="125"/>
      <c r="AF518" s="125"/>
      <c r="AK518" s="125"/>
      <c r="AP518" s="125"/>
      <c r="AU518" s="125"/>
      <c r="AZ518" s="125"/>
      <c r="BE518" s="125"/>
    </row>
    <row r="519" spans="1:57">
      <c r="A519" s="125"/>
      <c r="G519" s="125"/>
      <c r="L519" s="125"/>
      <c r="Q519" s="125"/>
      <c r="V519" s="125"/>
      <c r="AA519" s="125"/>
      <c r="AF519" s="125"/>
      <c r="AK519" s="125"/>
      <c r="AP519" s="125"/>
      <c r="AU519" s="125"/>
      <c r="AZ519" s="125"/>
      <c r="BE519" s="125"/>
    </row>
    <row r="520" spans="1:57">
      <c r="A520" s="125"/>
      <c r="G520" s="125"/>
      <c r="L520" s="125"/>
      <c r="Q520" s="125"/>
      <c r="V520" s="125"/>
      <c r="AA520" s="125"/>
      <c r="AF520" s="125"/>
      <c r="AK520" s="125"/>
      <c r="AP520" s="125"/>
      <c r="AU520" s="125"/>
      <c r="AZ520" s="125"/>
      <c r="BE520" s="125"/>
    </row>
    <row r="521" spans="1:57">
      <c r="A521" s="125"/>
      <c r="G521" s="125"/>
      <c r="L521" s="125"/>
      <c r="Q521" s="125"/>
      <c r="V521" s="125"/>
      <c r="AA521" s="125"/>
      <c r="AF521" s="125"/>
      <c r="AK521" s="125"/>
      <c r="AP521" s="125"/>
      <c r="AU521" s="125"/>
      <c r="AZ521" s="125"/>
      <c r="BE521" s="125"/>
    </row>
    <row r="522" spans="1:57">
      <c r="A522" s="125"/>
      <c r="G522" s="125"/>
      <c r="L522" s="125"/>
      <c r="Q522" s="125"/>
      <c r="V522" s="125"/>
      <c r="AA522" s="125"/>
      <c r="AF522" s="125"/>
      <c r="AK522" s="125"/>
      <c r="AP522" s="125"/>
      <c r="AU522" s="125"/>
      <c r="AZ522" s="125"/>
      <c r="BE522" s="125"/>
    </row>
    <row r="523" spans="1:57">
      <c r="A523" s="125"/>
      <c r="G523" s="125"/>
      <c r="L523" s="125"/>
      <c r="Q523" s="125"/>
      <c r="V523" s="125"/>
      <c r="AA523" s="125"/>
      <c r="AF523" s="125"/>
      <c r="AK523" s="125"/>
      <c r="AP523" s="125"/>
      <c r="AU523" s="125"/>
      <c r="AZ523" s="125"/>
      <c r="BE523" s="125"/>
    </row>
    <row r="524" spans="1:57">
      <c r="A524" s="125"/>
      <c r="G524" s="125"/>
      <c r="L524" s="125"/>
      <c r="Q524" s="125"/>
      <c r="V524" s="125"/>
      <c r="AA524" s="125"/>
      <c r="AF524" s="125"/>
      <c r="AK524" s="125"/>
      <c r="AP524" s="125"/>
      <c r="AU524" s="125"/>
      <c r="AZ524" s="125"/>
      <c r="BE524" s="125"/>
    </row>
    <row r="525" spans="1:57">
      <c r="A525" s="125"/>
      <c r="G525" s="125"/>
      <c r="L525" s="125"/>
      <c r="Q525" s="125"/>
      <c r="V525" s="125"/>
      <c r="AA525" s="125"/>
      <c r="AF525" s="125"/>
      <c r="AK525" s="125"/>
      <c r="AP525" s="125"/>
      <c r="AU525" s="125"/>
      <c r="AZ525" s="125"/>
      <c r="BE525" s="125"/>
    </row>
    <row r="526" spans="1:57">
      <c r="A526" s="125"/>
      <c r="G526" s="125"/>
      <c r="L526" s="125"/>
      <c r="Q526" s="125"/>
      <c r="V526" s="125"/>
      <c r="AA526" s="125"/>
      <c r="AF526" s="125"/>
      <c r="AK526" s="125"/>
      <c r="AP526" s="125"/>
      <c r="AU526" s="125"/>
      <c r="AZ526" s="125"/>
      <c r="BE526" s="125"/>
    </row>
    <row r="527" spans="1:57">
      <c r="A527" s="125"/>
      <c r="G527" s="125"/>
      <c r="L527" s="125"/>
      <c r="Q527" s="125"/>
      <c r="V527" s="125"/>
      <c r="AA527" s="125"/>
      <c r="AF527" s="125"/>
      <c r="AK527" s="125"/>
      <c r="AP527" s="125"/>
      <c r="AU527" s="125"/>
      <c r="AZ527" s="125"/>
      <c r="BE527" s="125"/>
    </row>
    <row r="528" spans="1:57">
      <c r="A528" s="125"/>
      <c r="G528" s="125"/>
      <c r="L528" s="125"/>
      <c r="Q528" s="125"/>
      <c r="V528" s="125"/>
      <c r="AA528" s="125"/>
      <c r="AF528" s="125"/>
      <c r="AK528" s="125"/>
      <c r="AP528" s="125"/>
      <c r="AU528" s="125"/>
      <c r="AZ528" s="125"/>
      <c r="BE528" s="125"/>
    </row>
    <row r="529" spans="1:57">
      <c r="A529" s="125"/>
      <c r="G529" s="125"/>
      <c r="L529" s="125"/>
      <c r="Q529" s="125"/>
      <c r="V529" s="125"/>
      <c r="AA529" s="125"/>
      <c r="AF529" s="125"/>
      <c r="AK529" s="125"/>
      <c r="AP529" s="125"/>
      <c r="AU529" s="125"/>
      <c r="AZ529" s="125"/>
      <c r="BE529" s="125"/>
    </row>
    <row r="530" spans="1:57">
      <c r="A530" s="125"/>
      <c r="G530" s="125"/>
      <c r="L530" s="125"/>
      <c r="Q530" s="125"/>
      <c r="V530" s="125"/>
      <c r="AA530" s="125"/>
      <c r="AF530" s="125"/>
      <c r="AK530" s="125"/>
      <c r="AP530" s="125"/>
      <c r="AU530" s="125"/>
      <c r="AZ530" s="125"/>
      <c r="BE530" s="125"/>
    </row>
    <row r="531" spans="1:57">
      <c r="A531" s="125"/>
      <c r="G531" s="125"/>
      <c r="L531" s="125"/>
      <c r="Q531" s="125"/>
      <c r="V531" s="125"/>
      <c r="AA531" s="125"/>
      <c r="AF531" s="125"/>
      <c r="AK531" s="125"/>
      <c r="AP531" s="125"/>
      <c r="AU531" s="125"/>
      <c r="AZ531" s="125"/>
      <c r="BE531" s="125"/>
    </row>
    <row r="532" spans="1:57">
      <c r="A532" s="125"/>
      <c r="G532" s="125"/>
      <c r="L532" s="125"/>
      <c r="Q532" s="125"/>
      <c r="V532" s="125"/>
      <c r="AA532" s="125"/>
      <c r="AF532" s="125"/>
      <c r="AK532" s="125"/>
      <c r="AP532" s="125"/>
      <c r="AU532" s="125"/>
      <c r="AZ532" s="125"/>
      <c r="BE532" s="125"/>
    </row>
    <row r="533" spans="1:57">
      <c r="A533" s="125"/>
      <c r="G533" s="125"/>
      <c r="L533" s="125"/>
      <c r="Q533" s="125"/>
      <c r="V533" s="125"/>
      <c r="AA533" s="125"/>
      <c r="AF533" s="125"/>
      <c r="AK533" s="125"/>
      <c r="AP533" s="125"/>
      <c r="AU533" s="125"/>
      <c r="AZ533" s="125"/>
      <c r="BE533" s="125"/>
    </row>
    <row r="534" spans="1:57">
      <c r="A534" s="125"/>
      <c r="G534" s="125"/>
      <c r="L534" s="125"/>
      <c r="Q534" s="125"/>
      <c r="V534" s="125"/>
      <c r="AA534" s="125"/>
      <c r="AF534" s="125"/>
      <c r="AK534" s="125"/>
      <c r="AP534" s="125"/>
      <c r="AU534" s="125"/>
      <c r="AZ534" s="125"/>
      <c r="BE534" s="125"/>
    </row>
    <row r="535" spans="1:57">
      <c r="A535" s="125"/>
      <c r="G535" s="125"/>
      <c r="L535" s="125"/>
      <c r="Q535" s="125"/>
      <c r="V535" s="125"/>
      <c r="AA535" s="125"/>
      <c r="AF535" s="125"/>
      <c r="AK535" s="125"/>
      <c r="AP535" s="125"/>
      <c r="AU535" s="125"/>
      <c r="AZ535" s="125"/>
      <c r="BE535" s="125"/>
    </row>
    <row r="536" spans="1:57">
      <c r="A536" s="125"/>
      <c r="G536" s="125"/>
      <c r="L536" s="125"/>
      <c r="Q536" s="125"/>
      <c r="V536" s="125"/>
      <c r="AA536" s="125"/>
      <c r="AF536" s="125"/>
      <c r="AK536" s="125"/>
      <c r="AP536" s="125"/>
      <c r="AU536" s="125"/>
      <c r="AZ536" s="125"/>
      <c r="BE536" s="125"/>
    </row>
    <row r="537" spans="1:57">
      <c r="A537" s="125"/>
      <c r="G537" s="125"/>
      <c r="L537" s="125"/>
      <c r="Q537" s="125"/>
      <c r="V537" s="125"/>
      <c r="AA537" s="125"/>
      <c r="AF537" s="125"/>
      <c r="AK537" s="125"/>
      <c r="AP537" s="125"/>
      <c r="AU537" s="125"/>
      <c r="AZ537" s="125"/>
      <c r="BE537" s="125"/>
    </row>
  </sheetData>
  <mergeCells count="12">
    <mergeCell ref="BF2:BJ2"/>
    <mergeCell ref="W2:AA2"/>
    <mergeCell ref="AB2:AF2"/>
    <mergeCell ref="AG2:AK2"/>
    <mergeCell ref="AL2:AP2"/>
    <mergeCell ref="AV2:AZ2"/>
    <mergeCell ref="AQ2:AU2"/>
    <mergeCell ref="C2:G2"/>
    <mergeCell ref="H2:L2"/>
    <mergeCell ref="M2:Q2"/>
    <mergeCell ref="R2:V2"/>
    <mergeCell ref="BA2:BE2"/>
  </mergeCells>
  <phoneticPr fontId="9" type="noConversion"/>
  <pageMargins left="0" right="0" top="0" bottom="0" header="0" footer="0"/>
  <pageSetup paperSize="5" scale="46" orientation="landscape" r:id="rId1"/>
  <headerFooter alignWithMargins="0"/>
  <ignoredErrors>
    <ignoredError sqref="AQ6:AT6 AQ9:AT9 AP12:BE12 AP21:BE21 AP28:BE28 AP35:BE35 AP45:BE45 BO6:DH6 BO9:DH9 AV6:BJ6 AV9:BJ9"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DO535"/>
  <sheetViews>
    <sheetView showGridLines="0" zoomScale="85" zoomScaleNormal="85" workbookViewId="0">
      <pane xSplit="2" ySplit="2" topLeftCell="AK3" activePane="bottomRight" state="frozen"/>
      <selection pane="topRight" activeCell="C1" sqref="C1"/>
      <selection pane="bottomLeft" activeCell="A7" sqref="A7"/>
      <selection pane="bottomRight" activeCell="B2" sqref="B2:CI40"/>
    </sheetView>
  </sheetViews>
  <sheetFormatPr defaultRowHeight="13.5" outlineLevelRow="1" outlineLevelCol="1"/>
  <cols>
    <col min="1" max="1" width="3.375" style="282" customWidth="1"/>
    <col min="2" max="2" width="46.75" style="125" bestFit="1" customWidth="1"/>
    <col min="3" max="3" width="2.875" style="125" hidden="1" customWidth="1" outlineLevel="1"/>
    <col min="4" max="6" width="9" style="125" hidden="1" customWidth="1" outlineLevel="1"/>
    <col min="7" max="7" width="0" style="125" hidden="1" customWidth="1" collapsed="1"/>
    <col min="8" max="11" width="9" style="125" hidden="1" customWidth="1" outlineLevel="1"/>
    <col min="12" max="12" width="0" style="125" hidden="1" customWidth="1" collapsed="1"/>
    <col min="13" max="16" width="0" style="125" hidden="1" customWidth="1" outlineLevel="1"/>
    <col min="17" max="17" width="0" style="125" hidden="1" customWidth="1" collapsed="1"/>
    <col min="18" max="21" width="9" style="125" hidden="1" customWidth="1" outlineLevel="1"/>
    <col min="22" max="22" width="0" style="125" hidden="1" customWidth="1" collapsed="1"/>
    <col min="23" max="26" width="9" style="125" hidden="1" customWidth="1" outlineLevel="1"/>
    <col min="27" max="27" width="0" style="125" hidden="1" customWidth="1" collapsed="1"/>
    <col min="28" max="31" width="9" style="125" hidden="1" customWidth="1" outlineLevel="1"/>
    <col min="32" max="32" width="0" style="125" hidden="1" customWidth="1" collapsed="1"/>
    <col min="33" max="36" width="9" style="125" hidden="1" customWidth="1" outlineLevel="1"/>
    <col min="37" max="37" width="9" style="125" collapsed="1"/>
    <col min="38" max="41" width="9" style="125" hidden="1" customWidth="1" outlineLevel="1"/>
    <col min="42" max="42" width="9" style="125" collapsed="1"/>
    <col min="43" max="46" width="9" style="125" hidden="1" customWidth="1" outlineLevel="1"/>
    <col min="47" max="47" width="9" style="125" collapsed="1"/>
    <col min="48" max="51" width="9" style="125" hidden="1" customWidth="1" outlineLevel="1"/>
    <col min="52" max="52" width="9" style="125" collapsed="1"/>
    <col min="53" max="56" width="9" style="125" hidden="1" customWidth="1" outlineLevel="1"/>
    <col min="57" max="57" width="9" style="125" collapsed="1"/>
    <col min="58" max="61" width="9" style="125" hidden="1" customWidth="1" outlineLevel="1"/>
    <col min="62" max="62" width="9" style="125" collapsed="1"/>
    <col min="63" max="66" width="0" style="125" hidden="1" customWidth="1" outlineLevel="1"/>
    <col min="67" max="67" width="9" style="125" collapsed="1"/>
    <col min="68" max="71" width="0" style="125" hidden="1" customWidth="1" outlineLevel="1"/>
    <col min="72" max="72" width="9" style="125" collapsed="1"/>
    <col min="73" max="76" width="0" style="125" hidden="1" customWidth="1" outlineLevel="1"/>
    <col min="77" max="77" width="9" style="125" collapsed="1"/>
    <col min="78" max="81" width="0" style="125" hidden="1" customWidth="1" outlineLevel="1"/>
    <col min="82" max="82" width="9" style="125" collapsed="1"/>
    <col min="83" max="86" width="0" style="125" hidden="1" customWidth="1" outlineLevel="1"/>
    <col min="87" max="87" width="9" style="125" collapsed="1"/>
    <col min="88" max="91" width="0" style="125" hidden="1" customWidth="1" outlineLevel="1"/>
    <col min="92" max="92" width="9" style="125" collapsed="1"/>
    <col min="93" max="96" width="0" style="125" hidden="1" customWidth="1" outlineLevel="1"/>
    <col min="97" max="97" width="9" style="125" collapsed="1"/>
    <col min="98" max="101" width="0" style="125" hidden="1" customWidth="1" outlineLevel="1"/>
    <col min="102" max="102" width="9" style="125" collapsed="1"/>
    <col min="103" max="106" width="0" style="125" hidden="1" customWidth="1" outlineLevel="1"/>
    <col min="107" max="107" width="9" style="125" collapsed="1"/>
    <col min="108" max="111" width="0" style="125" hidden="1" customWidth="1" outlineLevel="1"/>
    <col min="112" max="112" width="9" style="125" collapsed="1"/>
    <col min="113" max="113" width="9" style="125"/>
    <col min="120" max="16384" width="9" style="125"/>
  </cols>
  <sheetData>
    <row r="1" spans="1:119" ht="15.75" customHeight="1">
      <c r="A1" s="135"/>
      <c r="B1" s="134"/>
      <c r="C1" s="134"/>
      <c r="D1" s="134"/>
      <c r="E1" s="134"/>
      <c r="F1" s="134"/>
      <c r="G1" s="134"/>
      <c r="H1" s="134"/>
      <c r="I1" s="134"/>
      <c r="J1" s="134"/>
      <c r="K1" s="134"/>
      <c r="L1" s="134"/>
      <c r="M1" s="134"/>
      <c r="N1" s="134"/>
      <c r="O1" s="134"/>
      <c r="P1" s="134"/>
      <c r="Q1" s="134"/>
      <c r="R1" s="134"/>
      <c r="S1" s="134"/>
      <c r="T1" s="134"/>
      <c r="U1" s="134"/>
      <c r="V1" s="134"/>
      <c r="W1" s="134"/>
      <c r="X1" s="134"/>
      <c r="Y1" s="134"/>
      <c r="Z1" s="134"/>
      <c r="AA1" s="134"/>
      <c r="AB1" s="134"/>
      <c r="AC1" s="134"/>
      <c r="AD1" s="134"/>
      <c r="AE1" s="134"/>
      <c r="AF1" s="134"/>
      <c r="AG1" s="134"/>
      <c r="AH1" s="134"/>
      <c r="AI1" s="134"/>
      <c r="AJ1" s="134"/>
      <c r="AK1" s="134"/>
      <c r="AL1" s="134"/>
      <c r="AM1" s="134"/>
      <c r="AN1" s="134"/>
      <c r="AO1" s="134"/>
      <c r="AP1" s="134"/>
      <c r="AQ1" s="134"/>
      <c r="AR1" s="134"/>
      <c r="AS1" s="134"/>
      <c r="AT1" s="134"/>
      <c r="AU1" s="134"/>
      <c r="AV1" s="134"/>
      <c r="AW1" s="134"/>
      <c r="AX1" s="134"/>
      <c r="AY1" s="134"/>
      <c r="AZ1" s="134"/>
      <c r="BA1" s="134"/>
      <c r="BB1" s="134"/>
      <c r="BC1" s="134"/>
      <c r="BD1" s="134"/>
      <c r="BE1" s="134"/>
      <c r="BF1" s="134"/>
    </row>
    <row r="2" spans="1:119" s="132" customFormat="1" ht="15.75" customHeight="1" thickBot="1">
      <c r="A2" s="316"/>
      <c r="B2" s="303" t="s">
        <v>755</v>
      </c>
      <c r="C2" s="1110">
        <v>2009</v>
      </c>
      <c r="D2" s="1110"/>
      <c r="E2" s="1110"/>
      <c r="F2" s="1110"/>
      <c r="G2" s="1110"/>
      <c r="H2" s="1110">
        <f>C2+1</f>
        <v>2010</v>
      </c>
      <c r="I2" s="1110"/>
      <c r="J2" s="1110"/>
      <c r="K2" s="1110"/>
      <c r="L2" s="1110"/>
      <c r="M2" s="1111">
        <f>H2+1</f>
        <v>2011</v>
      </c>
      <c r="N2" s="1111"/>
      <c r="O2" s="1111"/>
      <c r="P2" s="1111"/>
      <c r="Q2" s="1111"/>
      <c r="R2" s="1112">
        <v>2012</v>
      </c>
      <c r="S2" s="1112"/>
      <c r="T2" s="1112"/>
      <c r="U2" s="1112"/>
      <c r="V2" s="1112"/>
      <c r="W2" s="1112">
        <v>2013</v>
      </c>
      <c r="X2" s="1112"/>
      <c r="Y2" s="1112"/>
      <c r="Z2" s="1112"/>
      <c r="AA2" s="1112"/>
      <c r="AB2" s="1111">
        <v>2014</v>
      </c>
      <c r="AC2" s="1111"/>
      <c r="AD2" s="1111"/>
      <c r="AE2" s="1111"/>
      <c r="AF2" s="1111"/>
      <c r="AG2" s="1111">
        <f>AB2+1</f>
        <v>2015</v>
      </c>
      <c r="AH2" s="1111"/>
      <c r="AI2" s="1111"/>
      <c r="AJ2" s="1111"/>
      <c r="AK2" s="1111"/>
      <c r="AL2" s="1111">
        <f>AG2+1</f>
        <v>2016</v>
      </c>
      <c r="AM2" s="1111"/>
      <c r="AN2" s="1111"/>
      <c r="AO2" s="1111"/>
      <c r="AP2" s="1111"/>
      <c r="AQ2" s="1112">
        <f>AL2+1</f>
        <v>2017</v>
      </c>
      <c r="AR2" s="1112"/>
      <c r="AS2" s="1112"/>
      <c r="AT2" s="1112"/>
      <c r="AU2" s="1112"/>
      <c r="AV2" s="1113">
        <f>AQ2+1</f>
        <v>2018</v>
      </c>
      <c r="AW2" s="1113"/>
      <c r="AX2" s="1113"/>
      <c r="AY2" s="1113"/>
      <c r="AZ2" s="1113"/>
      <c r="BA2" s="1113">
        <f>AV2+1</f>
        <v>2019</v>
      </c>
      <c r="BB2" s="1113"/>
      <c r="BC2" s="1113"/>
      <c r="BD2" s="1113"/>
      <c r="BE2" s="1113"/>
      <c r="BF2" s="1113">
        <f>BA2+1</f>
        <v>2020</v>
      </c>
      <c r="BG2" s="1113"/>
      <c r="BH2" s="1113"/>
      <c r="BI2" s="1113"/>
      <c r="BJ2" s="1113"/>
      <c r="BK2" s="995"/>
      <c r="BL2" s="995"/>
      <c r="BM2" s="995"/>
      <c r="BN2" s="995"/>
      <c r="BO2" s="1024">
        <f>BF2+1</f>
        <v>2021</v>
      </c>
      <c r="BP2" s="1024"/>
      <c r="BQ2" s="1024"/>
      <c r="BR2" s="1024"/>
      <c r="BS2" s="1024"/>
      <c r="BT2" s="1024">
        <f>BO2+1</f>
        <v>2022</v>
      </c>
      <c r="BU2" s="1024"/>
      <c r="BV2" s="1024"/>
      <c r="BW2" s="1024"/>
      <c r="BX2" s="1024"/>
      <c r="BY2" s="1024">
        <f>BT2+1</f>
        <v>2023</v>
      </c>
      <c r="BZ2" s="1024"/>
      <c r="CA2" s="1024"/>
      <c r="CB2" s="1024"/>
      <c r="CC2" s="1024"/>
      <c r="CD2" s="1024">
        <f>BY2+1</f>
        <v>2024</v>
      </c>
      <c r="CE2" s="1024"/>
      <c r="CF2" s="1024"/>
      <c r="CG2" s="1024"/>
      <c r="CH2" s="1024"/>
      <c r="CI2" s="1024">
        <f>CD2+1</f>
        <v>2025</v>
      </c>
      <c r="CJ2" s="1024"/>
      <c r="CK2" s="1024"/>
      <c r="CL2" s="1024"/>
      <c r="CM2" s="1024"/>
      <c r="CN2" s="1024">
        <f>CI2+1</f>
        <v>2026</v>
      </c>
      <c r="CO2" s="1024"/>
      <c r="CP2" s="1024"/>
      <c r="CQ2" s="1024"/>
      <c r="CR2" s="1024"/>
      <c r="CS2" s="1024">
        <f>CN2+1</f>
        <v>2027</v>
      </c>
      <c r="CT2" s="1024"/>
      <c r="CU2" s="1024"/>
      <c r="CV2" s="1024"/>
      <c r="CW2" s="1024"/>
      <c r="CX2" s="1024">
        <f>CS2+1</f>
        <v>2028</v>
      </c>
      <c r="CY2" s="1024"/>
      <c r="CZ2" s="1024"/>
      <c r="DA2" s="1024"/>
      <c r="DB2" s="1024"/>
      <c r="DC2" s="1024">
        <f>CX2+1</f>
        <v>2029</v>
      </c>
      <c r="DD2" s="1024"/>
      <c r="DE2" s="1024"/>
      <c r="DF2" s="1024"/>
      <c r="DG2" s="1024"/>
      <c r="DH2" s="1024">
        <f>DC2+1</f>
        <v>2030</v>
      </c>
      <c r="DJ2"/>
      <c r="DK2"/>
      <c r="DL2"/>
      <c r="DM2"/>
      <c r="DN2"/>
      <c r="DO2"/>
    </row>
    <row r="3" spans="1:119" ht="6.75" customHeight="1">
      <c r="C3" s="283"/>
      <c r="D3" s="143"/>
      <c r="E3" s="143"/>
      <c r="F3" s="284"/>
      <c r="H3" s="283"/>
      <c r="I3" s="143"/>
      <c r="J3" s="143"/>
      <c r="K3" s="284"/>
      <c r="M3" s="283"/>
      <c r="N3" s="143"/>
      <c r="O3" s="143"/>
      <c r="P3" s="284"/>
      <c r="R3" s="283"/>
      <c r="S3" s="143"/>
      <c r="T3" s="143"/>
      <c r="U3" s="284"/>
      <c r="W3" s="283"/>
      <c r="X3" s="143"/>
      <c r="Y3" s="143"/>
      <c r="Z3" s="284"/>
      <c r="AB3" s="283"/>
      <c r="AC3" s="143"/>
      <c r="AD3" s="143"/>
      <c r="AE3" s="284"/>
      <c r="AG3" s="283"/>
      <c r="AH3" s="143"/>
      <c r="AI3" s="143"/>
      <c r="AJ3" s="284"/>
      <c r="AL3" s="283"/>
      <c r="AM3" s="143"/>
      <c r="AN3" s="143"/>
      <c r="AO3" s="284"/>
      <c r="AQ3" s="283"/>
      <c r="AR3" s="143"/>
      <c r="AS3" s="143"/>
      <c r="AT3" s="284"/>
      <c r="AV3" s="283"/>
      <c r="AW3" s="143"/>
      <c r="AX3" s="143"/>
      <c r="AY3" s="284"/>
      <c r="BA3" s="283"/>
      <c r="BB3" s="143"/>
      <c r="BC3" s="143"/>
      <c r="BD3" s="284"/>
      <c r="BF3" s="283"/>
      <c r="BG3" s="143"/>
      <c r="BH3" s="143"/>
      <c r="BI3" s="284"/>
    </row>
    <row r="4" spans="1:119" ht="15.75" customHeight="1">
      <c r="B4" s="132" t="s">
        <v>74</v>
      </c>
      <c r="C4" s="283"/>
      <c r="D4" s="143"/>
      <c r="E4" s="143"/>
      <c r="F4" s="284"/>
      <c r="G4" s="177"/>
      <c r="H4" s="285"/>
      <c r="I4" s="154"/>
      <c r="J4" s="154"/>
      <c r="K4" s="286"/>
      <c r="L4" s="177"/>
      <c r="M4" s="285"/>
      <c r="N4" s="154"/>
      <c r="O4" s="154"/>
      <c r="P4" s="286"/>
      <c r="Q4" s="177"/>
      <c r="R4" s="285"/>
      <c r="S4" s="154"/>
      <c r="T4" s="154"/>
      <c r="U4" s="286"/>
      <c r="V4" s="177"/>
      <c r="W4" s="285"/>
      <c r="X4" s="154"/>
      <c r="Y4" s="154"/>
      <c r="Z4" s="286"/>
      <c r="AA4" s="177"/>
      <c r="AB4" s="285"/>
      <c r="AC4" s="154"/>
      <c r="AD4" s="154"/>
      <c r="AE4" s="286"/>
      <c r="AF4" s="177"/>
      <c r="AG4" s="285"/>
      <c r="AH4" s="154"/>
      <c r="AI4" s="154"/>
      <c r="AJ4" s="286"/>
      <c r="AK4" s="177"/>
      <c r="AL4" s="285"/>
      <c r="AM4" s="154"/>
      <c r="AN4" s="154"/>
      <c r="AO4" s="286"/>
      <c r="AP4" s="177"/>
      <c r="AQ4" s="285"/>
      <c r="AR4" s="154"/>
      <c r="AS4" s="154"/>
      <c r="AT4" s="286"/>
      <c r="AU4" s="177"/>
      <c r="AV4" s="285"/>
      <c r="AW4" s="154"/>
      <c r="AX4" s="154"/>
      <c r="AY4" s="286"/>
      <c r="AZ4" s="177"/>
      <c r="BA4" s="285"/>
      <c r="BB4" s="154"/>
      <c r="BC4" s="154"/>
      <c r="BD4" s="286"/>
      <c r="BE4" s="177"/>
      <c r="BF4" s="285"/>
      <c r="BG4" s="154"/>
      <c r="BH4" s="154"/>
      <c r="BI4" s="286"/>
      <c r="BJ4" s="177"/>
      <c r="BK4" s="177"/>
      <c r="BL4" s="177"/>
      <c r="BM4" s="177"/>
      <c r="BN4" s="177"/>
    </row>
    <row r="5" spans="1:119" ht="15.75" customHeight="1">
      <c r="B5" s="125" t="s">
        <v>75</v>
      </c>
      <c r="C5" s="283"/>
      <c r="D5" s="143"/>
      <c r="E5" s="143"/>
      <c r="F5" s="284"/>
      <c r="G5" s="410">
        <v>-67.83</v>
      </c>
      <c r="H5" s="411"/>
      <c r="I5" s="407"/>
      <c r="J5" s="407"/>
      <c r="K5" s="412"/>
      <c r="L5" s="410">
        <v>-104.468</v>
      </c>
      <c r="M5" s="411">
        <v>-20.780999999999999</v>
      </c>
      <c r="N5" s="407">
        <f>-42.255-M5</f>
        <v>-21.474000000000004</v>
      </c>
      <c r="O5" s="407">
        <f>-60.186-M5-N5</f>
        <v>-17.930999999999997</v>
      </c>
      <c r="P5" s="412"/>
      <c r="Q5" s="410">
        <v>-221.76</v>
      </c>
      <c r="R5" s="411"/>
      <c r="S5" s="407"/>
      <c r="T5" s="407"/>
      <c r="U5" s="412"/>
      <c r="V5" s="410">
        <v>750.26900000000001</v>
      </c>
      <c r="W5" s="285"/>
      <c r="X5" s="154"/>
      <c r="Y5" s="154"/>
      <c r="Z5" s="286"/>
      <c r="AA5" s="410">
        <v>424.36200000000002</v>
      </c>
      <c r="AB5" s="285"/>
      <c r="AC5" s="154"/>
      <c r="AD5" s="154"/>
      <c r="AE5" s="286"/>
      <c r="AF5" s="410">
        <v>348.07400000000001</v>
      </c>
      <c r="AG5" s="285"/>
      <c r="AH5" s="154"/>
      <c r="AI5" s="154"/>
      <c r="AJ5" s="286"/>
      <c r="AK5" s="410">
        <v>636.05600000000004</v>
      </c>
      <c r="AL5" s="285"/>
      <c r="AM5" s="154"/>
      <c r="AN5" s="154"/>
      <c r="AO5" s="286"/>
      <c r="AP5" s="410">
        <v>895.52200000000005</v>
      </c>
      <c r="AQ5" s="285"/>
      <c r="AR5" s="154"/>
      <c r="AS5" s="154"/>
      <c r="AT5" s="286"/>
      <c r="AU5" s="410">
        <v>1198.511</v>
      </c>
      <c r="AV5" s="285"/>
      <c r="AW5" s="154"/>
      <c r="AX5" s="154"/>
      <c r="AY5" s="286"/>
      <c r="AZ5" s="182">
        <f>IS!AZ39-IS!AZ62-IS!AZ58-IS!AZ55</f>
        <v>1513.9262911927019</v>
      </c>
      <c r="BA5" s="285"/>
      <c r="BB5" s="154"/>
      <c r="BC5" s="154"/>
      <c r="BD5" s="286"/>
      <c r="BE5" s="182">
        <f>IS!BE39-IS!BE62-IS!BE58-IS!BE55</f>
        <v>1771.6511758961199</v>
      </c>
      <c r="BF5" s="285"/>
      <c r="BG5" s="154"/>
      <c r="BH5" s="154"/>
      <c r="BI5" s="286"/>
      <c r="BJ5" s="182">
        <f>IS!BJ39-IS!BJ62-IS!BJ58-IS!BJ55</f>
        <v>2236.8369289399488</v>
      </c>
      <c r="BK5" s="182"/>
      <c r="BL5" s="182"/>
      <c r="BM5" s="182"/>
      <c r="BN5" s="182"/>
      <c r="BO5" s="182">
        <f>IS!BO39-IS!BO62-IS!BO58-IS!BO55</f>
        <v>2676.4018828486214</v>
      </c>
      <c r="BT5" s="182">
        <f>IS!BT39-IS!BT62-IS!BT58-IS!BT55</f>
        <v>3184.9897527561043</v>
      </c>
      <c r="BU5" s="125">
        <f>IS!BU39-IS!BU62-IS!BU58-IS!BU55</f>
        <v>0</v>
      </c>
      <c r="BV5" s="125">
        <f>IS!BV39-IS!BV62-IS!BV58-IS!BV55</f>
        <v>0</v>
      </c>
      <c r="BW5" s="125">
        <f>IS!BW39-IS!BW62-IS!BW58-IS!BW55</f>
        <v>0</v>
      </c>
      <c r="BX5" s="125">
        <f>IS!BX39-IS!BX62-IS!BX58-IS!BX55</f>
        <v>0</v>
      </c>
      <c r="BY5" s="182">
        <f>IS!BY39-IS!BY62-IS!BY58-IS!BY55</f>
        <v>3587.9807720279673</v>
      </c>
      <c r="BZ5" s="125">
        <f>IS!BZ39-IS!BZ62-IS!BZ58-IS!BZ55</f>
        <v>0</v>
      </c>
      <c r="CA5" s="125">
        <f>IS!CA39-IS!CA62-IS!CA58-IS!CA55</f>
        <v>0</v>
      </c>
      <c r="CB5" s="125">
        <f>IS!CB39-IS!CB62-IS!CB58-IS!CB55</f>
        <v>0</v>
      </c>
      <c r="CC5" s="125">
        <f>IS!CC39-IS!CC62-IS!CC58-IS!CC55</f>
        <v>0</v>
      </c>
      <c r="CD5" s="182">
        <f>IS!CD39-IS!CD62-IS!CD58-IS!CD55</f>
        <v>4009.8865194302566</v>
      </c>
      <c r="CE5" s="125">
        <f>IS!CE39-IS!CE62-IS!CE58-IS!CE55</f>
        <v>0</v>
      </c>
      <c r="CF5" s="125">
        <f>IS!CF39-IS!CF62-IS!CF58-IS!CF55</f>
        <v>0</v>
      </c>
      <c r="CG5" s="125">
        <f>IS!CG39-IS!CG62-IS!CG58-IS!CG55</f>
        <v>0</v>
      </c>
      <c r="CH5" s="125">
        <f>IS!CH39-IS!CH62-IS!CH58-IS!CH55</f>
        <v>0</v>
      </c>
      <c r="CI5" s="182">
        <f>IS!CI39-IS!CI62-IS!CI58-IS!CI55</f>
        <v>4393.2635798551946</v>
      </c>
      <c r="CJ5" s="125">
        <f>IS!CJ39-IS!CJ62-IS!CJ58-IS!CJ55</f>
        <v>0</v>
      </c>
      <c r="CK5" s="125">
        <f>IS!CK39-IS!CK62-IS!CK58-IS!CK55</f>
        <v>0</v>
      </c>
      <c r="CL5" s="125">
        <f>IS!CL39-IS!CL62-IS!CL58-IS!CL55</f>
        <v>0</v>
      </c>
      <c r="CM5" s="125">
        <f>IS!CM39-IS!CM62-IS!CM58-IS!CM55</f>
        <v>0</v>
      </c>
      <c r="CN5" s="182">
        <f>IS!CN39-IS!CN62-IS!CN58-IS!CN55</f>
        <v>4451.6276416758856</v>
      </c>
      <c r="CO5" s="125">
        <f>IS!CO39-IS!CO62-IS!CO58-IS!CO55</f>
        <v>0</v>
      </c>
      <c r="CP5" s="125">
        <f>IS!CP39-IS!CP62-IS!CP58-IS!CP55</f>
        <v>0</v>
      </c>
      <c r="CQ5" s="125">
        <f>IS!CQ39-IS!CQ62-IS!CQ58-IS!CQ55</f>
        <v>0</v>
      </c>
      <c r="CR5" s="125">
        <f>IS!CR39-IS!CR62-IS!CR58-IS!CR55</f>
        <v>0</v>
      </c>
      <c r="CS5" s="182">
        <f>IS!CS39-IS!CS62-IS!CS58-IS!CS55</f>
        <v>4338.241521927097</v>
      </c>
      <c r="CT5" s="125">
        <f>IS!CT39-IS!CT62-IS!CT58-IS!CT55</f>
        <v>0</v>
      </c>
      <c r="CU5" s="125">
        <f>IS!CU39-IS!CU62-IS!CU58-IS!CU55</f>
        <v>0</v>
      </c>
      <c r="CV5" s="125">
        <f>IS!CV39-IS!CV62-IS!CV58-IS!CV55</f>
        <v>0</v>
      </c>
      <c r="CW5" s="125">
        <f>IS!CW39-IS!CW62-IS!CW58-IS!CW55</f>
        <v>0</v>
      </c>
      <c r="CX5" s="182">
        <f>IS!CX39-IS!CX62-IS!CX58-IS!CX55</f>
        <v>4538.9732148121138</v>
      </c>
      <c r="CY5" s="125">
        <f>IS!CY39-IS!CY62-IS!CY58-IS!CY55</f>
        <v>0</v>
      </c>
      <c r="CZ5" s="125">
        <f>IS!CZ39-IS!CZ62-IS!CZ58-IS!CZ55</f>
        <v>0</v>
      </c>
      <c r="DA5" s="125">
        <f>IS!DA39-IS!DA62-IS!DA58-IS!DA55</f>
        <v>0</v>
      </c>
      <c r="DB5" s="125">
        <f>IS!DB39-IS!DB62-IS!DB58-IS!DB55</f>
        <v>0</v>
      </c>
      <c r="DC5" s="182">
        <f>IS!DC39-IS!DC62-IS!DC58-IS!DC55</f>
        <v>4210.2957093518507</v>
      </c>
      <c r="DD5" s="125">
        <f>IS!DD39-IS!DD62-IS!DD58-IS!DD55</f>
        <v>0</v>
      </c>
      <c r="DE5" s="125">
        <f>IS!DE39-IS!DE62-IS!DE58-IS!DE55</f>
        <v>0</v>
      </c>
      <c r="DF5" s="125">
        <f>IS!DF39-IS!DF62-IS!DF58-IS!DF55</f>
        <v>0</v>
      </c>
      <c r="DG5" s="125">
        <f>IS!DG39-IS!DG62-IS!DG58-IS!DG55</f>
        <v>0</v>
      </c>
      <c r="DH5" s="182">
        <f>IS!DH39-IS!DH62-IS!DH58-IS!DH55</f>
        <v>4446.0143944464653</v>
      </c>
    </row>
    <row r="6" spans="1:119" ht="15.75" customHeight="1">
      <c r="B6" s="243" t="s">
        <v>76</v>
      </c>
      <c r="C6" s="283"/>
      <c r="D6" s="143"/>
      <c r="E6" s="143"/>
      <c r="F6" s="284"/>
      <c r="G6" s="410">
        <v>14.247</v>
      </c>
      <c r="H6" s="411"/>
      <c r="I6" s="407"/>
      <c r="J6" s="407"/>
      <c r="K6" s="412"/>
      <c r="L6" s="410">
        <v>19.687000000000001</v>
      </c>
      <c r="M6" s="411">
        <v>0.44700000000000001</v>
      </c>
      <c r="N6" s="407">
        <f>0.923-M6</f>
        <v>0.47600000000000003</v>
      </c>
      <c r="O6" s="407">
        <f>1.429-M6-N6</f>
        <v>0.50600000000000001</v>
      </c>
      <c r="P6" s="412"/>
      <c r="Q6" s="410">
        <v>31.082000000000001</v>
      </c>
      <c r="R6" s="411"/>
      <c r="S6" s="407"/>
      <c r="T6" s="407"/>
      <c r="U6" s="412"/>
      <c r="V6" s="410">
        <v>36.94</v>
      </c>
      <c r="W6" s="285"/>
      <c r="X6" s="154"/>
      <c r="Y6" s="154"/>
      <c r="Z6" s="286"/>
      <c r="AA6" s="410">
        <v>41.204000000000001</v>
      </c>
      <c r="AB6" s="285"/>
      <c r="AC6" s="154"/>
      <c r="AD6" s="154"/>
      <c r="AE6" s="286"/>
      <c r="AF6" s="410">
        <v>52.686</v>
      </c>
      <c r="AG6" s="285"/>
      <c r="AH6" s="154"/>
      <c r="AI6" s="154"/>
      <c r="AJ6" s="286"/>
      <c r="AK6" s="410">
        <v>74.909000000000006</v>
      </c>
      <c r="AL6" s="285"/>
      <c r="AM6" s="154"/>
      <c r="AN6" s="154"/>
      <c r="AO6" s="286"/>
      <c r="AP6" s="410">
        <v>104.745</v>
      </c>
      <c r="AQ6" s="285"/>
      <c r="AR6" s="154"/>
      <c r="AS6" s="154"/>
      <c r="AT6" s="286"/>
      <c r="AU6" s="410">
        <v>145.46700000000001</v>
      </c>
      <c r="AV6" s="285"/>
      <c r="AW6" s="154"/>
      <c r="AX6" s="154"/>
      <c r="AY6" s="286"/>
      <c r="AZ6" s="177">
        <f>AU6*1.05</f>
        <v>152.74035000000001</v>
      </c>
      <c r="BA6" s="285"/>
      <c r="BB6" s="154"/>
      <c r="BC6" s="154"/>
      <c r="BD6" s="286"/>
      <c r="BE6" s="177">
        <f>AZ6*1.05</f>
        <v>160.37736750000002</v>
      </c>
      <c r="BF6" s="285"/>
      <c r="BG6" s="154"/>
      <c r="BH6" s="154"/>
      <c r="BI6" s="286"/>
      <c r="BJ6" s="177">
        <f>BE6*1.05</f>
        <v>168.39623587500003</v>
      </c>
      <c r="BK6" s="177"/>
      <c r="BL6" s="177"/>
      <c r="BM6" s="177"/>
      <c r="BN6" s="177"/>
      <c r="BO6" s="177">
        <f t="shared" ref="BO6:DH6" si="0">BJ6*1.05</f>
        <v>176.81604766875003</v>
      </c>
      <c r="BP6" s="125">
        <f t="shared" si="0"/>
        <v>0</v>
      </c>
      <c r="BQ6" s="125">
        <f t="shared" si="0"/>
        <v>0</v>
      </c>
      <c r="BR6" s="125">
        <f t="shared" si="0"/>
        <v>0</v>
      </c>
      <c r="BS6" s="125">
        <f t="shared" si="0"/>
        <v>0</v>
      </c>
      <c r="BT6" s="177">
        <f t="shared" si="0"/>
        <v>185.65685005218754</v>
      </c>
      <c r="BU6" s="125">
        <f t="shared" si="0"/>
        <v>0</v>
      </c>
      <c r="BV6" s="125">
        <f t="shared" si="0"/>
        <v>0</v>
      </c>
      <c r="BW6" s="125">
        <f t="shared" si="0"/>
        <v>0</v>
      </c>
      <c r="BX6" s="125">
        <f t="shared" si="0"/>
        <v>0</v>
      </c>
      <c r="BY6" s="177">
        <f t="shared" si="0"/>
        <v>194.93969255479692</v>
      </c>
      <c r="BZ6" s="125">
        <f t="shared" si="0"/>
        <v>0</v>
      </c>
      <c r="CA6" s="125">
        <f t="shared" si="0"/>
        <v>0</v>
      </c>
      <c r="CB6" s="125">
        <f t="shared" si="0"/>
        <v>0</v>
      </c>
      <c r="CC6" s="125">
        <f t="shared" si="0"/>
        <v>0</v>
      </c>
      <c r="CD6" s="177">
        <f t="shared" si="0"/>
        <v>204.68667718253678</v>
      </c>
      <c r="CE6" s="125">
        <f t="shared" si="0"/>
        <v>0</v>
      </c>
      <c r="CF6" s="125">
        <f t="shared" si="0"/>
        <v>0</v>
      </c>
      <c r="CG6" s="125">
        <f t="shared" si="0"/>
        <v>0</v>
      </c>
      <c r="CH6" s="125">
        <f t="shared" si="0"/>
        <v>0</v>
      </c>
      <c r="CI6" s="177">
        <f t="shared" si="0"/>
        <v>214.92101104166363</v>
      </c>
      <c r="CJ6" s="125">
        <f t="shared" si="0"/>
        <v>0</v>
      </c>
      <c r="CK6" s="125">
        <f t="shared" si="0"/>
        <v>0</v>
      </c>
      <c r="CL6" s="125">
        <f t="shared" si="0"/>
        <v>0</v>
      </c>
      <c r="CM6" s="125">
        <f t="shared" si="0"/>
        <v>0</v>
      </c>
      <c r="CN6" s="177">
        <f t="shared" si="0"/>
        <v>225.66706159374684</v>
      </c>
      <c r="CO6" s="125">
        <f t="shared" si="0"/>
        <v>0</v>
      </c>
      <c r="CP6" s="125">
        <f t="shared" si="0"/>
        <v>0</v>
      </c>
      <c r="CQ6" s="125">
        <f t="shared" si="0"/>
        <v>0</v>
      </c>
      <c r="CR6" s="125">
        <f t="shared" si="0"/>
        <v>0</v>
      </c>
      <c r="CS6" s="177">
        <f t="shared" si="0"/>
        <v>236.95041467343418</v>
      </c>
      <c r="CT6" s="125">
        <f t="shared" si="0"/>
        <v>0</v>
      </c>
      <c r="CU6" s="125">
        <f t="shared" si="0"/>
        <v>0</v>
      </c>
      <c r="CV6" s="125">
        <f t="shared" si="0"/>
        <v>0</v>
      </c>
      <c r="CW6" s="125">
        <f t="shared" si="0"/>
        <v>0</v>
      </c>
      <c r="CX6" s="177">
        <f t="shared" si="0"/>
        <v>248.79793540710591</v>
      </c>
      <c r="CY6" s="125">
        <f t="shared" si="0"/>
        <v>0</v>
      </c>
      <c r="CZ6" s="125">
        <f t="shared" si="0"/>
        <v>0</v>
      </c>
      <c r="DA6" s="125">
        <f t="shared" si="0"/>
        <v>0</v>
      </c>
      <c r="DB6" s="125">
        <f t="shared" si="0"/>
        <v>0</v>
      </c>
      <c r="DC6" s="177">
        <f t="shared" si="0"/>
        <v>261.2378321774612</v>
      </c>
      <c r="DD6" s="125">
        <f t="shared" si="0"/>
        <v>0</v>
      </c>
      <c r="DE6" s="125">
        <f t="shared" si="0"/>
        <v>0</v>
      </c>
      <c r="DF6" s="125">
        <f t="shared" si="0"/>
        <v>0</v>
      </c>
      <c r="DG6" s="125">
        <f t="shared" si="0"/>
        <v>0</v>
      </c>
      <c r="DH6" s="177">
        <f t="shared" si="0"/>
        <v>274.29972378633425</v>
      </c>
    </row>
    <row r="7" spans="1:119" ht="15.75" customHeight="1">
      <c r="B7" s="184" t="s">
        <v>245</v>
      </c>
      <c r="C7" s="283"/>
      <c r="D7" s="143"/>
      <c r="E7" s="143"/>
      <c r="F7" s="284"/>
      <c r="G7" s="410">
        <v>31.259</v>
      </c>
      <c r="H7" s="411"/>
      <c r="I7" s="407"/>
      <c r="J7" s="407"/>
      <c r="K7" s="412"/>
      <c r="L7" s="410">
        <v>39.896999999999998</v>
      </c>
      <c r="M7" s="411"/>
      <c r="N7" s="407"/>
      <c r="O7" s="407"/>
      <c r="P7" s="412"/>
      <c r="Q7" s="410">
        <v>56.094000000000001</v>
      </c>
      <c r="R7" s="411"/>
      <c r="S7" s="407"/>
      <c r="T7" s="407"/>
      <c r="U7" s="412"/>
      <c r="V7" s="410">
        <v>94.156999999999996</v>
      </c>
      <c r="W7" s="285"/>
      <c r="X7" s="154"/>
      <c r="Y7" s="154"/>
      <c r="Z7" s="286"/>
      <c r="AA7" s="410">
        <v>198.399</v>
      </c>
      <c r="AB7" s="285"/>
      <c r="AC7" s="154"/>
      <c r="AD7" s="154"/>
      <c r="AE7" s="286"/>
      <c r="AF7" s="410">
        <v>307.238</v>
      </c>
      <c r="AG7" s="285"/>
      <c r="AH7" s="154"/>
      <c r="AI7" s="154"/>
      <c r="AJ7" s="286"/>
      <c r="AK7" s="410">
        <v>459.04899999999998</v>
      </c>
      <c r="AL7" s="285"/>
      <c r="AM7" s="154"/>
      <c r="AN7" s="154"/>
      <c r="AO7" s="286"/>
      <c r="AP7" s="410">
        <v>559.87800000000004</v>
      </c>
      <c r="AQ7" s="285"/>
      <c r="AR7" s="154"/>
      <c r="AS7" s="154"/>
      <c r="AT7" s="286"/>
      <c r="AU7" s="410">
        <v>507.27699999999999</v>
      </c>
      <c r="AV7" s="285"/>
      <c r="AW7" s="154"/>
      <c r="AX7" s="154"/>
      <c r="AY7" s="286"/>
      <c r="AZ7" s="182">
        <f>+IS!AZ62+IS!AZ58+IS!AZ55</f>
        <v>519.95892499999991</v>
      </c>
      <c r="BA7" s="285"/>
      <c r="BB7" s="154"/>
      <c r="BC7" s="154"/>
      <c r="BD7" s="286"/>
      <c r="BE7" s="182">
        <f>+IS!BE62+IS!BE58+IS!BE55</f>
        <v>532.95789812499993</v>
      </c>
      <c r="BF7" s="285"/>
      <c r="BG7" s="154"/>
      <c r="BH7" s="154"/>
      <c r="BI7" s="286"/>
      <c r="BJ7" s="182">
        <f>+IS!BJ62+IS!BJ58+IS!BJ55</f>
        <v>546.28184557812494</v>
      </c>
      <c r="BK7" s="182"/>
      <c r="BL7" s="182"/>
      <c r="BM7" s="182"/>
      <c r="BN7" s="182"/>
      <c r="BO7" s="182">
        <f>+IS!BO62+IS!BO58+IS!BO55</f>
        <v>559.93889171757803</v>
      </c>
      <c r="BP7" s="125">
        <f>+IS!BP62+IS!BP58+IS!BP55</f>
        <v>0</v>
      </c>
      <c r="BQ7" s="125">
        <f>+IS!BQ62+IS!BQ58+IS!BQ55</f>
        <v>0</v>
      </c>
      <c r="BR7" s="125">
        <f>+IS!BR62+IS!BR58+IS!BR55</f>
        <v>0</v>
      </c>
      <c r="BS7" s="125">
        <f>+IS!BS62+IS!BS58+IS!BS55</f>
        <v>0</v>
      </c>
      <c r="BT7" s="182">
        <f>+IS!BT62+IS!BT58+IS!BT55</f>
        <v>573.9373640105174</v>
      </c>
      <c r="BU7" s="125">
        <f>+IS!BU62+IS!BU58+IS!BU55</f>
        <v>0</v>
      </c>
      <c r="BV7" s="125">
        <f>+IS!BV62+IS!BV58+IS!BV55</f>
        <v>0</v>
      </c>
      <c r="BW7" s="125">
        <f>+IS!BW62+IS!BW58+IS!BW55</f>
        <v>0</v>
      </c>
      <c r="BX7" s="125">
        <f>+IS!BX62+IS!BX58+IS!BX55</f>
        <v>0</v>
      </c>
      <c r="BY7" s="182">
        <f>+IS!BY62+IS!BY58+IS!BY55</f>
        <v>588.28579811078032</v>
      </c>
      <c r="BZ7" s="125">
        <f>+IS!BZ62+IS!BZ58+IS!BZ55</f>
        <v>0</v>
      </c>
      <c r="CA7" s="125">
        <f>+IS!CA62+IS!CA58+IS!CA55</f>
        <v>0</v>
      </c>
      <c r="CB7" s="125">
        <f>+IS!CB62+IS!CB58+IS!CB55</f>
        <v>0</v>
      </c>
      <c r="CC7" s="125">
        <f>+IS!CC62+IS!CC58+IS!CC55</f>
        <v>0</v>
      </c>
      <c r="CD7" s="182">
        <f>+IS!CD62+IS!CD58+IS!CD55</f>
        <v>602.99294306354966</v>
      </c>
      <c r="CE7" s="125">
        <f>+IS!CE62+IS!CE58+IS!CE55</f>
        <v>0</v>
      </c>
      <c r="CF7" s="125">
        <f>+IS!CF62+IS!CF58+IS!CF55</f>
        <v>0</v>
      </c>
      <c r="CG7" s="125">
        <f>+IS!CG62+IS!CG58+IS!CG55</f>
        <v>0</v>
      </c>
      <c r="CH7" s="125">
        <f>+IS!CH62+IS!CH58+IS!CH55</f>
        <v>0</v>
      </c>
      <c r="CI7" s="182">
        <f>+IS!CI62+IS!CI58+IS!CI55</f>
        <v>618.06776664013842</v>
      </c>
      <c r="CJ7" s="125">
        <f>+IS!CJ62+IS!CJ58+IS!CJ55</f>
        <v>0</v>
      </c>
      <c r="CK7" s="125">
        <f>+IS!CK62+IS!CK58+IS!CK55</f>
        <v>0</v>
      </c>
      <c r="CL7" s="125">
        <f>+IS!CL62+IS!CL58+IS!CL55</f>
        <v>0</v>
      </c>
      <c r="CM7" s="125">
        <f>+IS!CM62+IS!CM58+IS!CM55</f>
        <v>0</v>
      </c>
      <c r="CN7" s="182">
        <f>+IS!CN62+IS!CN58+IS!CN55</f>
        <v>627.66780065818398</v>
      </c>
      <c r="CO7" s="125">
        <f>+IS!CO62+IS!CO58+IS!CO55</f>
        <v>0</v>
      </c>
      <c r="CP7" s="125">
        <f>+IS!CP62+IS!CP58+IS!CP55</f>
        <v>0</v>
      </c>
      <c r="CQ7" s="125">
        <f>+IS!CQ62+IS!CQ58+IS!CQ55</f>
        <v>0</v>
      </c>
      <c r="CR7" s="125">
        <f>+IS!CR62+IS!CR58+IS!CR55</f>
        <v>0</v>
      </c>
      <c r="CS7" s="182">
        <f>+IS!CS62+IS!CS58+IS!CS55</f>
        <v>637.42006062446137</v>
      </c>
      <c r="CT7" s="125">
        <f>+IS!CT62+IS!CT58+IS!CT55</f>
        <v>0</v>
      </c>
      <c r="CU7" s="125">
        <f>+IS!CU62+IS!CU58+IS!CU55</f>
        <v>0</v>
      </c>
      <c r="CV7" s="125">
        <f>+IS!CV62+IS!CV58+IS!CV55</f>
        <v>0</v>
      </c>
      <c r="CW7" s="125">
        <f>+IS!CW62+IS!CW58+IS!CW55</f>
        <v>0</v>
      </c>
      <c r="CX7" s="182">
        <f>+IS!CX62+IS!CX58+IS!CX55</f>
        <v>647.32703556414299</v>
      </c>
      <c r="CY7" s="125">
        <f>+IS!CY62+IS!CY58+IS!CY55</f>
        <v>0</v>
      </c>
      <c r="CZ7" s="125">
        <f>+IS!CZ62+IS!CZ58+IS!CZ55</f>
        <v>0</v>
      </c>
      <c r="DA7" s="125">
        <f>+IS!DA62+IS!DA58+IS!DA55</f>
        <v>0</v>
      </c>
      <c r="DB7" s="125">
        <f>+IS!DB62+IS!DB58+IS!DB55</f>
        <v>0</v>
      </c>
      <c r="DC7" s="182">
        <f>+IS!DC62+IS!DC58+IS!DC55</f>
        <v>657.3912569786778</v>
      </c>
      <c r="DD7" s="125">
        <f>+IS!DD62+IS!DD58+IS!DD55</f>
        <v>0</v>
      </c>
      <c r="DE7" s="125">
        <f>+IS!DE62+IS!DE58+IS!DE55</f>
        <v>0</v>
      </c>
      <c r="DF7" s="125">
        <f>+IS!DF62+IS!DF58+IS!DF55</f>
        <v>0</v>
      </c>
      <c r="DG7" s="125">
        <f>+IS!DG62+IS!DG58+IS!DG55</f>
        <v>0</v>
      </c>
      <c r="DH7" s="182">
        <f>+IS!DH62+IS!DH58+IS!DH55</f>
        <v>667.61529961145732</v>
      </c>
    </row>
    <row r="8" spans="1:119" ht="15.75" customHeight="1">
      <c r="B8" s="184" t="s">
        <v>246</v>
      </c>
      <c r="C8" s="283"/>
      <c r="D8" s="143"/>
      <c r="E8" s="143"/>
      <c r="F8" s="284"/>
      <c r="G8" s="410">
        <v>0</v>
      </c>
      <c r="H8" s="411"/>
      <c r="I8" s="407"/>
      <c r="J8" s="407"/>
      <c r="K8" s="412"/>
      <c r="L8" s="410">
        <v>4.2999999999999997E-2</v>
      </c>
      <c r="M8" s="411"/>
      <c r="N8" s="407"/>
      <c r="O8" s="407"/>
      <c r="P8" s="412"/>
      <c r="Q8" s="410">
        <v>5.101</v>
      </c>
      <c r="R8" s="411"/>
      <c r="S8" s="407"/>
      <c r="T8" s="407"/>
      <c r="U8" s="412"/>
      <c r="V8" s="410">
        <v>22.925000000000001</v>
      </c>
      <c r="W8" s="285"/>
      <c r="X8" s="154"/>
      <c r="Y8" s="154"/>
      <c r="Z8" s="286"/>
      <c r="AA8" s="410">
        <v>23.061</v>
      </c>
      <c r="AB8" s="285"/>
      <c r="AC8" s="154"/>
      <c r="AD8" s="154"/>
      <c r="AE8" s="286"/>
      <c r="AF8" s="410">
        <v>18.052</v>
      </c>
      <c r="AG8" s="285"/>
      <c r="AH8" s="154"/>
      <c r="AI8" s="154"/>
      <c r="AJ8" s="286"/>
      <c r="AK8" s="410">
        <v>0</v>
      </c>
      <c r="AL8" s="285"/>
      <c r="AM8" s="154"/>
      <c r="AN8" s="154"/>
      <c r="AO8" s="286"/>
      <c r="AP8" s="410">
        <v>0</v>
      </c>
      <c r="AQ8" s="285"/>
      <c r="AR8" s="154"/>
      <c r="AS8" s="154"/>
      <c r="AT8" s="286"/>
      <c r="AU8" s="410">
        <v>0</v>
      </c>
      <c r="AV8" s="285"/>
      <c r="AW8" s="154"/>
      <c r="AX8" s="154"/>
      <c r="AY8" s="286"/>
      <c r="AZ8" s="182">
        <f>BS!AZ33-BS!AU33</f>
        <v>0</v>
      </c>
      <c r="BA8" s="285"/>
      <c r="BB8" s="154"/>
      <c r="BC8" s="154"/>
      <c r="BD8" s="286"/>
      <c r="BE8" s="182">
        <f>BS!BE33-BS!AZ33</f>
        <v>0</v>
      </c>
      <c r="BF8" s="285"/>
      <c r="BG8" s="154"/>
      <c r="BH8" s="154"/>
      <c r="BI8" s="286"/>
      <c r="BJ8" s="182">
        <f>BS!BJ33-BS!BE33</f>
        <v>0</v>
      </c>
      <c r="BK8" s="182"/>
      <c r="BL8" s="182"/>
      <c r="BM8" s="182"/>
      <c r="BN8" s="182"/>
      <c r="BO8" s="182">
        <f>BS!BO33-BS!BJ33</f>
        <v>0</v>
      </c>
      <c r="BP8" s="125">
        <f>BS!BP33-BS!BK33</f>
        <v>0</v>
      </c>
      <c r="BQ8" s="125">
        <f>BS!BQ33-BS!BL33</f>
        <v>0</v>
      </c>
      <c r="BR8" s="125">
        <f>BS!BR33-BS!BM33</f>
        <v>0</v>
      </c>
      <c r="BS8" s="125">
        <f>BS!BS33-BS!BN33</f>
        <v>0</v>
      </c>
      <c r="BT8" s="182">
        <f>BS!BT33-BS!BO33</f>
        <v>0</v>
      </c>
      <c r="BU8" s="125">
        <f>BS!BU33-BS!BP33</f>
        <v>0</v>
      </c>
      <c r="BV8" s="125">
        <f>BS!BV33-BS!BQ33</f>
        <v>0</v>
      </c>
      <c r="BW8" s="125">
        <f>BS!BW33-BS!BR33</f>
        <v>0</v>
      </c>
      <c r="BX8" s="125">
        <f>BS!BX33-BS!BS33</f>
        <v>0</v>
      </c>
      <c r="BY8" s="182">
        <f>BS!BY33-BS!BT33</f>
        <v>0</v>
      </c>
      <c r="BZ8" s="125">
        <f>BS!BZ33-BS!BU33</f>
        <v>0</v>
      </c>
      <c r="CA8" s="125">
        <f>BS!CA33-BS!BV33</f>
        <v>0</v>
      </c>
      <c r="CB8" s="125">
        <f>BS!CB33-BS!BW33</f>
        <v>0</v>
      </c>
      <c r="CC8" s="125">
        <f>BS!CC33-BS!BX33</f>
        <v>0</v>
      </c>
      <c r="CD8" s="182">
        <f>BS!CD33-BS!BY33</f>
        <v>0</v>
      </c>
      <c r="CE8" s="125">
        <f>BS!CE33-BS!BZ33</f>
        <v>0</v>
      </c>
      <c r="CF8" s="125">
        <f>BS!CF33-BS!CA33</f>
        <v>0</v>
      </c>
      <c r="CG8" s="125">
        <f>BS!CG33-BS!CB33</f>
        <v>0</v>
      </c>
      <c r="CH8" s="125">
        <f>BS!CH33-BS!CC33</f>
        <v>0</v>
      </c>
      <c r="CI8" s="182">
        <f>BS!CI33-BS!CD33</f>
        <v>0</v>
      </c>
      <c r="CJ8" s="125">
        <f>BS!CJ33-BS!CE33</f>
        <v>0</v>
      </c>
      <c r="CK8" s="125">
        <f>BS!CK33-BS!CF33</f>
        <v>0</v>
      </c>
      <c r="CL8" s="125">
        <f>BS!CL33-BS!CG33</f>
        <v>0</v>
      </c>
      <c r="CM8" s="125">
        <f>BS!CM33-BS!CH33</f>
        <v>0</v>
      </c>
      <c r="CN8" s="182">
        <f>BS!CN33-BS!CI33</f>
        <v>0</v>
      </c>
      <c r="CO8" s="125">
        <f>BS!CO33-BS!CJ33</f>
        <v>0</v>
      </c>
      <c r="CP8" s="125">
        <f>BS!CP33-BS!CK33</f>
        <v>0</v>
      </c>
      <c r="CQ8" s="125">
        <f>BS!CQ33-BS!CL33</f>
        <v>0</v>
      </c>
      <c r="CR8" s="125">
        <f>BS!CR33-BS!CM33</f>
        <v>0</v>
      </c>
      <c r="CS8" s="182">
        <f>BS!CS33-BS!CN33</f>
        <v>0</v>
      </c>
      <c r="CT8" s="125">
        <f>BS!CT33-BS!CO33</f>
        <v>0</v>
      </c>
      <c r="CU8" s="125">
        <f>BS!CU33-BS!CP33</f>
        <v>0</v>
      </c>
      <c r="CV8" s="125">
        <f>BS!CV33-BS!CQ33</f>
        <v>0</v>
      </c>
      <c r="CW8" s="125">
        <f>BS!CW33-BS!CR33</f>
        <v>0</v>
      </c>
      <c r="CX8" s="182">
        <f>BS!CX33-BS!CS33</f>
        <v>0</v>
      </c>
      <c r="CY8" s="125">
        <f>BS!CY33-BS!CT33</f>
        <v>0</v>
      </c>
      <c r="CZ8" s="125">
        <f>BS!CZ33-BS!CU33</f>
        <v>0</v>
      </c>
      <c r="DA8" s="125">
        <f>BS!DA33-BS!CV33</f>
        <v>0</v>
      </c>
      <c r="DB8" s="125">
        <f>BS!DB33-BS!CW33</f>
        <v>0</v>
      </c>
      <c r="DC8" s="182">
        <f>BS!DC33-BS!CX33</f>
        <v>0</v>
      </c>
      <c r="DD8" s="125">
        <f>BS!DD33-BS!CY33</f>
        <v>0</v>
      </c>
      <c r="DE8" s="125">
        <f>BS!DE33-BS!CZ33</f>
        <v>0</v>
      </c>
      <c r="DF8" s="125">
        <f>BS!DF33-BS!DA33</f>
        <v>0</v>
      </c>
      <c r="DG8" s="125">
        <f>BS!DG33-BS!DB33</f>
        <v>0</v>
      </c>
      <c r="DH8" s="182">
        <f>BS!DH33-BS!DC33</f>
        <v>0</v>
      </c>
    </row>
    <row r="9" spans="1:119" ht="15.75" customHeight="1">
      <c r="B9" s="184" t="s">
        <v>801</v>
      </c>
      <c r="C9" s="283"/>
      <c r="D9" s="143"/>
      <c r="E9" s="143"/>
      <c r="F9" s="284"/>
      <c r="G9" s="410">
        <v>0</v>
      </c>
      <c r="H9" s="411"/>
      <c r="I9" s="407"/>
      <c r="J9" s="407"/>
      <c r="K9" s="412"/>
      <c r="L9" s="410">
        <v>0</v>
      </c>
      <c r="M9" s="411"/>
      <c r="N9" s="407"/>
      <c r="O9" s="407"/>
      <c r="P9" s="412"/>
      <c r="Q9" s="410">
        <v>0</v>
      </c>
      <c r="R9" s="411"/>
      <c r="S9" s="407"/>
      <c r="T9" s="407"/>
      <c r="U9" s="412"/>
      <c r="V9" s="410">
        <v>0</v>
      </c>
      <c r="W9" s="285"/>
      <c r="X9" s="154"/>
      <c r="Y9" s="154"/>
      <c r="Z9" s="286"/>
      <c r="AA9" s="410">
        <v>0</v>
      </c>
      <c r="AB9" s="285"/>
      <c r="AC9" s="154"/>
      <c r="AD9" s="154"/>
      <c r="AE9" s="286"/>
      <c r="AF9" s="410">
        <v>33.469000000000001</v>
      </c>
      <c r="AG9" s="285"/>
      <c r="AH9" s="154"/>
      <c r="AI9" s="154"/>
      <c r="AJ9" s="286"/>
      <c r="AK9" s="410">
        <v>18.861000000000001</v>
      </c>
      <c r="AL9" s="285"/>
      <c r="AM9" s="154"/>
      <c r="AN9" s="154"/>
      <c r="AO9" s="286"/>
      <c r="AP9" s="410">
        <v>0</v>
      </c>
      <c r="AQ9" s="285"/>
      <c r="AR9" s="154"/>
      <c r="AS9" s="154"/>
      <c r="AT9" s="286"/>
      <c r="AU9" s="410">
        <v>0</v>
      </c>
      <c r="AV9" s="285"/>
      <c r="AW9" s="154"/>
      <c r="AX9" s="154"/>
      <c r="AY9" s="286"/>
      <c r="AZ9" s="182">
        <v>0</v>
      </c>
      <c r="BA9" s="285"/>
      <c r="BB9" s="154"/>
      <c r="BC9" s="154"/>
      <c r="BD9" s="286"/>
      <c r="BE9" s="182">
        <v>0</v>
      </c>
      <c r="BF9" s="285"/>
      <c r="BG9" s="154"/>
      <c r="BH9" s="154"/>
      <c r="BI9" s="286"/>
      <c r="BJ9" s="182">
        <v>0</v>
      </c>
      <c r="BK9" s="182"/>
      <c r="BL9" s="182"/>
      <c r="BM9" s="182"/>
      <c r="BN9" s="182"/>
      <c r="BO9" s="182">
        <f>BJ9</f>
        <v>0</v>
      </c>
      <c r="BT9" s="182">
        <f t="shared" ref="BT9:DH11" si="1">BO9</f>
        <v>0</v>
      </c>
      <c r="BU9" s="125">
        <f t="shared" si="1"/>
        <v>0</v>
      </c>
      <c r="BV9" s="125">
        <f t="shared" si="1"/>
        <v>0</v>
      </c>
      <c r="BW9" s="125">
        <f t="shared" si="1"/>
        <v>0</v>
      </c>
      <c r="BX9" s="125">
        <f t="shared" si="1"/>
        <v>0</v>
      </c>
      <c r="BY9" s="182">
        <f t="shared" si="1"/>
        <v>0</v>
      </c>
      <c r="BZ9" s="125">
        <f t="shared" si="1"/>
        <v>0</v>
      </c>
      <c r="CA9" s="125">
        <f t="shared" si="1"/>
        <v>0</v>
      </c>
      <c r="CB9" s="125">
        <f t="shared" si="1"/>
        <v>0</v>
      </c>
      <c r="CC9" s="125">
        <f t="shared" si="1"/>
        <v>0</v>
      </c>
      <c r="CD9" s="182">
        <f t="shared" si="1"/>
        <v>0</v>
      </c>
      <c r="CE9" s="125">
        <f t="shared" si="1"/>
        <v>0</v>
      </c>
      <c r="CF9" s="125">
        <f t="shared" si="1"/>
        <v>0</v>
      </c>
      <c r="CG9" s="125">
        <f t="shared" si="1"/>
        <v>0</v>
      </c>
      <c r="CH9" s="125">
        <f t="shared" si="1"/>
        <v>0</v>
      </c>
      <c r="CI9" s="182">
        <f t="shared" si="1"/>
        <v>0</v>
      </c>
      <c r="CJ9" s="125">
        <f t="shared" si="1"/>
        <v>0</v>
      </c>
      <c r="CK9" s="125">
        <f t="shared" si="1"/>
        <v>0</v>
      </c>
      <c r="CL9" s="125">
        <f t="shared" si="1"/>
        <v>0</v>
      </c>
      <c r="CM9" s="125">
        <f t="shared" si="1"/>
        <v>0</v>
      </c>
      <c r="CN9" s="182">
        <f t="shared" si="1"/>
        <v>0</v>
      </c>
      <c r="CO9" s="125">
        <f t="shared" si="1"/>
        <v>0</v>
      </c>
      <c r="CP9" s="125">
        <f t="shared" si="1"/>
        <v>0</v>
      </c>
      <c r="CQ9" s="125">
        <f t="shared" si="1"/>
        <v>0</v>
      </c>
      <c r="CR9" s="125">
        <f t="shared" si="1"/>
        <v>0</v>
      </c>
      <c r="CS9" s="182">
        <f t="shared" si="1"/>
        <v>0</v>
      </c>
      <c r="CT9" s="125">
        <f t="shared" si="1"/>
        <v>0</v>
      </c>
      <c r="CU9" s="125">
        <f t="shared" si="1"/>
        <v>0</v>
      </c>
      <c r="CV9" s="125">
        <f t="shared" si="1"/>
        <v>0</v>
      </c>
      <c r="CW9" s="125">
        <f t="shared" si="1"/>
        <v>0</v>
      </c>
      <c r="CX9" s="182">
        <f t="shared" si="1"/>
        <v>0</v>
      </c>
      <c r="CY9" s="125">
        <f t="shared" si="1"/>
        <v>0</v>
      </c>
      <c r="CZ9" s="125">
        <f t="shared" si="1"/>
        <v>0</v>
      </c>
      <c r="DA9" s="125">
        <f t="shared" si="1"/>
        <v>0</v>
      </c>
      <c r="DB9" s="125">
        <f t="shared" si="1"/>
        <v>0</v>
      </c>
      <c r="DC9" s="182">
        <f t="shared" si="1"/>
        <v>0</v>
      </c>
      <c r="DD9" s="125">
        <f t="shared" si="1"/>
        <v>0</v>
      </c>
      <c r="DE9" s="125">
        <f t="shared" si="1"/>
        <v>0</v>
      </c>
      <c r="DF9" s="125">
        <f t="shared" si="1"/>
        <v>0</v>
      </c>
      <c r="DG9" s="125">
        <f t="shared" si="1"/>
        <v>0</v>
      </c>
      <c r="DH9" s="182">
        <f t="shared" si="1"/>
        <v>0</v>
      </c>
    </row>
    <row r="10" spans="1:119" ht="15.75" customHeight="1">
      <c r="B10" s="184" t="s">
        <v>247</v>
      </c>
      <c r="C10" s="283"/>
      <c r="D10" s="143"/>
      <c r="E10" s="143"/>
      <c r="F10" s="284"/>
      <c r="G10" s="410">
        <v>-5.6000000000000001E-2</v>
      </c>
      <c r="H10" s="411"/>
      <c r="I10" s="407"/>
      <c r="J10" s="407"/>
      <c r="K10" s="412"/>
      <c r="L10" s="410">
        <v>4.0369999999999999</v>
      </c>
      <c r="M10" s="411"/>
      <c r="N10" s="407"/>
      <c r="O10" s="407"/>
      <c r="P10" s="412"/>
      <c r="Q10" s="410">
        <v>6.2240000000000002</v>
      </c>
      <c r="R10" s="411"/>
      <c r="S10" s="407"/>
      <c r="T10" s="407"/>
      <c r="U10" s="412"/>
      <c r="V10" s="410">
        <v>34.048999999999999</v>
      </c>
      <c r="W10" s="285"/>
      <c r="X10" s="154"/>
      <c r="Y10" s="154"/>
      <c r="Z10" s="286"/>
      <c r="AA10" s="410">
        <v>23.69</v>
      </c>
      <c r="AB10" s="285"/>
      <c r="AC10" s="154"/>
      <c r="AD10" s="154"/>
      <c r="AE10" s="286"/>
      <c r="AF10" s="410">
        <v>30.003</v>
      </c>
      <c r="AG10" s="285"/>
      <c r="AH10" s="154"/>
      <c r="AI10" s="154"/>
      <c r="AJ10" s="286"/>
      <c r="AK10" s="410">
        <v>33.701000000000001</v>
      </c>
      <c r="AL10" s="285"/>
      <c r="AM10" s="154"/>
      <c r="AN10" s="154"/>
      <c r="AO10" s="286"/>
      <c r="AP10" s="410">
        <v>45.139000000000003</v>
      </c>
      <c r="AQ10" s="285"/>
      <c r="AR10" s="154"/>
      <c r="AS10" s="154"/>
      <c r="AT10" s="286"/>
      <c r="AU10" s="410">
        <v>63.581000000000003</v>
      </c>
      <c r="AV10" s="285"/>
      <c r="AW10" s="154"/>
      <c r="AX10" s="154"/>
      <c r="AY10" s="286"/>
      <c r="AZ10" s="182">
        <v>0</v>
      </c>
      <c r="BA10" s="285"/>
      <c r="BB10" s="154"/>
      <c r="BC10" s="154"/>
      <c r="BD10" s="286"/>
      <c r="BE10" s="182">
        <f>AZ10</f>
        <v>0</v>
      </c>
      <c r="BF10" s="285"/>
      <c r="BG10" s="154"/>
      <c r="BH10" s="154"/>
      <c r="BI10" s="286"/>
      <c r="BJ10" s="182">
        <f>BE10</f>
        <v>0</v>
      </c>
      <c r="BK10" s="182"/>
      <c r="BL10" s="182"/>
      <c r="BM10" s="182"/>
      <c r="BN10" s="182"/>
      <c r="BO10" s="182">
        <f t="shared" ref="BO10:BS11" si="2">BJ10</f>
        <v>0</v>
      </c>
      <c r="BP10" s="125">
        <f t="shared" si="2"/>
        <v>0</v>
      </c>
      <c r="BQ10" s="125">
        <f t="shared" si="2"/>
        <v>0</v>
      </c>
      <c r="BR10" s="125">
        <f t="shared" si="2"/>
        <v>0</v>
      </c>
      <c r="BS10" s="125">
        <f t="shared" si="2"/>
        <v>0</v>
      </c>
      <c r="BT10" s="182">
        <f t="shared" si="1"/>
        <v>0</v>
      </c>
      <c r="BU10" s="125">
        <f t="shared" si="1"/>
        <v>0</v>
      </c>
      <c r="BV10" s="125">
        <f t="shared" si="1"/>
        <v>0</v>
      </c>
      <c r="BW10" s="125">
        <f t="shared" si="1"/>
        <v>0</v>
      </c>
      <c r="BX10" s="125">
        <f t="shared" si="1"/>
        <v>0</v>
      </c>
      <c r="BY10" s="182">
        <f t="shared" si="1"/>
        <v>0</v>
      </c>
      <c r="BZ10" s="125">
        <f t="shared" si="1"/>
        <v>0</v>
      </c>
      <c r="CA10" s="125">
        <f t="shared" si="1"/>
        <v>0</v>
      </c>
      <c r="CB10" s="125">
        <f t="shared" si="1"/>
        <v>0</v>
      </c>
      <c r="CC10" s="125">
        <f t="shared" si="1"/>
        <v>0</v>
      </c>
      <c r="CD10" s="182">
        <f t="shared" si="1"/>
        <v>0</v>
      </c>
      <c r="CE10" s="125">
        <f t="shared" si="1"/>
        <v>0</v>
      </c>
      <c r="CF10" s="125">
        <f t="shared" si="1"/>
        <v>0</v>
      </c>
      <c r="CG10" s="125">
        <f t="shared" si="1"/>
        <v>0</v>
      </c>
      <c r="CH10" s="125">
        <f t="shared" si="1"/>
        <v>0</v>
      </c>
      <c r="CI10" s="182">
        <f t="shared" si="1"/>
        <v>0</v>
      </c>
      <c r="CJ10" s="125">
        <f t="shared" si="1"/>
        <v>0</v>
      </c>
      <c r="CK10" s="125">
        <f t="shared" si="1"/>
        <v>0</v>
      </c>
      <c r="CL10" s="125">
        <f t="shared" si="1"/>
        <v>0</v>
      </c>
      <c r="CM10" s="125">
        <f t="shared" si="1"/>
        <v>0</v>
      </c>
      <c r="CN10" s="182">
        <f t="shared" si="1"/>
        <v>0</v>
      </c>
      <c r="CO10" s="125">
        <f t="shared" si="1"/>
        <v>0</v>
      </c>
      <c r="CP10" s="125">
        <f t="shared" si="1"/>
        <v>0</v>
      </c>
      <c r="CQ10" s="125">
        <f t="shared" si="1"/>
        <v>0</v>
      </c>
      <c r="CR10" s="125">
        <f t="shared" si="1"/>
        <v>0</v>
      </c>
      <c r="CS10" s="182">
        <f t="shared" si="1"/>
        <v>0</v>
      </c>
      <c r="CT10" s="125">
        <f t="shared" si="1"/>
        <v>0</v>
      </c>
      <c r="CU10" s="125">
        <f t="shared" si="1"/>
        <v>0</v>
      </c>
      <c r="CV10" s="125">
        <f t="shared" si="1"/>
        <v>0</v>
      </c>
      <c r="CW10" s="125">
        <f t="shared" si="1"/>
        <v>0</v>
      </c>
      <c r="CX10" s="182">
        <f t="shared" si="1"/>
        <v>0</v>
      </c>
      <c r="CY10" s="125">
        <f t="shared" si="1"/>
        <v>0</v>
      </c>
      <c r="CZ10" s="125">
        <f t="shared" si="1"/>
        <v>0</v>
      </c>
      <c r="DA10" s="125">
        <f t="shared" si="1"/>
        <v>0</v>
      </c>
      <c r="DB10" s="125">
        <f t="shared" si="1"/>
        <v>0</v>
      </c>
      <c r="DC10" s="182">
        <f t="shared" si="1"/>
        <v>0</v>
      </c>
      <c r="DD10" s="125">
        <f t="shared" si="1"/>
        <v>0</v>
      </c>
      <c r="DE10" s="125">
        <f t="shared" si="1"/>
        <v>0</v>
      </c>
      <c r="DF10" s="125">
        <f t="shared" si="1"/>
        <v>0</v>
      </c>
      <c r="DG10" s="125">
        <f t="shared" si="1"/>
        <v>0</v>
      </c>
      <c r="DH10" s="182">
        <f t="shared" si="1"/>
        <v>0</v>
      </c>
    </row>
    <row r="11" spans="1:119" ht="15.75" customHeight="1">
      <c r="B11" s="184" t="s">
        <v>248</v>
      </c>
      <c r="C11" s="283"/>
      <c r="D11" s="143"/>
      <c r="E11" s="143"/>
      <c r="F11" s="284"/>
      <c r="G11" s="410">
        <v>0</v>
      </c>
      <c r="H11" s="411"/>
      <c r="I11" s="407"/>
      <c r="J11" s="407"/>
      <c r="K11" s="412"/>
      <c r="L11" s="410">
        <v>0</v>
      </c>
      <c r="M11" s="411">
        <v>3.8370000000000002</v>
      </c>
      <c r="N11" s="407">
        <f>7.037-M11</f>
        <v>3.1999999999999997</v>
      </c>
      <c r="O11" s="407">
        <f>10.127-M11-N11</f>
        <v>3.0900000000000012</v>
      </c>
      <c r="P11" s="412"/>
      <c r="Q11" s="410">
        <v>0</v>
      </c>
      <c r="R11" s="411"/>
      <c r="S11" s="407"/>
      <c r="T11" s="407"/>
      <c r="U11" s="412"/>
      <c r="V11" s="410">
        <v>-340.15600000000001</v>
      </c>
      <c r="W11" s="285"/>
      <c r="X11" s="154"/>
      <c r="Y11" s="154"/>
      <c r="Z11" s="286"/>
      <c r="AA11" s="410">
        <v>63.600999999999999</v>
      </c>
      <c r="AB11" s="285"/>
      <c r="AC11" s="154"/>
      <c r="AD11" s="154"/>
      <c r="AE11" s="286"/>
      <c r="AF11" s="410">
        <v>-66.603999999999999</v>
      </c>
      <c r="AG11" s="285"/>
      <c r="AH11" s="154"/>
      <c r="AI11" s="154"/>
      <c r="AJ11" s="286"/>
      <c r="AK11" s="410">
        <v>-121.623</v>
      </c>
      <c r="AL11" s="285"/>
      <c r="AM11" s="154"/>
      <c r="AN11" s="154"/>
      <c r="AO11" s="286"/>
      <c r="AP11" s="410">
        <v>-360.07799999999997</v>
      </c>
      <c r="AQ11" s="285"/>
      <c r="AR11" s="154"/>
      <c r="AS11" s="154"/>
      <c r="AT11" s="286"/>
      <c r="AU11" s="410">
        <v>318.80900000000003</v>
      </c>
      <c r="AV11" s="285"/>
      <c r="AW11" s="154"/>
      <c r="AX11" s="154"/>
      <c r="AY11" s="286"/>
      <c r="AZ11" s="182">
        <v>0</v>
      </c>
      <c r="BA11" s="285"/>
      <c r="BB11" s="154"/>
      <c r="BC11" s="154"/>
      <c r="BD11" s="286"/>
      <c r="BE11" s="182">
        <f>AZ11</f>
        <v>0</v>
      </c>
      <c r="BF11" s="285"/>
      <c r="BG11" s="154"/>
      <c r="BH11" s="154"/>
      <c r="BI11" s="286"/>
      <c r="BJ11" s="182">
        <f>BE11</f>
        <v>0</v>
      </c>
      <c r="BK11" s="182"/>
      <c r="BL11" s="182"/>
      <c r="BM11" s="182"/>
      <c r="BN11" s="182"/>
      <c r="BO11" s="182">
        <f t="shared" si="2"/>
        <v>0</v>
      </c>
      <c r="BP11" s="125">
        <f t="shared" si="2"/>
        <v>0</v>
      </c>
      <c r="BQ11" s="125">
        <f t="shared" si="2"/>
        <v>0</v>
      </c>
      <c r="BR11" s="125">
        <f t="shared" si="2"/>
        <v>0</v>
      </c>
      <c r="BS11" s="125">
        <f t="shared" si="2"/>
        <v>0</v>
      </c>
      <c r="BT11" s="182">
        <f t="shared" si="1"/>
        <v>0</v>
      </c>
      <c r="BU11" s="125">
        <f t="shared" si="1"/>
        <v>0</v>
      </c>
      <c r="BV11" s="125">
        <f t="shared" si="1"/>
        <v>0</v>
      </c>
      <c r="BW11" s="125">
        <f t="shared" si="1"/>
        <v>0</v>
      </c>
      <c r="BX11" s="125">
        <f t="shared" si="1"/>
        <v>0</v>
      </c>
      <c r="BY11" s="182">
        <f t="shared" si="1"/>
        <v>0</v>
      </c>
      <c r="BZ11" s="125">
        <f t="shared" si="1"/>
        <v>0</v>
      </c>
      <c r="CA11" s="125">
        <f t="shared" si="1"/>
        <v>0</v>
      </c>
      <c r="CB11" s="125">
        <f t="shared" si="1"/>
        <v>0</v>
      </c>
      <c r="CC11" s="125">
        <f t="shared" si="1"/>
        <v>0</v>
      </c>
      <c r="CD11" s="182">
        <f t="shared" si="1"/>
        <v>0</v>
      </c>
      <c r="CE11" s="125">
        <f t="shared" si="1"/>
        <v>0</v>
      </c>
      <c r="CF11" s="125">
        <f t="shared" si="1"/>
        <v>0</v>
      </c>
      <c r="CG11" s="125">
        <f t="shared" si="1"/>
        <v>0</v>
      </c>
      <c r="CH11" s="125">
        <f t="shared" si="1"/>
        <v>0</v>
      </c>
      <c r="CI11" s="182">
        <f t="shared" si="1"/>
        <v>0</v>
      </c>
      <c r="CJ11" s="125">
        <f t="shared" si="1"/>
        <v>0</v>
      </c>
      <c r="CK11" s="125">
        <f t="shared" si="1"/>
        <v>0</v>
      </c>
      <c r="CL11" s="125">
        <f t="shared" si="1"/>
        <v>0</v>
      </c>
      <c r="CM11" s="125">
        <f t="shared" si="1"/>
        <v>0</v>
      </c>
      <c r="CN11" s="182">
        <f t="shared" si="1"/>
        <v>0</v>
      </c>
      <c r="CO11" s="125">
        <f t="shared" si="1"/>
        <v>0</v>
      </c>
      <c r="CP11" s="125">
        <f t="shared" si="1"/>
        <v>0</v>
      </c>
      <c r="CQ11" s="125">
        <f t="shared" si="1"/>
        <v>0</v>
      </c>
      <c r="CR11" s="125">
        <f t="shared" si="1"/>
        <v>0</v>
      </c>
      <c r="CS11" s="182">
        <f t="shared" si="1"/>
        <v>0</v>
      </c>
      <c r="CT11" s="125">
        <f t="shared" si="1"/>
        <v>0</v>
      </c>
      <c r="CU11" s="125">
        <f t="shared" si="1"/>
        <v>0</v>
      </c>
      <c r="CV11" s="125">
        <f t="shared" si="1"/>
        <v>0</v>
      </c>
      <c r="CW11" s="125">
        <f t="shared" si="1"/>
        <v>0</v>
      </c>
      <c r="CX11" s="182">
        <f t="shared" si="1"/>
        <v>0</v>
      </c>
      <c r="CY11" s="125">
        <f t="shared" si="1"/>
        <v>0</v>
      </c>
      <c r="CZ11" s="125">
        <f t="shared" si="1"/>
        <v>0</v>
      </c>
      <c r="DA11" s="125">
        <f t="shared" si="1"/>
        <v>0</v>
      </c>
      <c r="DB11" s="125">
        <f t="shared" si="1"/>
        <v>0</v>
      </c>
      <c r="DC11" s="182">
        <f t="shared" si="1"/>
        <v>0</v>
      </c>
      <c r="DD11" s="125">
        <f t="shared" si="1"/>
        <v>0</v>
      </c>
      <c r="DE11" s="125">
        <f t="shared" si="1"/>
        <v>0</v>
      </c>
      <c r="DF11" s="125">
        <f t="shared" si="1"/>
        <v>0</v>
      </c>
      <c r="DG11" s="125">
        <f t="shared" si="1"/>
        <v>0</v>
      </c>
      <c r="DH11" s="182">
        <f t="shared" si="1"/>
        <v>0</v>
      </c>
    </row>
    <row r="12" spans="1:119" ht="15.75" customHeight="1">
      <c r="B12" s="125" t="s">
        <v>77</v>
      </c>
      <c r="C12" s="283"/>
      <c r="D12" s="143"/>
      <c r="E12" s="143"/>
      <c r="F12" s="284"/>
      <c r="G12" s="182">
        <f>SUM(G13:G17)</f>
        <v>-49.85</v>
      </c>
      <c r="H12" s="288"/>
      <c r="I12" s="289"/>
      <c r="J12" s="289"/>
      <c r="K12" s="290"/>
      <c r="L12" s="182">
        <f>SUM(L13:L17)</f>
        <v>140.02600000000001</v>
      </c>
      <c r="M12" s="288"/>
      <c r="N12" s="289"/>
      <c r="O12" s="154"/>
      <c r="P12" s="286"/>
      <c r="Q12" s="182">
        <f>SUM(Q13:Q17)</f>
        <v>-18.422999999999995</v>
      </c>
      <c r="R12" s="285"/>
      <c r="S12" s="154"/>
      <c r="T12" s="154"/>
      <c r="U12" s="286"/>
      <c r="V12" s="182">
        <f>SUM(V13:V17)</f>
        <v>-672.79899999999998</v>
      </c>
      <c r="W12" s="285"/>
      <c r="X12" s="154"/>
      <c r="Y12" s="154"/>
      <c r="Z12" s="286"/>
      <c r="AA12" s="182">
        <f>SUM(AA13:AA17)</f>
        <v>-190.66900000000001</v>
      </c>
      <c r="AB12" s="285"/>
      <c r="AC12" s="154"/>
      <c r="AD12" s="154"/>
      <c r="AE12" s="286"/>
      <c r="AF12" s="182">
        <f>SUM(AF13:AF17)</f>
        <v>20.239000000000001</v>
      </c>
      <c r="AG12" s="285"/>
      <c r="AH12" s="154"/>
      <c r="AI12" s="154"/>
      <c r="AJ12" s="286"/>
      <c r="AK12" s="182">
        <f>SUM(AK13:AK17)</f>
        <v>229.82700000000006</v>
      </c>
      <c r="AL12" s="285"/>
      <c r="AM12" s="154"/>
      <c r="AN12" s="154"/>
      <c r="AO12" s="286"/>
      <c r="AP12" s="182">
        <f>SUM(AP13:AP17)</f>
        <v>228.19</v>
      </c>
      <c r="AQ12" s="285"/>
      <c r="AR12" s="154"/>
      <c r="AS12" s="154"/>
      <c r="AT12" s="286"/>
      <c r="AU12" s="182">
        <f>SUM(AU13:AU17)</f>
        <v>-926.53300000000002</v>
      </c>
      <c r="AV12" s="285"/>
      <c r="AW12" s="154"/>
      <c r="AX12" s="154"/>
      <c r="AY12" s="286"/>
      <c r="AZ12" s="182">
        <f>SUM(AZ13:AZ17)</f>
        <v>-59.186529208519119</v>
      </c>
      <c r="BA12" s="285"/>
      <c r="BB12" s="154"/>
      <c r="BC12" s="154"/>
      <c r="BD12" s="286"/>
      <c r="BE12" s="182">
        <f>SUM(BE13:BE17)</f>
        <v>-66.913850179691281</v>
      </c>
      <c r="BF12" s="285"/>
      <c r="BG12" s="154"/>
      <c r="BH12" s="154"/>
      <c r="BI12" s="286"/>
      <c r="BJ12" s="182">
        <f>SUM(BJ13:BJ17)</f>
        <v>-140.56783367810453</v>
      </c>
      <c r="BK12" s="182"/>
      <c r="BL12" s="182"/>
      <c r="BM12" s="182"/>
      <c r="BN12" s="182"/>
      <c r="BO12" s="182">
        <f t="shared" ref="BO12:DH12" si="3">SUM(BO13:BO17)</f>
        <v>-79.203274659832459</v>
      </c>
      <c r="BP12" s="125">
        <f t="shared" si="3"/>
        <v>0</v>
      </c>
      <c r="BQ12" s="125">
        <f t="shared" si="3"/>
        <v>0</v>
      </c>
      <c r="BR12" s="125">
        <f t="shared" si="3"/>
        <v>0</v>
      </c>
      <c r="BS12" s="125">
        <f t="shared" si="3"/>
        <v>0</v>
      </c>
      <c r="BT12" s="182">
        <f t="shared" si="3"/>
        <v>-68.697796544719495</v>
      </c>
      <c r="BU12" s="125">
        <f t="shared" si="3"/>
        <v>0</v>
      </c>
      <c r="BV12" s="125">
        <f t="shared" si="3"/>
        <v>0</v>
      </c>
      <c r="BW12" s="125">
        <f t="shared" si="3"/>
        <v>0</v>
      </c>
      <c r="BX12" s="125">
        <f t="shared" si="3"/>
        <v>0</v>
      </c>
      <c r="BY12" s="182">
        <f t="shared" si="3"/>
        <v>-49.461790949136002</v>
      </c>
      <c r="BZ12" s="125">
        <f t="shared" si="3"/>
        <v>0</v>
      </c>
      <c r="CA12" s="125">
        <f t="shared" si="3"/>
        <v>0</v>
      </c>
      <c r="CB12" s="125">
        <f t="shared" si="3"/>
        <v>0</v>
      </c>
      <c r="CC12" s="125">
        <f t="shared" si="3"/>
        <v>0</v>
      </c>
      <c r="CD12" s="182">
        <f t="shared" si="3"/>
        <v>-88.684655408597564</v>
      </c>
      <c r="CE12" s="125">
        <f t="shared" si="3"/>
        <v>0</v>
      </c>
      <c r="CF12" s="125">
        <f t="shared" si="3"/>
        <v>0</v>
      </c>
      <c r="CG12" s="125">
        <f t="shared" si="3"/>
        <v>0</v>
      </c>
      <c r="CH12" s="125">
        <f t="shared" si="3"/>
        <v>0</v>
      </c>
      <c r="CI12" s="182">
        <f t="shared" si="3"/>
        <v>-23.339938945480753</v>
      </c>
      <c r="CJ12" s="125">
        <f t="shared" si="3"/>
        <v>0</v>
      </c>
      <c r="CK12" s="125">
        <f t="shared" si="3"/>
        <v>0</v>
      </c>
      <c r="CL12" s="125">
        <f t="shared" si="3"/>
        <v>0</v>
      </c>
      <c r="CM12" s="125">
        <f t="shared" si="3"/>
        <v>0</v>
      </c>
      <c r="CN12" s="182">
        <f t="shared" si="3"/>
        <v>93.288712426170832</v>
      </c>
      <c r="CO12" s="125">
        <f t="shared" si="3"/>
        <v>0</v>
      </c>
      <c r="CP12" s="125">
        <f t="shared" si="3"/>
        <v>0</v>
      </c>
      <c r="CQ12" s="125">
        <f t="shared" si="3"/>
        <v>0</v>
      </c>
      <c r="CR12" s="125">
        <f t="shared" si="3"/>
        <v>0</v>
      </c>
      <c r="CS12" s="182">
        <f t="shared" si="3"/>
        <v>86.19237327238352</v>
      </c>
      <c r="CT12" s="125">
        <f t="shared" si="3"/>
        <v>0</v>
      </c>
      <c r="CU12" s="125">
        <f t="shared" si="3"/>
        <v>0</v>
      </c>
      <c r="CV12" s="125">
        <f t="shared" si="3"/>
        <v>0</v>
      </c>
      <c r="CW12" s="125">
        <f t="shared" si="3"/>
        <v>0</v>
      </c>
      <c r="CX12" s="182">
        <f t="shared" si="3"/>
        <v>104.85447610498818</v>
      </c>
      <c r="CY12" s="125">
        <f t="shared" si="3"/>
        <v>0</v>
      </c>
      <c r="CZ12" s="125">
        <f t="shared" si="3"/>
        <v>0</v>
      </c>
      <c r="DA12" s="125">
        <f t="shared" si="3"/>
        <v>0</v>
      </c>
      <c r="DB12" s="125">
        <f t="shared" si="3"/>
        <v>0</v>
      </c>
      <c r="DC12" s="182">
        <f t="shared" si="3"/>
        <v>125.57058821334704</v>
      </c>
      <c r="DD12" s="125">
        <f t="shared" si="3"/>
        <v>0</v>
      </c>
      <c r="DE12" s="125">
        <f t="shared" si="3"/>
        <v>0</v>
      </c>
      <c r="DF12" s="125">
        <f t="shared" si="3"/>
        <v>0</v>
      </c>
      <c r="DG12" s="125">
        <f t="shared" si="3"/>
        <v>0</v>
      </c>
      <c r="DH12" s="182">
        <f t="shared" si="3"/>
        <v>-134.81835221909682</v>
      </c>
    </row>
    <row r="13" spans="1:119" ht="15.75" customHeight="1" outlineLevel="1">
      <c r="B13" s="184" t="s">
        <v>800</v>
      </c>
      <c r="C13" s="283"/>
      <c r="D13" s="143"/>
      <c r="E13" s="143"/>
      <c r="F13" s="284"/>
      <c r="G13" s="410">
        <v>-30.356000000000002</v>
      </c>
      <c r="H13" s="411"/>
      <c r="I13" s="407"/>
      <c r="J13" s="407"/>
      <c r="K13" s="412"/>
      <c r="L13" s="410">
        <v>-17.518000000000001</v>
      </c>
      <c r="M13" s="411">
        <v>0</v>
      </c>
      <c r="N13" s="407">
        <f>0-M13</f>
        <v>0</v>
      </c>
      <c r="O13" s="407">
        <f>0-M13-N13</f>
        <v>0</v>
      </c>
      <c r="P13" s="412"/>
      <c r="Q13" s="410">
        <v>-21.117999999999999</v>
      </c>
      <c r="R13" s="411"/>
      <c r="S13" s="407"/>
      <c r="T13" s="407"/>
      <c r="U13" s="412"/>
      <c r="V13" s="410">
        <v>-590.08500000000004</v>
      </c>
      <c r="W13" s="285"/>
      <c r="X13" s="154"/>
      <c r="Y13" s="154"/>
      <c r="Z13" s="286"/>
      <c r="AA13" s="420">
        <v>-258.99400000000003</v>
      </c>
      <c r="AB13" s="285"/>
      <c r="AC13" s="154"/>
      <c r="AD13" s="154"/>
      <c r="AE13" s="286"/>
      <c r="AF13" s="410">
        <v>-62.432000000000002</v>
      </c>
      <c r="AG13" s="285"/>
      <c r="AH13" s="154"/>
      <c r="AI13" s="154"/>
      <c r="AJ13" s="286"/>
      <c r="AK13" s="410">
        <v>-491.42099999999999</v>
      </c>
      <c r="AL13" s="285"/>
      <c r="AM13" s="154"/>
      <c r="AN13" s="154"/>
      <c r="AO13" s="286"/>
      <c r="AP13" s="410">
        <v>-143.827</v>
      </c>
      <c r="AQ13" s="285"/>
      <c r="AR13" s="154"/>
      <c r="AS13" s="154"/>
      <c r="AT13" s="286"/>
      <c r="AU13" s="410">
        <v>-362.72</v>
      </c>
      <c r="AV13" s="285"/>
      <c r="AW13" s="154"/>
      <c r="AX13" s="154"/>
      <c r="AY13" s="286"/>
      <c r="AZ13" s="182">
        <f>BS!AU6-BS!AZ6+BS!AU7-BS!AZ7+BS!AU8-BS!AZ8</f>
        <v>-27.32662920851908</v>
      </c>
      <c r="BA13" s="285"/>
      <c r="BB13" s="154"/>
      <c r="BC13" s="154"/>
      <c r="BD13" s="286"/>
      <c r="BE13" s="182">
        <f>BS!AZ6-BS!BE6+BS!AZ7-BS!BE7+BS!AZ8-BS!BE8</f>
        <v>-29.830265179691196</v>
      </c>
      <c r="BF13" s="285"/>
      <c r="BG13" s="154"/>
      <c r="BH13" s="154"/>
      <c r="BI13" s="286"/>
      <c r="BJ13" s="182">
        <f>BS!BE6-BS!BJ6+BS!BE7-BS!BJ7+BS!BE8-BS!BJ8</f>
        <v>-97.63631042810448</v>
      </c>
      <c r="BK13" s="182"/>
      <c r="BL13" s="182"/>
      <c r="BM13" s="182"/>
      <c r="BN13" s="182"/>
      <c r="BO13" s="182">
        <f>BS!BJ6-BS!BO6+BS!BJ7-BS!BO7+BS!BJ8-BS!BO8</f>
        <v>-29.732040347332486</v>
      </c>
      <c r="BP13" s="125">
        <f>BS!BK6-BS!BP6+BS!BK7-BS!BP7+BS!BK8-BS!BP8</f>
        <v>0</v>
      </c>
      <c r="BQ13" s="125">
        <f>BS!BL6-BS!BQ6+BS!BL7-BS!BQ7+BS!BL8-BS!BQ8</f>
        <v>0</v>
      </c>
      <c r="BR13" s="125">
        <f>BS!BM6-BS!BR6+BS!BM7-BS!BR7+BS!BM8-BS!BR8</f>
        <v>0</v>
      </c>
      <c r="BS13" s="125">
        <f>BS!BN6-BS!BS6+BS!BN7-BS!BS7+BS!BN8-BS!BS8</f>
        <v>0</v>
      </c>
      <c r="BT13" s="182">
        <f>BS!BO6-BS!BT6+BS!BO7-BS!BT7+BS!BO8-BS!BT8</f>
        <v>-11.92055212659443</v>
      </c>
      <c r="BU13" s="125">
        <f>BS!BP6-BS!BU6+BS!BP7-BS!BU7+BS!BP8-BS!BU8</f>
        <v>0</v>
      </c>
      <c r="BV13" s="125">
        <f>BS!BQ6-BS!BV6+BS!BQ7-BS!BV7+BS!BQ8-BS!BV8</f>
        <v>0</v>
      </c>
      <c r="BW13" s="125">
        <f>BS!BR6-BS!BW6+BS!BR7-BS!BW7+BS!BR8-BS!BW8</f>
        <v>0</v>
      </c>
      <c r="BX13" s="125">
        <f>BS!BS6-BS!BX6+BS!BS7-BS!BX7+BS!BS8-BS!BX8</f>
        <v>0</v>
      </c>
      <c r="BY13" s="182">
        <f>BS!BT6-BS!BY6+BS!BT7-BS!BY7+BS!BT8-BS!BY8</f>
        <v>15.470008918895246</v>
      </c>
      <c r="BZ13" s="125">
        <f>BS!BU6-BS!BZ6+BS!BU7-BS!BZ7+BS!BU8-BS!BZ8</f>
        <v>0</v>
      </c>
      <c r="CA13" s="125">
        <f>BS!BV6-BS!CA6+BS!BV7-BS!CA7+BS!BV8-BS!CA8</f>
        <v>0</v>
      </c>
      <c r="CB13" s="125">
        <f>BS!BW6-BS!CB6+BS!BW7-BS!CB7+BS!BW8-BS!CB8</f>
        <v>0</v>
      </c>
      <c r="CC13" s="125">
        <f>BS!BX6-BS!CC6+BS!BX7-BS!CC7+BS!BX8-BS!CC8</f>
        <v>0</v>
      </c>
      <c r="CD13" s="182">
        <f>BS!BY6-BS!CD6+BS!BY7-BS!CD7+BS!BY8-BS!CD8</f>
        <v>-14.6590029952647</v>
      </c>
      <c r="CE13" s="125">
        <f>BS!BZ6-BS!CE6+BS!BZ7-BS!CE7+BS!BZ8-BS!CE8</f>
        <v>0</v>
      </c>
      <c r="CF13" s="125">
        <f>BS!CA6-BS!CF6+BS!CA7-BS!CF7+BS!CA8-BS!CF8</f>
        <v>0</v>
      </c>
      <c r="CG13" s="125">
        <f>BS!CB6-BS!CG6+BS!CB7-BS!CG7+BS!CB8-BS!CG8</f>
        <v>0</v>
      </c>
      <c r="CH13" s="125">
        <f>BS!CC6-BS!CH6+BS!CC7-BS!CH7+BS!CC8-BS!CH8</f>
        <v>0</v>
      </c>
      <c r="CI13" s="182">
        <f>BS!CD6-BS!CI6+BS!CD7-BS!CI7+BS!CD8-BS!CI8</f>
        <v>-9.9328919823813067</v>
      </c>
      <c r="CJ13" s="125">
        <f>BS!CE6-BS!CJ6+BS!CE7-BS!CJ7+BS!CE8-BS!CJ8</f>
        <v>0</v>
      </c>
      <c r="CK13" s="125">
        <f>BS!CF6-BS!CK6+BS!CF7-BS!CK7+BS!CF8-BS!CK8</f>
        <v>0</v>
      </c>
      <c r="CL13" s="125">
        <f>BS!CG6-BS!CL6+BS!CG7-BS!CL7+BS!CG8-BS!CL8</f>
        <v>0</v>
      </c>
      <c r="CM13" s="125">
        <f>BS!CH6-BS!CM6+BS!CH7-BS!CM7+BS!CH8-BS!CM8</f>
        <v>0</v>
      </c>
      <c r="CN13" s="182">
        <f>BS!CI6-BS!CN6+BS!CI7-BS!CN7+BS!CI8-BS!CN8</f>
        <v>107.36611173742517</v>
      </c>
      <c r="CO13" s="125">
        <f>BS!CJ6-BS!CO6+BS!CJ7-BS!CO7+BS!CJ8-BS!CO8</f>
        <v>0</v>
      </c>
      <c r="CP13" s="125">
        <f>BS!CK6-BS!CP6+BS!CK7-BS!CP7+BS!CK8-BS!CP8</f>
        <v>0</v>
      </c>
      <c r="CQ13" s="125">
        <f>BS!CL6-BS!CQ6+BS!CL7-BS!CQ7+BS!CL8-BS!CQ8</f>
        <v>0</v>
      </c>
      <c r="CR13" s="125">
        <f>BS!CM6-BS!CR6+BS!CM7-BS!CR7+BS!CM8-BS!CR8</f>
        <v>0</v>
      </c>
      <c r="CS13" s="182">
        <f>BS!CN6-BS!CS6+BS!CN7-BS!CS7+BS!CN8-BS!CS8</f>
        <v>100.9736425492008</v>
      </c>
      <c r="CT13" s="125">
        <f>BS!CO6-BS!CT6+BS!CO7-BS!CT7+BS!CO8-BS!CT8</f>
        <v>0</v>
      </c>
      <c r="CU13" s="125">
        <f>BS!CP6-BS!CU6+BS!CP7-BS!CU7+BS!CP8-BS!CU8</f>
        <v>0</v>
      </c>
      <c r="CV13" s="125">
        <f>BS!CQ6-BS!CV6+BS!CQ7-BS!CV7+BS!CQ8-BS!CV8</f>
        <v>0</v>
      </c>
      <c r="CW13" s="125">
        <f>BS!CR6-BS!CW6+BS!CR7-BS!CW7+BS!CR8-BS!CW8</f>
        <v>0</v>
      </c>
      <c r="CX13" s="182">
        <f>BS!CS6-BS!CX6+BS!CS7-BS!CX7+BS!CS8-BS!CX8</f>
        <v>120.37480884564616</v>
      </c>
      <c r="CY13" s="125">
        <f>BS!CT6-BS!CY6+BS!CT7-BS!CY7+BS!CT8-BS!CY8</f>
        <v>0</v>
      </c>
      <c r="CZ13" s="125">
        <f>BS!CU6-BS!CZ6+BS!CU7-BS!CZ7+BS!CU8-BS!CZ8</f>
        <v>0</v>
      </c>
      <c r="DA13" s="125">
        <f>BS!CV6-BS!DA6+BS!CV7-BS!DA7+BS!CV8-BS!DA8</f>
        <v>0</v>
      </c>
      <c r="DB13" s="125">
        <f>BS!CW6-BS!DB6+BS!CW7-BS!DB7+BS!CW8-BS!DB8</f>
        <v>0</v>
      </c>
      <c r="DC13" s="182">
        <f>BS!CX6-BS!DC6+BS!CX7-BS!DC7+BS!CX8-BS!DC8</f>
        <v>141.86693759103787</v>
      </c>
      <c r="DD13" s="125">
        <f>BS!CY6-BS!DD6+BS!CY7-BS!DD7+BS!CY8-BS!DD8</f>
        <v>0</v>
      </c>
      <c r="DE13" s="125">
        <f>BS!CZ6-BS!DE6+BS!CZ7-BS!DE7+BS!CZ8-BS!DE8</f>
        <v>0</v>
      </c>
      <c r="DF13" s="125">
        <f>BS!DA6-BS!DF6+BS!DA7-BS!DF7+BS!DA8-BS!DF8</f>
        <v>0</v>
      </c>
      <c r="DG13" s="125">
        <f>BS!DB6-BS!DG6+BS!DB7-BS!DG7+BS!DB8-BS!DG8</f>
        <v>0</v>
      </c>
      <c r="DH13" s="182">
        <f>BS!DC6-BS!DH6+BS!DC7-BS!DH7+BS!DC8-BS!DH8</f>
        <v>-117.70718537252128</v>
      </c>
    </row>
    <row r="14" spans="1:119" ht="15.75" customHeight="1" outlineLevel="1">
      <c r="B14" s="184" t="s">
        <v>759</v>
      </c>
      <c r="C14" s="283"/>
      <c r="D14" s="143"/>
      <c r="E14" s="143"/>
      <c r="F14" s="284"/>
      <c r="G14" s="410"/>
      <c r="H14" s="411"/>
      <c r="I14" s="407"/>
      <c r="J14" s="407"/>
      <c r="K14" s="412"/>
      <c r="L14" s="410"/>
      <c r="M14" s="411"/>
      <c r="N14" s="407"/>
      <c r="O14" s="407"/>
      <c r="P14" s="412"/>
      <c r="Q14" s="410">
        <v>0</v>
      </c>
      <c r="R14" s="411"/>
      <c r="S14" s="407"/>
      <c r="T14" s="407"/>
      <c r="U14" s="412"/>
      <c r="V14" s="410">
        <v>-28.931999999999999</v>
      </c>
      <c r="W14" s="285"/>
      <c r="X14" s="154"/>
      <c r="Y14" s="154"/>
      <c r="Z14" s="286"/>
      <c r="AA14" s="410">
        <v>-47.956000000000003</v>
      </c>
      <c r="AB14" s="285"/>
      <c r="AC14" s="154"/>
      <c r="AD14" s="154"/>
      <c r="AE14" s="286"/>
      <c r="AF14" s="410">
        <v>-60.9</v>
      </c>
      <c r="AG14" s="285"/>
      <c r="AH14" s="154"/>
      <c r="AI14" s="154"/>
      <c r="AJ14" s="286"/>
      <c r="AK14" s="410">
        <v>-111.825</v>
      </c>
      <c r="AL14" s="285"/>
      <c r="AM14" s="154"/>
      <c r="AN14" s="154"/>
      <c r="AO14" s="286"/>
      <c r="AP14" s="410">
        <v>-149.77600000000001</v>
      </c>
      <c r="AQ14" s="285"/>
      <c r="AR14" s="154"/>
      <c r="AS14" s="154"/>
      <c r="AT14" s="286"/>
      <c r="AU14" s="410">
        <v>-314.19499999999999</v>
      </c>
      <c r="AV14" s="285"/>
      <c r="AW14" s="154"/>
      <c r="AX14" s="154"/>
      <c r="AY14" s="286"/>
      <c r="AZ14" s="182">
        <f>BS!AU9-BS!AZ9</f>
        <v>-72.613800000000083</v>
      </c>
      <c r="BA14" s="285"/>
      <c r="BB14" s="154"/>
      <c r="BC14" s="154"/>
      <c r="BD14" s="286"/>
      <c r="BE14" s="182">
        <f>BS!AZ9-BS!BE9</f>
        <v>-79.875180000000114</v>
      </c>
      <c r="BF14" s="285"/>
      <c r="BG14" s="154"/>
      <c r="BH14" s="154"/>
      <c r="BI14" s="286"/>
      <c r="BJ14" s="182">
        <f>BS!BE9-BS!BJ9</f>
        <v>-87.862698000000137</v>
      </c>
      <c r="BK14" s="182"/>
      <c r="BL14" s="182"/>
      <c r="BM14" s="182"/>
      <c r="BN14" s="182"/>
      <c r="BO14" s="182">
        <f>BS!BJ9-BS!BO9</f>
        <v>-96.648967800000037</v>
      </c>
      <c r="BP14" s="125">
        <f>BS!BK9-BS!BP9</f>
        <v>0</v>
      </c>
      <c r="BQ14" s="125">
        <f>BS!BL9-BS!BQ9</f>
        <v>0</v>
      </c>
      <c r="BR14" s="125">
        <f>BS!BM9-BS!BR9</f>
        <v>0</v>
      </c>
      <c r="BS14" s="125">
        <f>BS!BN9-BS!BS9</f>
        <v>0</v>
      </c>
      <c r="BT14" s="182">
        <f>BS!BO9-BS!BT9</f>
        <v>-106.3138645800002</v>
      </c>
      <c r="BU14" s="125">
        <f>BS!BP9-BS!BU9</f>
        <v>0</v>
      </c>
      <c r="BV14" s="125">
        <f>BS!BQ9-BS!BV9</f>
        <v>0</v>
      </c>
      <c r="BW14" s="125">
        <f>BS!BR9-BS!BW9</f>
        <v>0</v>
      </c>
      <c r="BX14" s="125">
        <f>BS!BS9-BS!BX9</f>
        <v>0</v>
      </c>
      <c r="BY14" s="182">
        <f>BS!BT9-BS!BY9</f>
        <v>-116.94525103800015</v>
      </c>
      <c r="BZ14" s="125">
        <f>BS!BU9-BS!BZ9</f>
        <v>0</v>
      </c>
      <c r="CA14" s="125">
        <f>BS!BV9-BS!CA9</f>
        <v>0</v>
      </c>
      <c r="CB14" s="125">
        <f>BS!BW9-BS!CB9</f>
        <v>0</v>
      </c>
      <c r="CC14" s="125">
        <f>BS!BX9-BS!CC9</f>
        <v>0</v>
      </c>
      <c r="CD14" s="182">
        <f>BS!BY9-BS!CD9</f>
        <v>-128.63977614180021</v>
      </c>
      <c r="CE14" s="125">
        <f>BS!BZ9-BS!CE9</f>
        <v>0</v>
      </c>
      <c r="CF14" s="125">
        <f>BS!CA9-BS!CF9</f>
        <v>0</v>
      </c>
      <c r="CG14" s="125">
        <f>BS!CB9-BS!CG9</f>
        <v>0</v>
      </c>
      <c r="CH14" s="125">
        <f>BS!CC9-BS!CH9</f>
        <v>0</v>
      </c>
      <c r="CI14" s="182">
        <f>BS!CD9-BS!CI9</f>
        <v>-70.751876877990071</v>
      </c>
      <c r="CJ14" s="125">
        <f>BS!CE9-BS!CJ9</f>
        <v>0</v>
      </c>
      <c r="CK14" s="125">
        <f>BS!CF9-BS!CK9</f>
        <v>0</v>
      </c>
      <c r="CL14" s="125">
        <f>BS!CG9-BS!CL9</f>
        <v>0</v>
      </c>
      <c r="CM14" s="125">
        <f>BS!CH9-BS!CM9</f>
        <v>0</v>
      </c>
      <c r="CN14" s="182">
        <f>BS!CI9-BS!CN9</f>
        <v>-74.289470721889529</v>
      </c>
      <c r="CO14" s="125">
        <f>BS!CJ9-BS!CO9</f>
        <v>0</v>
      </c>
      <c r="CP14" s="125">
        <f>BS!CK9-BS!CP9</f>
        <v>0</v>
      </c>
      <c r="CQ14" s="125">
        <f>BS!CL9-BS!CQ9</f>
        <v>0</v>
      </c>
      <c r="CR14" s="125">
        <f>BS!CM9-BS!CR9</f>
        <v>0</v>
      </c>
      <c r="CS14" s="182">
        <f>BS!CN9-BS!CS9</f>
        <v>-78.003944257984131</v>
      </c>
      <c r="CT14" s="125">
        <f>BS!CO9-BS!CT9</f>
        <v>0</v>
      </c>
      <c r="CU14" s="125">
        <f>BS!CP9-BS!CU9</f>
        <v>0</v>
      </c>
      <c r="CV14" s="125">
        <f>BS!CQ9-BS!CV9</f>
        <v>0</v>
      </c>
      <c r="CW14" s="125">
        <f>BS!CR9-BS!CW9</f>
        <v>0</v>
      </c>
      <c r="CX14" s="182">
        <f>BS!CS9-BS!CX9</f>
        <v>-81.90414147088336</v>
      </c>
      <c r="CY14" s="125">
        <f>BS!CT9-BS!CY9</f>
        <v>0</v>
      </c>
      <c r="CZ14" s="125">
        <f>BS!CU9-BS!CZ9</f>
        <v>0</v>
      </c>
      <c r="DA14" s="125">
        <f>BS!CV9-BS!DA9</f>
        <v>0</v>
      </c>
      <c r="DB14" s="125">
        <f>BS!CW9-BS!DB9</f>
        <v>0</v>
      </c>
      <c r="DC14" s="182">
        <f>BS!CX9-BS!DC9</f>
        <v>-85.999348544427448</v>
      </c>
      <c r="DD14" s="125">
        <f>BS!CY9-BS!DD9</f>
        <v>0</v>
      </c>
      <c r="DE14" s="125">
        <f>BS!CZ9-BS!DE9</f>
        <v>0</v>
      </c>
      <c r="DF14" s="125">
        <f>BS!DA9-BS!DF9</f>
        <v>0</v>
      </c>
      <c r="DG14" s="125">
        <f>BS!DB9-BS!DG9</f>
        <v>0</v>
      </c>
      <c r="DH14" s="182">
        <f>BS!DC9-BS!DH9</f>
        <v>-90.299315971648866</v>
      </c>
    </row>
    <row r="15" spans="1:119" ht="15.75" customHeight="1" outlineLevel="1">
      <c r="B15" s="243" t="s">
        <v>27</v>
      </c>
      <c r="C15" s="283"/>
      <c r="D15" s="143"/>
      <c r="E15" s="143"/>
      <c r="F15" s="284"/>
      <c r="G15" s="410">
        <v>-4.5739999999999998</v>
      </c>
      <c r="H15" s="411"/>
      <c r="I15" s="407"/>
      <c r="J15" s="407"/>
      <c r="K15" s="412"/>
      <c r="L15" s="410">
        <v>-8.2119999999999997</v>
      </c>
      <c r="M15" s="411">
        <v>-0.255</v>
      </c>
      <c r="N15" s="407">
        <f>-0.841-M15</f>
        <v>-0.58599999999999997</v>
      </c>
      <c r="O15" s="407">
        <f>-0.279-M15-N15</f>
        <v>0.56199999999999994</v>
      </c>
      <c r="P15" s="412"/>
      <c r="Q15" s="410">
        <v>-6.992</v>
      </c>
      <c r="R15" s="411"/>
      <c r="S15" s="407"/>
      <c r="T15" s="407"/>
      <c r="U15" s="412"/>
      <c r="V15" s="410">
        <v>-23.684000000000001</v>
      </c>
      <c r="W15" s="285"/>
      <c r="X15" s="154"/>
      <c r="Y15" s="154"/>
      <c r="Z15" s="286"/>
      <c r="AA15" s="410">
        <v>7.5709999999999997</v>
      </c>
      <c r="AB15" s="285"/>
      <c r="AC15" s="154"/>
      <c r="AD15" s="154"/>
      <c r="AE15" s="286"/>
      <c r="AF15" s="410">
        <v>-37.767000000000003</v>
      </c>
      <c r="AG15" s="285"/>
      <c r="AH15" s="154"/>
      <c r="AI15" s="154"/>
      <c r="AJ15" s="286"/>
      <c r="AK15" s="410">
        <v>-79.475999999999999</v>
      </c>
      <c r="AL15" s="285"/>
      <c r="AM15" s="154"/>
      <c r="AN15" s="154"/>
      <c r="AO15" s="286"/>
      <c r="AP15" s="410">
        <v>23.542999999999999</v>
      </c>
      <c r="AQ15" s="285"/>
      <c r="AR15" s="154"/>
      <c r="AS15" s="154"/>
      <c r="AT15" s="286"/>
      <c r="AU15" s="410">
        <v>-113.331</v>
      </c>
      <c r="AV15" s="285"/>
      <c r="AW15" s="154"/>
      <c r="AX15" s="154"/>
      <c r="AY15" s="286"/>
      <c r="AZ15" s="182">
        <f>BS!AU11-BS!AZ11</f>
        <v>0</v>
      </c>
      <c r="BA15" s="285"/>
      <c r="BB15" s="154"/>
      <c r="BC15" s="154"/>
      <c r="BD15" s="286"/>
      <c r="BE15" s="182">
        <f>BS!AZ11-BS!BE11</f>
        <v>0</v>
      </c>
      <c r="BF15" s="285"/>
      <c r="BG15" s="154"/>
      <c r="BH15" s="154"/>
      <c r="BI15" s="286"/>
      <c r="BJ15" s="182">
        <f>BS!BE11-BS!BJ11</f>
        <v>0</v>
      </c>
      <c r="BK15" s="182"/>
      <c r="BL15" s="182"/>
      <c r="BM15" s="182"/>
      <c r="BN15" s="182"/>
      <c r="BO15" s="182">
        <f>BS!BJ11-BS!BO11</f>
        <v>0</v>
      </c>
      <c r="BP15" s="125">
        <f>BS!BK11-BS!BP11</f>
        <v>0</v>
      </c>
      <c r="BQ15" s="125">
        <f>BS!BL11-BS!BQ11</f>
        <v>0</v>
      </c>
      <c r="BR15" s="125">
        <f>BS!BM11-BS!BR11</f>
        <v>0</v>
      </c>
      <c r="BS15" s="125">
        <f>BS!BN11-BS!BS11</f>
        <v>0</v>
      </c>
      <c r="BT15" s="182">
        <f>BS!BO11-BS!BT11</f>
        <v>0</v>
      </c>
      <c r="BU15" s="125">
        <f>BS!BP11-BS!BU11</f>
        <v>0</v>
      </c>
      <c r="BV15" s="125">
        <f>BS!BQ11-BS!BV11</f>
        <v>0</v>
      </c>
      <c r="BW15" s="125">
        <f>BS!BR11-BS!BW11</f>
        <v>0</v>
      </c>
      <c r="BX15" s="125">
        <f>BS!BS11-BS!BX11</f>
        <v>0</v>
      </c>
      <c r="BY15" s="182">
        <f>BS!BT11-BS!BY11</f>
        <v>0</v>
      </c>
      <c r="BZ15" s="125">
        <f>BS!BU11-BS!BZ11</f>
        <v>0</v>
      </c>
      <c r="CA15" s="125">
        <f>BS!BV11-BS!CA11</f>
        <v>0</v>
      </c>
      <c r="CB15" s="125">
        <f>BS!BW11-BS!CB11</f>
        <v>0</v>
      </c>
      <c r="CC15" s="125">
        <f>BS!BX11-BS!CC11</f>
        <v>0</v>
      </c>
      <c r="CD15" s="182">
        <f>BS!BY11-BS!CD11</f>
        <v>0</v>
      </c>
      <c r="CE15" s="125">
        <f>BS!BZ11-BS!CE11</f>
        <v>0</v>
      </c>
      <c r="CF15" s="125">
        <f>BS!CA11-BS!CF11</f>
        <v>0</v>
      </c>
      <c r="CG15" s="125">
        <f>BS!CB11-BS!CG11</f>
        <v>0</v>
      </c>
      <c r="CH15" s="125">
        <f>BS!CC11-BS!CH11</f>
        <v>0</v>
      </c>
      <c r="CI15" s="182">
        <f>BS!CD11-BS!CI11</f>
        <v>0</v>
      </c>
      <c r="CJ15" s="125">
        <f>BS!CE11-BS!CJ11</f>
        <v>0</v>
      </c>
      <c r="CK15" s="125">
        <f>BS!CF11-BS!CK11</f>
        <v>0</v>
      </c>
      <c r="CL15" s="125">
        <f>BS!CG11-BS!CL11</f>
        <v>0</v>
      </c>
      <c r="CM15" s="125">
        <f>BS!CH11-BS!CM11</f>
        <v>0</v>
      </c>
      <c r="CN15" s="182">
        <f>BS!CI11-BS!CN11</f>
        <v>0</v>
      </c>
      <c r="CO15" s="125">
        <f>BS!CJ11-BS!CO11</f>
        <v>0</v>
      </c>
      <c r="CP15" s="125">
        <f>BS!CK11-BS!CP11</f>
        <v>0</v>
      </c>
      <c r="CQ15" s="125">
        <f>BS!CL11-BS!CQ11</f>
        <v>0</v>
      </c>
      <c r="CR15" s="125">
        <f>BS!CM11-BS!CR11</f>
        <v>0</v>
      </c>
      <c r="CS15" s="182">
        <f>BS!CN11-BS!CS11</f>
        <v>0</v>
      </c>
      <c r="CT15" s="125">
        <f>BS!CO11-BS!CT11</f>
        <v>0</v>
      </c>
      <c r="CU15" s="125">
        <f>BS!CP11-BS!CU11</f>
        <v>0</v>
      </c>
      <c r="CV15" s="125">
        <f>BS!CQ11-BS!CV11</f>
        <v>0</v>
      </c>
      <c r="CW15" s="125">
        <f>BS!CR11-BS!CW11</f>
        <v>0</v>
      </c>
      <c r="CX15" s="182">
        <f>BS!CS11-BS!CX11</f>
        <v>0</v>
      </c>
      <c r="CY15" s="125">
        <f>BS!CT11-BS!CY11</f>
        <v>0</v>
      </c>
      <c r="CZ15" s="125">
        <f>BS!CU11-BS!CZ11</f>
        <v>0</v>
      </c>
      <c r="DA15" s="125">
        <f>BS!CV11-BS!DA11</f>
        <v>0</v>
      </c>
      <c r="DB15" s="125">
        <f>BS!CW11-BS!DB11</f>
        <v>0</v>
      </c>
      <c r="DC15" s="182">
        <f>BS!CX11-BS!DC11</f>
        <v>0</v>
      </c>
      <c r="DD15" s="125">
        <f>BS!CY11-BS!DD11</f>
        <v>0</v>
      </c>
      <c r="DE15" s="125">
        <f>BS!CZ11-BS!DE11</f>
        <v>0</v>
      </c>
      <c r="DF15" s="125">
        <f>BS!DA11-BS!DF11</f>
        <v>0</v>
      </c>
      <c r="DG15" s="125">
        <f>BS!DB11-BS!DG11</f>
        <v>0</v>
      </c>
      <c r="DH15" s="182">
        <f>BS!DC11-BS!DH11</f>
        <v>0</v>
      </c>
    </row>
    <row r="16" spans="1:119" ht="15.75" customHeight="1" outlineLevel="1">
      <c r="B16" s="184" t="s">
        <v>249</v>
      </c>
      <c r="C16" s="283"/>
      <c r="D16" s="143"/>
      <c r="E16" s="143"/>
      <c r="F16" s="284"/>
      <c r="G16" s="410">
        <v>12.577</v>
      </c>
      <c r="H16" s="411"/>
      <c r="I16" s="407"/>
      <c r="J16" s="407"/>
      <c r="K16" s="412"/>
      <c r="L16" s="410">
        <v>158.15100000000001</v>
      </c>
      <c r="M16" s="411">
        <v>-0.13100000000000001</v>
      </c>
      <c r="N16" s="407">
        <f>0.058-M16</f>
        <v>0.189</v>
      </c>
      <c r="O16" s="407">
        <f>-0.128-M16-N16</f>
        <v>-0.186</v>
      </c>
      <c r="P16" s="412"/>
      <c r="Q16" s="410">
        <v>-40.329000000000001</v>
      </c>
      <c r="R16" s="411"/>
      <c r="S16" s="407"/>
      <c r="T16" s="407"/>
      <c r="U16" s="412"/>
      <c r="V16" s="410">
        <v>10.978999999999999</v>
      </c>
      <c r="W16" s="285"/>
      <c r="X16" s="154"/>
      <c r="Y16" s="154"/>
      <c r="Z16" s="286"/>
      <c r="AA16" s="410">
        <v>136.684</v>
      </c>
      <c r="AB16" s="285"/>
      <c r="AC16" s="154"/>
      <c r="AD16" s="154"/>
      <c r="AE16" s="286"/>
      <c r="AF16" s="410">
        <v>162.23599999999999</v>
      </c>
      <c r="AG16" s="285"/>
      <c r="AH16" s="154"/>
      <c r="AI16" s="154"/>
      <c r="AJ16" s="286"/>
      <c r="AK16" s="410">
        <v>303.65699999999998</v>
      </c>
      <c r="AL16" s="285"/>
      <c r="AM16" s="154"/>
      <c r="AN16" s="154"/>
      <c r="AO16" s="286"/>
      <c r="AP16" s="410">
        <v>253.98</v>
      </c>
      <c r="AQ16" s="285"/>
      <c r="AR16" s="154"/>
      <c r="AS16" s="154"/>
      <c r="AT16" s="286"/>
      <c r="AU16" s="410">
        <v>-23.187999999999999</v>
      </c>
      <c r="AV16" s="285"/>
      <c r="AW16" s="154"/>
      <c r="AX16" s="154"/>
      <c r="AY16" s="286"/>
      <c r="AZ16" s="182">
        <f>BS!AZ23-BS!AU23+BS!AZ24-BS!AU24+BS!AZ25-BS!AU25+BS!AZ27-BS!AU27</f>
        <v>40.753900000000044</v>
      </c>
      <c r="BA16" s="285"/>
      <c r="BB16" s="154"/>
      <c r="BC16" s="154"/>
      <c r="BD16" s="286"/>
      <c r="BE16" s="182">
        <f>BS!BE23-BS!AZ23+BS!BE24-BS!AZ24+BS!BE25-BS!AZ25+BS!BE27-BS!AZ27</f>
        <v>42.791595000000029</v>
      </c>
      <c r="BF16" s="285"/>
      <c r="BG16" s="154"/>
      <c r="BH16" s="154"/>
      <c r="BI16" s="286"/>
      <c r="BJ16" s="182">
        <f>BS!BJ23-BS!BE23+BS!BJ24-BS!BE24+BS!BJ25-BS!BE25+BS!BJ27-BS!BE27</f>
        <v>44.931174750000082</v>
      </c>
      <c r="BK16" s="182"/>
      <c r="BL16" s="182"/>
      <c r="BM16" s="182"/>
      <c r="BN16" s="182"/>
      <c r="BO16" s="182">
        <f>BS!BO23-BS!BJ23+BS!BO24-BS!BJ24+BS!BO25-BS!BJ25+BS!BO27-BS!BJ27</f>
        <v>47.177733487500063</v>
      </c>
      <c r="BP16" s="125">
        <f>BS!BP23-BS!BK23+BS!BP24-BS!BK24+BS!BP25-BS!BK25+BS!BP27-BS!BK27</f>
        <v>0</v>
      </c>
      <c r="BQ16" s="125">
        <f>BS!BQ23-BS!BL23+BS!BQ24-BS!BL24+BS!BQ25-BS!BL25+BS!BQ27-BS!BL27</f>
        <v>0</v>
      </c>
      <c r="BR16" s="125">
        <f>BS!BR23-BS!BM23+BS!BR24-BS!BM24+BS!BR25-BS!BM25+BS!BR27-BS!BM27</f>
        <v>0</v>
      </c>
      <c r="BS16" s="125">
        <f>BS!BS23-BS!BN23+BS!BS24-BS!BN24+BS!BS25-BS!BN25+BS!BS27-BS!BN27</f>
        <v>0</v>
      </c>
      <c r="BT16" s="182">
        <f>BS!BT23-BS!BO23+BS!BT24-BS!BO24+BS!BT25-BS!BO25+BS!BT27-BS!BO27</f>
        <v>49.536620161875135</v>
      </c>
      <c r="BU16" s="125">
        <f>BS!BU23-BS!BP23+BS!BU24-BS!BP24+BS!BU25-BS!BP25+BS!BU27-BS!BP27</f>
        <v>0</v>
      </c>
      <c r="BV16" s="125">
        <f>BS!BV23-BS!BQ23+BS!BV24-BS!BQ24+BS!BV25-BS!BQ25+BS!BV27-BS!BQ27</f>
        <v>0</v>
      </c>
      <c r="BW16" s="125">
        <f>BS!BW23-BS!BR23+BS!BW24-BS!BR24+BS!BW25-BS!BR25+BS!BW27-BS!BR27</f>
        <v>0</v>
      </c>
      <c r="BX16" s="125">
        <f>BS!BX23-BS!BS23+BS!BX24-BS!BS24+BS!BX25-BS!BS25+BS!BX27-BS!BS27</f>
        <v>0</v>
      </c>
      <c r="BY16" s="182">
        <f>BS!BY23-BS!BT23+BS!BY24-BS!BT24+BS!BY25-BS!BT25+BS!BY27-BS!BT27</f>
        <v>52.013451169968903</v>
      </c>
      <c r="BZ16" s="125">
        <f>BS!BZ23-BS!BU23+BS!BZ24-BS!BU24+BS!BZ25-BS!BU25+BS!BZ27-BS!BU27</f>
        <v>0</v>
      </c>
      <c r="CA16" s="125">
        <f>BS!CA23-BS!BV23+BS!CA24-BS!BV24+BS!CA25-BS!BV25+BS!CA27-BS!BV27</f>
        <v>0</v>
      </c>
      <c r="CB16" s="125">
        <f>BS!CB23-BS!BW23+BS!CB24-BS!BW24+BS!CB25-BS!BW25+BS!CB27-BS!BW27</f>
        <v>0</v>
      </c>
      <c r="CC16" s="125">
        <f>BS!CC23-BS!BX23+BS!CC24-BS!BX24+BS!CC25-BS!BX25+BS!CC27-BS!BX27</f>
        <v>0</v>
      </c>
      <c r="CD16" s="182">
        <f>BS!CD23-BS!BY23+BS!CD24-BS!BY24+BS!CD25-BS!BY25+BS!CD27-BS!BY27</f>
        <v>54.614123728467348</v>
      </c>
      <c r="CE16" s="125">
        <f>BS!CE23-BS!BZ23+BS!CE24-BS!BZ24+BS!CE25-BS!BZ25+BS!CE27-BS!BZ27</f>
        <v>0</v>
      </c>
      <c r="CF16" s="125">
        <f>BS!CF23-BS!CA23+BS!CF24-BS!CA24+BS!CF25-BS!CA25+BS!CF27-BS!CA27</f>
        <v>0</v>
      </c>
      <c r="CG16" s="125">
        <f>BS!CG23-BS!CB23+BS!CG24-BS!CB24+BS!CG25-BS!CB25+BS!CG27-BS!CB27</f>
        <v>0</v>
      </c>
      <c r="CH16" s="125">
        <f>BS!CH23-BS!CC23+BS!CH24-BS!CC24+BS!CH25-BS!CC25+BS!CH27-BS!CC27</f>
        <v>0</v>
      </c>
      <c r="CI16" s="182">
        <f>BS!CI23-BS!CD23+BS!CI24-BS!CD24+BS!CI25-BS!CD25+BS!CI27-BS!CD27</f>
        <v>57.344829914890624</v>
      </c>
      <c r="CJ16" s="125">
        <f>BS!CJ23-BS!CE23+BS!CJ24-BS!CE24+BS!CJ25-BS!CE25+BS!CJ27-BS!CE27</f>
        <v>0</v>
      </c>
      <c r="CK16" s="125">
        <f>BS!CK23-BS!CF23+BS!CK24-BS!CF24+BS!CK25-BS!CF25+BS!CK27-BS!CF27</f>
        <v>0</v>
      </c>
      <c r="CL16" s="125">
        <f>BS!CL23-BS!CG23+BS!CL24-BS!CG24+BS!CL25-BS!CG25+BS!CL27-BS!CG27</f>
        <v>0</v>
      </c>
      <c r="CM16" s="125">
        <f>BS!CM23-BS!CH23+BS!CM24-BS!CH24+BS!CM25-BS!CH25+BS!CM27-BS!CH27</f>
        <v>0</v>
      </c>
      <c r="CN16" s="182">
        <f>BS!CN23-BS!CI23+BS!CN24-BS!CI24+BS!CN25-BS!CI25+BS!CN27-BS!CI27</f>
        <v>60.21207141063519</v>
      </c>
      <c r="CO16" s="125">
        <f>BS!CO23-BS!CJ23+BS!CO24-BS!CJ24+BS!CO25-BS!CJ25+BS!CO27-BS!CJ27</f>
        <v>0</v>
      </c>
      <c r="CP16" s="125">
        <f>BS!CP23-BS!CK23+BS!CP24-BS!CK24+BS!CP25-BS!CK25+BS!CP27-BS!CK27</f>
        <v>0</v>
      </c>
      <c r="CQ16" s="125">
        <f>BS!CQ23-BS!CL23+BS!CQ24-BS!CL24+BS!CQ25-BS!CL25+BS!CQ27-BS!CL27</f>
        <v>0</v>
      </c>
      <c r="CR16" s="125">
        <f>BS!CR23-BS!CM23+BS!CR24-BS!CM24+BS!CR25-BS!CM25+BS!CR27-BS!CM27</f>
        <v>0</v>
      </c>
      <c r="CS16" s="182">
        <f>BS!CS23-BS!CN23+BS!CS24-BS!CN24+BS!CS25-BS!CN25+BS!CS27-BS!CN27</f>
        <v>63.222674981166847</v>
      </c>
      <c r="CT16" s="125">
        <f>BS!CT23-BS!CO23+BS!CT24-BS!CO24+BS!CT25-BS!CO25+BS!CT27-BS!CO27</f>
        <v>0</v>
      </c>
      <c r="CU16" s="125">
        <f>BS!CU23-BS!CP23+BS!CU24-BS!CP24+BS!CU25-BS!CP25+BS!CU27-BS!CP27</f>
        <v>0</v>
      </c>
      <c r="CV16" s="125">
        <f>BS!CV23-BS!CQ23+BS!CV24-BS!CQ24+BS!CV25-BS!CQ25+BS!CV27-BS!CQ27</f>
        <v>0</v>
      </c>
      <c r="CW16" s="125">
        <f>BS!CW23-BS!CR23+BS!CW24-BS!CR24+BS!CW25-BS!CR25+BS!CW27-BS!CR27</f>
        <v>0</v>
      </c>
      <c r="CX16" s="182">
        <f>BS!CX23-BS!CS23+BS!CX24-BS!CS24+BS!CX25-BS!CS25+BS!CX27-BS!CS27</f>
        <v>66.383808730225383</v>
      </c>
      <c r="CY16" s="125">
        <f>BS!CY23-BS!CT23+BS!CY24-BS!CT24+BS!CY25-BS!CT25+BS!CY27-BS!CT27</f>
        <v>0</v>
      </c>
      <c r="CZ16" s="125">
        <f>BS!CZ23-BS!CU23+BS!CZ24-BS!CU24+BS!CZ25-BS!CU25+BS!CZ27-BS!CU27</f>
        <v>0</v>
      </c>
      <c r="DA16" s="125">
        <f>BS!DA23-BS!CV23+BS!DA24-BS!CV24+BS!DA25-BS!CV25+BS!DA27-BS!CV27</f>
        <v>0</v>
      </c>
      <c r="DB16" s="125">
        <f>BS!DB23-BS!CW23+BS!DB24-BS!CW24+BS!DB25-BS!CW25+BS!DB27-BS!CW27</f>
        <v>0</v>
      </c>
      <c r="DC16" s="182">
        <f>BS!DC23-BS!CX23+BS!DC24-BS!CX24+BS!DC25-BS!CX25+BS!DC27-BS!CX27</f>
        <v>69.702999166736618</v>
      </c>
      <c r="DD16" s="125">
        <f>BS!DD23-BS!CY23+BS!DD24-BS!CY24+BS!DD25-BS!CY25+BS!DD27-BS!CY27</f>
        <v>0</v>
      </c>
      <c r="DE16" s="125">
        <f>BS!DE23-BS!CZ23+BS!DE24-BS!CZ24+BS!DE25-BS!CZ25+BS!DE27-BS!CZ27</f>
        <v>0</v>
      </c>
      <c r="DF16" s="125">
        <f>BS!DF23-BS!DA23+BS!DF24-BS!DA24+BS!DF25-BS!DA25+BS!DF27-BS!DA27</f>
        <v>0</v>
      </c>
      <c r="DG16" s="125">
        <f>BS!DG23-BS!DB23+BS!DG24-BS!DB24+BS!DG25-BS!DB25+BS!DG27-BS!DB27</f>
        <v>0</v>
      </c>
      <c r="DH16" s="182">
        <f>BS!DH23-BS!DC23+BS!DH24-BS!DC24+BS!DH25-BS!DC25+BS!DH27-BS!DC27</f>
        <v>73.188149125073323</v>
      </c>
    </row>
    <row r="17" spans="1:112" ht="15.75" customHeight="1" outlineLevel="1">
      <c r="B17" s="243" t="s">
        <v>93</v>
      </c>
      <c r="C17" s="283"/>
      <c r="D17" s="143"/>
      <c r="E17" s="143"/>
      <c r="F17" s="284"/>
      <c r="G17" s="410">
        <v>-27.497</v>
      </c>
      <c r="H17" s="411"/>
      <c r="I17" s="407"/>
      <c r="J17" s="407"/>
      <c r="K17" s="412"/>
      <c r="L17" s="410">
        <v>7.6050000000000004</v>
      </c>
      <c r="M17" s="411">
        <v>0</v>
      </c>
      <c r="N17" s="407">
        <f>0.105-M17</f>
        <v>0.105</v>
      </c>
      <c r="O17" s="407">
        <f>0-M17-N17</f>
        <v>-0.105</v>
      </c>
      <c r="P17" s="412"/>
      <c r="Q17" s="410">
        <v>50.015999999999998</v>
      </c>
      <c r="R17" s="411"/>
      <c r="S17" s="407"/>
      <c r="T17" s="407"/>
      <c r="U17" s="412"/>
      <c r="V17" s="410">
        <v>-41.076999999999998</v>
      </c>
      <c r="W17" s="285"/>
      <c r="X17" s="154"/>
      <c r="Y17" s="154"/>
      <c r="Z17" s="286"/>
      <c r="AA17" s="410">
        <v>-27.974</v>
      </c>
      <c r="AB17" s="285"/>
      <c r="AC17" s="154"/>
      <c r="AD17" s="154"/>
      <c r="AE17" s="286"/>
      <c r="AF17" s="410">
        <v>19.102</v>
      </c>
      <c r="AG17" s="285"/>
      <c r="AH17" s="154"/>
      <c r="AI17" s="154"/>
      <c r="AJ17" s="286"/>
      <c r="AK17" s="410">
        <v>608.89200000000005</v>
      </c>
      <c r="AL17" s="285"/>
      <c r="AM17" s="154"/>
      <c r="AN17" s="154"/>
      <c r="AO17" s="286"/>
      <c r="AP17" s="410">
        <v>244.27</v>
      </c>
      <c r="AQ17" s="285"/>
      <c r="AR17" s="154"/>
      <c r="AS17" s="154"/>
      <c r="AT17" s="286"/>
      <c r="AU17" s="410">
        <v>-113.099</v>
      </c>
      <c r="AV17" s="285"/>
      <c r="AW17" s="154"/>
      <c r="AX17" s="154"/>
      <c r="AY17" s="286"/>
      <c r="AZ17" s="182">
        <f>+BS!AU10-BS!AZ10</f>
        <v>0</v>
      </c>
      <c r="BA17" s="285"/>
      <c r="BB17" s="154"/>
      <c r="BC17" s="154"/>
      <c r="BD17" s="286"/>
      <c r="BE17" s="182">
        <f>+BS!AZ10-BS!BE10</f>
        <v>0</v>
      </c>
      <c r="BF17" s="285"/>
      <c r="BG17" s="154"/>
      <c r="BH17" s="154"/>
      <c r="BI17" s="286"/>
      <c r="BJ17" s="182">
        <f>+BS!BE10-BS!BJ10</f>
        <v>0</v>
      </c>
      <c r="BK17" s="182"/>
      <c r="BL17" s="182"/>
      <c r="BM17" s="182"/>
      <c r="BN17" s="182"/>
      <c r="BO17" s="182">
        <f>+BS!BJ10-BS!BO10</f>
        <v>0</v>
      </c>
      <c r="BP17" s="125">
        <f>+BS!BK10-BS!BP10</f>
        <v>0</v>
      </c>
      <c r="BQ17" s="125">
        <f>+BS!BL10-BS!BQ10</f>
        <v>0</v>
      </c>
      <c r="BR17" s="125">
        <f>+BS!BM10-BS!BR10</f>
        <v>0</v>
      </c>
      <c r="BS17" s="125">
        <f>+BS!BN10-BS!BS10</f>
        <v>0</v>
      </c>
      <c r="BT17" s="182">
        <f>+BS!BO10-BS!BT10</f>
        <v>0</v>
      </c>
      <c r="BU17" s="125">
        <f>+BS!BP10-BS!BU10</f>
        <v>0</v>
      </c>
      <c r="BV17" s="125">
        <f>+BS!BQ10-BS!BV10</f>
        <v>0</v>
      </c>
      <c r="BW17" s="125">
        <f>+BS!BR10-BS!BW10</f>
        <v>0</v>
      </c>
      <c r="BX17" s="125">
        <f>+BS!BS10-BS!BX10</f>
        <v>0</v>
      </c>
      <c r="BY17" s="182">
        <f>+BS!BT10-BS!BY10</f>
        <v>0</v>
      </c>
      <c r="BZ17" s="125">
        <f>+BS!BU10-BS!BZ10</f>
        <v>0</v>
      </c>
      <c r="CA17" s="125">
        <f>+BS!BV10-BS!CA10</f>
        <v>0</v>
      </c>
      <c r="CB17" s="125">
        <f>+BS!BW10-BS!CB10</f>
        <v>0</v>
      </c>
      <c r="CC17" s="125">
        <f>+BS!BX10-BS!CC10</f>
        <v>0</v>
      </c>
      <c r="CD17" s="182">
        <f>+BS!BY10-BS!CD10</f>
        <v>0</v>
      </c>
      <c r="CE17" s="125">
        <f>+BS!BZ10-BS!CE10</f>
        <v>0</v>
      </c>
      <c r="CF17" s="125">
        <f>+BS!CA10-BS!CF10</f>
        <v>0</v>
      </c>
      <c r="CG17" s="125">
        <f>+BS!CB10-BS!CG10</f>
        <v>0</v>
      </c>
      <c r="CH17" s="125">
        <f>+BS!CC10-BS!CH10</f>
        <v>0</v>
      </c>
      <c r="CI17" s="182">
        <f>+BS!CD10-BS!CI10</f>
        <v>0</v>
      </c>
      <c r="CJ17" s="125">
        <f>+BS!CE10-BS!CJ10</f>
        <v>0</v>
      </c>
      <c r="CK17" s="125">
        <f>+BS!CF10-BS!CK10</f>
        <v>0</v>
      </c>
      <c r="CL17" s="125">
        <f>+BS!CG10-BS!CL10</f>
        <v>0</v>
      </c>
      <c r="CM17" s="125">
        <f>+BS!CH10-BS!CM10</f>
        <v>0</v>
      </c>
      <c r="CN17" s="182">
        <f>+BS!CI10-BS!CN10</f>
        <v>0</v>
      </c>
      <c r="CO17" s="125">
        <f>+BS!CJ10-BS!CO10</f>
        <v>0</v>
      </c>
      <c r="CP17" s="125">
        <f>+BS!CK10-BS!CP10</f>
        <v>0</v>
      </c>
      <c r="CQ17" s="125">
        <f>+BS!CL10-BS!CQ10</f>
        <v>0</v>
      </c>
      <c r="CR17" s="125">
        <f>+BS!CM10-BS!CR10</f>
        <v>0</v>
      </c>
      <c r="CS17" s="182">
        <f>+BS!CN10-BS!CS10</f>
        <v>0</v>
      </c>
      <c r="CT17" s="125">
        <f>+BS!CO10-BS!CT10</f>
        <v>0</v>
      </c>
      <c r="CU17" s="125">
        <f>+BS!CP10-BS!CU10</f>
        <v>0</v>
      </c>
      <c r="CV17" s="125">
        <f>+BS!CQ10-BS!CV10</f>
        <v>0</v>
      </c>
      <c r="CW17" s="125">
        <f>+BS!CR10-BS!CW10</f>
        <v>0</v>
      </c>
      <c r="CX17" s="182">
        <f>+BS!CS10-BS!CX10</f>
        <v>0</v>
      </c>
      <c r="CY17" s="125">
        <f>+BS!CT10-BS!CY10</f>
        <v>0</v>
      </c>
      <c r="CZ17" s="125">
        <f>+BS!CU10-BS!CZ10</f>
        <v>0</v>
      </c>
      <c r="DA17" s="125">
        <f>+BS!CV10-BS!DA10</f>
        <v>0</v>
      </c>
      <c r="DB17" s="125">
        <f>+BS!CW10-BS!DB10</f>
        <v>0</v>
      </c>
      <c r="DC17" s="182">
        <f>+BS!CX10-BS!DC10</f>
        <v>0</v>
      </c>
      <c r="DD17" s="125">
        <f>+BS!CY10-BS!DD10</f>
        <v>0</v>
      </c>
      <c r="DE17" s="125">
        <f>+BS!CZ10-BS!DE10</f>
        <v>0</v>
      </c>
      <c r="DF17" s="125">
        <f>+BS!DA10-BS!DF10</f>
        <v>0</v>
      </c>
      <c r="DG17" s="125">
        <f>+BS!DB10-BS!DG10</f>
        <v>0</v>
      </c>
      <c r="DH17" s="182">
        <f>+BS!DC10-BS!DH10</f>
        <v>0</v>
      </c>
    </row>
    <row r="18" spans="1:112" ht="15.75" customHeight="1">
      <c r="A18" s="282" t="s">
        <v>1</v>
      </c>
      <c r="B18" s="173" t="s">
        <v>78</v>
      </c>
      <c r="C18" s="291"/>
      <c r="D18" s="272"/>
      <c r="E18" s="272"/>
      <c r="F18" s="292"/>
      <c r="G18" s="409">
        <f>SUM(G5:G11,G13:G17)</f>
        <v>-72.23</v>
      </c>
      <c r="H18" s="293">
        <f>SUM(H5:H17)</f>
        <v>0</v>
      </c>
      <c r="I18" s="167">
        <f>SUM(I5:I17)</f>
        <v>0</v>
      </c>
      <c r="J18" s="167">
        <f>SUM(J5:J17)</f>
        <v>0</v>
      </c>
      <c r="K18" s="294">
        <f>SUM(K5:K17)</f>
        <v>0</v>
      </c>
      <c r="L18" s="409">
        <f>SUM(L5:L11,L13:L17)</f>
        <v>99.222000000000008</v>
      </c>
      <c r="M18" s="293">
        <f>SUM(M5:M17)</f>
        <v>-16.882999999999999</v>
      </c>
      <c r="N18" s="167">
        <f>SUM(N5:N17)</f>
        <v>-18.090000000000003</v>
      </c>
      <c r="O18" s="167">
        <f>SUM(O5:O17)</f>
        <v>-14.063999999999997</v>
      </c>
      <c r="P18" s="294">
        <f>SUM(P5:P17)</f>
        <v>0</v>
      </c>
      <c r="Q18" s="409">
        <f>SUM(Q5:Q11,Q13:Q17)</f>
        <v>-141.68200000000002</v>
      </c>
      <c r="R18" s="293"/>
      <c r="S18" s="167"/>
      <c r="T18" s="167"/>
      <c r="U18" s="294"/>
      <c r="V18" s="409">
        <f>SUM(V5:V11,V13:V17)</f>
        <v>-74.615000000000066</v>
      </c>
      <c r="W18" s="293"/>
      <c r="X18" s="167"/>
      <c r="Y18" s="167"/>
      <c r="Z18" s="294"/>
      <c r="AA18" s="409">
        <f>SUM(AA5:AA11,AA13:AA17)</f>
        <v>583.64800000000002</v>
      </c>
      <c r="AB18" s="293"/>
      <c r="AC18" s="167"/>
      <c r="AD18" s="167"/>
      <c r="AE18" s="294"/>
      <c r="AF18" s="409">
        <f>SUM(AF5:AF11,AF13:AF17)</f>
        <v>743.15700000000004</v>
      </c>
      <c r="AG18" s="293"/>
      <c r="AH18" s="167"/>
      <c r="AI18" s="167"/>
      <c r="AJ18" s="294"/>
      <c r="AK18" s="409">
        <f>SUM(AK5:AK11,AK13:AK17)</f>
        <v>1330.7800000000002</v>
      </c>
      <c r="AL18" s="293"/>
      <c r="AM18" s="167"/>
      <c r="AN18" s="167"/>
      <c r="AO18" s="294"/>
      <c r="AP18" s="409">
        <f>SUM(AP5:AP11,AP13:AP17)</f>
        <v>1473.3959999999997</v>
      </c>
      <c r="AQ18" s="293"/>
      <c r="AR18" s="167"/>
      <c r="AS18" s="167"/>
      <c r="AT18" s="294"/>
      <c r="AU18" s="409">
        <f>SUM(AU5:AU11,AU13:AU17)</f>
        <v>1307.1120000000001</v>
      </c>
      <c r="AV18" s="293"/>
      <c r="AW18" s="167"/>
      <c r="AX18" s="167"/>
      <c r="AY18" s="294"/>
      <c r="AZ18" s="409">
        <f>SUM(AZ5:AZ11,AZ13:AZ17)</f>
        <v>2127.4390369841826</v>
      </c>
      <c r="BA18" s="293"/>
      <c r="BB18" s="167"/>
      <c r="BC18" s="167"/>
      <c r="BD18" s="294"/>
      <c r="BE18" s="409">
        <f>SUM(BE5:BE11,BE13:BE17)</f>
        <v>2398.0725913414285</v>
      </c>
      <c r="BF18" s="293"/>
      <c r="BG18" s="167"/>
      <c r="BH18" s="167"/>
      <c r="BI18" s="294"/>
      <c r="BJ18" s="409">
        <f>SUM(BJ5:BJ11,BJ13:BJ17)</f>
        <v>2810.9471767149694</v>
      </c>
      <c r="BK18" s="836"/>
      <c r="BL18" s="836"/>
      <c r="BM18" s="836"/>
      <c r="BN18" s="836"/>
      <c r="BO18" s="409">
        <f t="shared" ref="BO18:DH18" si="4">SUM(BO5:BO11,BO13:BO17)</f>
        <v>3333.9535475751168</v>
      </c>
      <c r="BP18" s="125">
        <f t="shared" si="4"/>
        <v>0</v>
      </c>
      <c r="BQ18" s="125">
        <f t="shared" si="4"/>
        <v>0</v>
      </c>
      <c r="BR18" s="125">
        <f t="shared" si="4"/>
        <v>0</v>
      </c>
      <c r="BS18" s="125">
        <f t="shared" si="4"/>
        <v>0</v>
      </c>
      <c r="BT18" s="409">
        <f t="shared" si="4"/>
        <v>3875.8861702740896</v>
      </c>
      <c r="BU18" s="125">
        <f t="shared" si="4"/>
        <v>0</v>
      </c>
      <c r="BV18" s="125">
        <f t="shared" si="4"/>
        <v>0</v>
      </c>
      <c r="BW18" s="125">
        <f t="shared" si="4"/>
        <v>0</v>
      </c>
      <c r="BX18" s="125">
        <f t="shared" si="4"/>
        <v>0</v>
      </c>
      <c r="BY18" s="409">
        <f t="shared" si="4"/>
        <v>4321.7444717444087</v>
      </c>
      <c r="BZ18" s="125">
        <f t="shared" si="4"/>
        <v>0</v>
      </c>
      <c r="CA18" s="125">
        <f t="shared" si="4"/>
        <v>0</v>
      </c>
      <c r="CB18" s="125">
        <f t="shared" si="4"/>
        <v>0</v>
      </c>
      <c r="CC18" s="125">
        <f t="shared" si="4"/>
        <v>0</v>
      </c>
      <c r="CD18" s="409">
        <f t="shared" si="4"/>
        <v>4728.8814842677448</v>
      </c>
      <c r="CE18" s="125">
        <f t="shared" si="4"/>
        <v>0</v>
      </c>
      <c r="CF18" s="125">
        <f t="shared" si="4"/>
        <v>0</v>
      </c>
      <c r="CG18" s="125">
        <f t="shared" si="4"/>
        <v>0</v>
      </c>
      <c r="CH18" s="125">
        <f t="shared" si="4"/>
        <v>0</v>
      </c>
      <c r="CI18" s="409">
        <f t="shared" si="4"/>
        <v>5202.9124185915152</v>
      </c>
      <c r="CJ18" s="125">
        <f t="shared" si="4"/>
        <v>0</v>
      </c>
      <c r="CK18" s="125">
        <f t="shared" si="4"/>
        <v>0</v>
      </c>
      <c r="CL18" s="125">
        <f t="shared" si="4"/>
        <v>0</v>
      </c>
      <c r="CM18" s="125">
        <f t="shared" si="4"/>
        <v>0</v>
      </c>
      <c r="CN18" s="409">
        <f t="shared" si="4"/>
        <v>5398.2512163539868</v>
      </c>
      <c r="CO18" s="125">
        <f t="shared" si="4"/>
        <v>0</v>
      </c>
      <c r="CP18" s="125">
        <f t="shared" si="4"/>
        <v>0</v>
      </c>
      <c r="CQ18" s="125">
        <f t="shared" si="4"/>
        <v>0</v>
      </c>
      <c r="CR18" s="125">
        <f t="shared" si="4"/>
        <v>0</v>
      </c>
      <c r="CS18" s="409">
        <f t="shared" si="4"/>
        <v>5298.804370497377</v>
      </c>
      <c r="CT18" s="125">
        <f t="shared" si="4"/>
        <v>0</v>
      </c>
      <c r="CU18" s="125">
        <f t="shared" si="4"/>
        <v>0</v>
      </c>
      <c r="CV18" s="125">
        <f t="shared" si="4"/>
        <v>0</v>
      </c>
      <c r="CW18" s="125">
        <f t="shared" si="4"/>
        <v>0</v>
      </c>
      <c r="CX18" s="409">
        <f t="shared" si="4"/>
        <v>5539.952661888351</v>
      </c>
      <c r="CY18" s="125">
        <f t="shared" si="4"/>
        <v>0</v>
      </c>
      <c r="CZ18" s="125">
        <f t="shared" si="4"/>
        <v>0</v>
      </c>
      <c r="DA18" s="125">
        <f t="shared" si="4"/>
        <v>0</v>
      </c>
      <c r="DB18" s="125">
        <f t="shared" si="4"/>
        <v>0</v>
      </c>
      <c r="DC18" s="409">
        <f t="shared" si="4"/>
        <v>5254.4953867213371</v>
      </c>
      <c r="DD18" s="125">
        <f t="shared" si="4"/>
        <v>0</v>
      </c>
      <c r="DE18" s="125">
        <f t="shared" si="4"/>
        <v>0</v>
      </c>
      <c r="DF18" s="125">
        <f t="shared" si="4"/>
        <v>0</v>
      </c>
      <c r="DG18" s="125">
        <f t="shared" si="4"/>
        <v>0</v>
      </c>
      <c r="DH18" s="409">
        <f t="shared" si="4"/>
        <v>5253.1110656251603</v>
      </c>
    </row>
    <row r="19" spans="1:112" ht="15.75" customHeight="1">
      <c r="C19" s="283"/>
      <c r="D19" s="143"/>
      <c r="E19" s="143"/>
      <c r="F19" s="284"/>
      <c r="G19" s="177"/>
      <c r="H19" s="285"/>
      <c r="I19" s="154"/>
      <c r="J19" s="154"/>
      <c r="K19" s="286"/>
      <c r="L19" s="177"/>
      <c r="M19" s="285"/>
      <c r="N19" s="154"/>
      <c r="O19" s="154"/>
      <c r="P19" s="286"/>
      <c r="Q19" s="177"/>
      <c r="R19" s="285"/>
      <c r="S19" s="154"/>
      <c r="T19" s="154"/>
      <c r="U19" s="286"/>
      <c r="V19" s="177"/>
      <c r="W19" s="285"/>
      <c r="X19" s="154"/>
      <c r="Y19" s="154"/>
      <c r="Z19" s="286"/>
      <c r="AA19" s="177"/>
      <c r="AB19" s="285"/>
      <c r="AC19" s="154"/>
      <c r="AD19" s="154"/>
      <c r="AE19" s="286"/>
      <c r="AF19" s="177"/>
      <c r="AG19" s="285"/>
      <c r="AH19" s="154"/>
      <c r="AI19" s="154"/>
      <c r="AJ19" s="286"/>
      <c r="AK19" s="177"/>
      <c r="AL19" s="285"/>
      <c r="AM19" s="154"/>
      <c r="AN19" s="154"/>
      <c r="AO19" s="286"/>
      <c r="AP19" s="177"/>
      <c r="AQ19" s="285"/>
      <c r="AR19" s="154"/>
      <c r="AS19" s="154"/>
      <c r="AT19" s="286"/>
      <c r="AU19" s="177"/>
      <c r="AV19" s="285"/>
      <c r="AW19" s="154"/>
      <c r="AX19" s="154"/>
      <c r="AY19" s="286"/>
      <c r="AZ19" s="177"/>
      <c r="BA19" s="285"/>
      <c r="BB19" s="154"/>
      <c r="BC19" s="154"/>
      <c r="BD19" s="286"/>
      <c r="BE19" s="177"/>
      <c r="BF19" s="285"/>
      <c r="BG19" s="154"/>
      <c r="BH19" s="154"/>
      <c r="BI19" s="286"/>
      <c r="BJ19" s="177"/>
      <c r="BK19" s="177"/>
      <c r="BL19" s="177"/>
      <c r="BM19" s="177"/>
      <c r="BN19" s="177"/>
      <c r="BO19" s="177"/>
      <c r="BT19" s="177"/>
      <c r="BY19" s="177"/>
      <c r="CD19" s="177"/>
      <c r="CI19" s="177"/>
      <c r="CN19" s="177"/>
      <c r="CS19" s="177"/>
      <c r="CX19" s="177"/>
      <c r="DC19" s="177"/>
      <c r="DH19" s="177"/>
    </row>
    <row r="20" spans="1:112" ht="15.75" customHeight="1">
      <c r="B20" s="132" t="s">
        <v>80</v>
      </c>
      <c r="C20" s="283"/>
      <c r="D20" s="143"/>
      <c r="E20" s="143"/>
      <c r="F20" s="284"/>
      <c r="G20" s="177"/>
      <c r="H20" s="285"/>
      <c r="I20" s="154"/>
      <c r="J20" s="154"/>
      <c r="K20" s="286"/>
      <c r="L20" s="177"/>
      <c r="M20" s="285"/>
      <c r="N20" s="154"/>
      <c r="O20" s="154"/>
      <c r="P20" s="286"/>
      <c r="Q20" s="177"/>
      <c r="R20" s="285"/>
      <c r="S20" s="154"/>
      <c r="T20" s="154"/>
      <c r="U20" s="286"/>
      <c r="V20" s="177"/>
      <c r="W20" s="285"/>
      <c r="X20" s="154"/>
      <c r="Y20" s="154"/>
      <c r="Z20" s="286"/>
      <c r="AA20" s="177"/>
      <c r="AB20" s="285"/>
      <c r="AC20" s="154"/>
      <c r="AD20" s="154"/>
      <c r="AE20" s="286"/>
      <c r="AF20" s="177"/>
      <c r="AG20" s="285"/>
      <c r="AH20" s="154"/>
      <c r="AI20" s="154"/>
      <c r="AJ20" s="286"/>
      <c r="AK20" s="177"/>
      <c r="AL20" s="285"/>
      <c r="AM20" s="154"/>
      <c r="AN20" s="154"/>
      <c r="AO20" s="286"/>
      <c r="AP20" s="177"/>
      <c r="AQ20" s="285"/>
      <c r="AR20" s="154"/>
      <c r="AS20" s="154"/>
      <c r="AT20" s="286"/>
      <c r="AU20" s="177"/>
      <c r="AV20" s="285"/>
      <c r="AW20" s="154"/>
      <c r="AX20" s="154"/>
      <c r="AY20" s="286"/>
      <c r="AZ20" s="177"/>
      <c r="BA20" s="285"/>
      <c r="BB20" s="154"/>
      <c r="BC20" s="154"/>
      <c r="BD20" s="286"/>
      <c r="BE20" s="177"/>
      <c r="BF20" s="285"/>
      <c r="BG20" s="154"/>
      <c r="BH20" s="154"/>
      <c r="BI20" s="286"/>
      <c r="BJ20" s="177"/>
      <c r="BK20" s="177"/>
      <c r="BL20" s="177"/>
      <c r="BM20" s="177"/>
      <c r="BN20" s="177"/>
      <c r="BO20" s="177"/>
      <c r="BT20" s="177"/>
      <c r="BY20" s="177"/>
      <c r="CD20" s="177"/>
      <c r="CI20" s="177"/>
      <c r="CN20" s="177"/>
      <c r="CS20" s="177"/>
      <c r="CX20" s="177"/>
      <c r="DC20" s="177"/>
      <c r="DH20" s="177"/>
    </row>
    <row r="21" spans="1:112" ht="15.75" customHeight="1">
      <c r="B21" s="243" t="s">
        <v>91</v>
      </c>
      <c r="C21" s="283"/>
      <c r="D21" s="143"/>
      <c r="E21" s="143"/>
      <c r="F21" s="284"/>
      <c r="G21" s="410">
        <v>-199.99700000000001</v>
      </c>
      <c r="H21" s="411">
        <v>-12.824999999999999</v>
      </c>
      <c r="I21" s="407">
        <f>-114.849-H21</f>
        <v>-102.024</v>
      </c>
      <c r="J21" s="407">
        <f>-175.005-H21-I21</f>
        <v>-60.156000000000006</v>
      </c>
      <c r="K21" s="412">
        <f>L21-H21-I21-J21</f>
        <v>-430.11899999999997</v>
      </c>
      <c r="L21" s="410">
        <v>-605.12400000000002</v>
      </c>
      <c r="M21" s="411">
        <v>-38.921999999999997</v>
      </c>
      <c r="N21" s="407">
        <f>-214.929-M21</f>
        <v>-176.00700000000001</v>
      </c>
      <c r="O21" s="407">
        <f>-312.622-M21-N21</f>
        <v>-97.69300000000004</v>
      </c>
      <c r="P21" s="412"/>
      <c r="Q21" s="410">
        <v>-240.39099999999999</v>
      </c>
      <c r="R21" s="411"/>
      <c r="S21" s="407"/>
      <c r="T21" s="407"/>
      <c r="U21" s="412"/>
      <c r="V21" s="410">
        <v>-470.39299999999997</v>
      </c>
      <c r="W21" s="285"/>
      <c r="X21" s="154"/>
      <c r="Y21" s="154"/>
      <c r="Z21" s="286"/>
      <c r="AA21" s="410">
        <v>-577.27800000000002</v>
      </c>
      <c r="AB21" s="285"/>
      <c r="AC21" s="154"/>
      <c r="AD21" s="154"/>
      <c r="AE21" s="286"/>
      <c r="AF21" s="410">
        <v>-564.18799999999999</v>
      </c>
      <c r="AG21" s="285"/>
      <c r="AH21" s="154"/>
      <c r="AI21" s="154"/>
      <c r="AJ21" s="286"/>
      <c r="AK21" s="410">
        <v>-557.10500000000002</v>
      </c>
      <c r="AL21" s="285"/>
      <c r="AM21" s="154"/>
      <c r="AN21" s="154"/>
      <c r="AO21" s="286"/>
      <c r="AP21" s="410">
        <v>-809.41899999999998</v>
      </c>
      <c r="AQ21" s="285"/>
      <c r="AR21" s="154"/>
      <c r="AS21" s="154"/>
      <c r="AT21" s="286"/>
      <c r="AU21" s="410">
        <v>-1277.1400000000001</v>
      </c>
      <c r="AV21" s="285"/>
      <c r="AW21" s="154"/>
      <c r="AX21" s="154"/>
      <c r="AY21" s="286"/>
      <c r="AZ21" s="182">
        <v>0</v>
      </c>
      <c r="BA21" s="285"/>
      <c r="BB21" s="154"/>
      <c r="BC21" s="154"/>
      <c r="BD21" s="286"/>
      <c r="BE21" s="182">
        <f>AZ21</f>
        <v>0</v>
      </c>
      <c r="BF21" s="285"/>
      <c r="BG21" s="154"/>
      <c r="BH21" s="154"/>
      <c r="BI21" s="286"/>
      <c r="BJ21" s="182">
        <f>BE21</f>
        <v>0</v>
      </c>
      <c r="BK21" s="182"/>
      <c r="BL21" s="182"/>
      <c r="BM21" s="182"/>
      <c r="BN21" s="182"/>
      <c r="BO21" s="182">
        <f t="shared" ref="BO21:DH21" si="5">BJ21</f>
        <v>0</v>
      </c>
      <c r="BP21" s="125">
        <f t="shared" si="5"/>
        <v>0</v>
      </c>
      <c r="BQ21" s="125">
        <f t="shared" si="5"/>
        <v>0</v>
      </c>
      <c r="BR21" s="125">
        <f t="shared" si="5"/>
        <v>0</v>
      </c>
      <c r="BS21" s="125">
        <f t="shared" si="5"/>
        <v>0</v>
      </c>
      <c r="BT21" s="182">
        <f t="shared" si="5"/>
        <v>0</v>
      </c>
      <c r="BU21" s="125">
        <f t="shared" si="5"/>
        <v>0</v>
      </c>
      <c r="BV21" s="125">
        <f t="shared" si="5"/>
        <v>0</v>
      </c>
      <c r="BW21" s="125">
        <f t="shared" si="5"/>
        <v>0</v>
      </c>
      <c r="BX21" s="125">
        <f t="shared" si="5"/>
        <v>0</v>
      </c>
      <c r="BY21" s="182">
        <f t="shared" si="5"/>
        <v>0</v>
      </c>
      <c r="BZ21" s="125">
        <f t="shared" si="5"/>
        <v>0</v>
      </c>
      <c r="CA21" s="125">
        <f t="shared" si="5"/>
        <v>0</v>
      </c>
      <c r="CB21" s="125">
        <f t="shared" si="5"/>
        <v>0</v>
      </c>
      <c r="CC21" s="125">
        <f t="shared" si="5"/>
        <v>0</v>
      </c>
      <c r="CD21" s="182">
        <f t="shared" si="5"/>
        <v>0</v>
      </c>
      <c r="CE21" s="125">
        <f t="shared" si="5"/>
        <v>0</v>
      </c>
      <c r="CF21" s="125">
        <f t="shared" si="5"/>
        <v>0</v>
      </c>
      <c r="CG21" s="125">
        <f t="shared" si="5"/>
        <v>0</v>
      </c>
      <c r="CH21" s="125">
        <f t="shared" si="5"/>
        <v>0</v>
      </c>
      <c r="CI21" s="182">
        <f t="shared" si="5"/>
        <v>0</v>
      </c>
      <c r="CJ21" s="125">
        <f t="shared" si="5"/>
        <v>0</v>
      </c>
      <c r="CK21" s="125">
        <f t="shared" si="5"/>
        <v>0</v>
      </c>
      <c r="CL21" s="125">
        <f t="shared" si="5"/>
        <v>0</v>
      </c>
      <c r="CM21" s="125">
        <f t="shared" si="5"/>
        <v>0</v>
      </c>
      <c r="CN21" s="182">
        <f t="shared" si="5"/>
        <v>0</v>
      </c>
      <c r="CO21" s="125">
        <f t="shared" si="5"/>
        <v>0</v>
      </c>
      <c r="CP21" s="125">
        <f t="shared" si="5"/>
        <v>0</v>
      </c>
      <c r="CQ21" s="125">
        <f t="shared" si="5"/>
        <v>0</v>
      </c>
      <c r="CR21" s="125">
        <f t="shared" si="5"/>
        <v>0</v>
      </c>
      <c r="CS21" s="182">
        <f t="shared" si="5"/>
        <v>0</v>
      </c>
      <c r="CT21" s="125">
        <f t="shared" si="5"/>
        <v>0</v>
      </c>
      <c r="CU21" s="125">
        <f t="shared" si="5"/>
        <v>0</v>
      </c>
      <c r="CV21" s="125">
        <f t="shared" si="5"/>
        <v>0</v>
      </c>
      <c r="CW21" s="125">
        <f t="shared" si="5"/>
        <v>0</v>
      </c>
      <c r="CX21" s="182">
        <f t="shared" si="5"/>
        <v>0</v>
      </c>
      <c r="CY21" s="125">
        <f t="shared" si="5"/>
        <v>0</v>
      </c>
      <c r="CZ21" s="125">
        <f t="shared" si="5"/>
        <v>0</v>
      </c>
      <c r="DA21" s="125">
        <f t="shared" si="5"/>
        <v>0</v>
      </c>
      <c r="DB21" s="125">
        <f t="shared" si="5"/>
        <v>0</v>
      </c>
      <c r="DC21" s="182">
        <f t="shared" si="5"/>
        <v>0</v>
      </c>
      <c r="DD21" s="125">
        <f t="shared" si="5"/>
        <v>0</v>
      </c>
      <c r="DE21" s="125">
        <f t="shared" si="5"/>
        <v>0</v>
      </c>
      <c r="DF21" s="125">
        <f t="shared" si="5"/>
        <v>0</v>
      </c>
      <c r="DG21" s="125">
        <f t="shared" si="5"/>
        <v>0</v>
      </c>
      <c r="DH21" s="182">
        <f t="shared" si="5"/>
        <v>0</v>
      </c>
    </row>
    <row r="22" spans="1:112" ht="15.75" customHeight="1">
      <c r="B22" s="243" t="s">
        <v>92</v>
      </c>
      <c r="C22" s="283"/>
      <c r="D22" s="143"/>
      <c r="E22" s="143"/>
      <c r="F22" s="284"/>
      <c r="G22" s="410">
        <v>297.411</v>
      </c>
      <c r="H22" s="411">
        <v>37.265999999999998</v>
      </c>
      <c r="I22" s="407">
        <f>78.265-H22</f>
        <v>40.999000000000002</v>
      </c>
      <c r="J22" s="407">
        <f>148.189-H22-I22</f>
        <v>69.924000000000007</v>
      </c>
      <c r="K22" s="412">
        <f>L22-H22-I22-J22</f>
        <v>125.53400000000002</v>
      </c>
      <c r="L22" s="410">
        <v>273.72300000000001</v>
      </c>
      <c r="M22" s="411">
        <v>77.572999999999993</v>
      </c>
      <c r="N22" s="407">
        <f>147.3-M22</f>
        <v>69.727000000000018</v>
      </c>
      <c r="O22" s="407">
        <f>234.056-M22-N22</f>
        <v>86.755999999999986</v>
      </c>
      <c r="P22" s="412"/>
      <c r="Q22" s="410">
        <v>426.35599999999999</v>
      </c>
      <c r="R22" s="411"/>
      <c r="S22" s="407"/>
      <c r="T22" s="407"/>
      <c r="U22" s="412"/>
      <c r="V22" s="410">
        <v>439.209</v>
      </c>
      <c r="W22" s="285"/>
      <c r="X22" s="154"/>
      <c r="Y22" s="154"/>
      <c r="Z22" s="286"/>
      <c r="AA22" s="410">
        <v>378.14600000000002</v>
      </c>
      <c r="AB22" s="285"/>
      <c r="AC22" s="154"/>
      <c r="AD22" s="154"/>
      <c r="AE22" s="286"/>
      <c r="AF22" s="410">
        <v>476.41699999999997</v>
      </c>
      <c r="AG22" s="285"/>
      <c r="AH22" s="154"/>
      <c r="AI22" s="154"/>
      <c r="AJ22" s="286"/>
      <c r="AK22" s="410">
        <v>327.43700000000001</v>
      </c>
      <c r="AL22" s="285"/>
      <c r="AM22" s="154"/>
      <c r="AN22" s="154"/>
      <c r="AO22" s="286"/>
      <c r="AP22" s="410">
        <v>274.45600000000002</v>
      </c>
      <c r="AQ22" s="285"/>
      <c r="AR22" s="154"/>
      <c r="AS22" s="154"/>
      <c r="AT22" s="286"/>
      <c r="AU22" s="410">
        <v>544.58399999999995</v>
      </c>
      <c r="AV22" s="285"/>
      <c r="AW22" s="154"/>
      <c r="AX22" s="154"/>
      <c r="AY22" s="286"/>
      <c r="AZ22" s="182">
        <f>BS!AU5-BS!AZ5</f>
        <v>0</v>
      </c>
      <c r="BA22" s="285"/>
      <c r="BB22" s="154"/>
      <c r="BC22" s="154"/>
      <c r="BD22" s="286"/>
      <c r="BE22" s="182">
        <f>BS!AZ5-BS!BE5</f>
        <v>0</v>
      </c>
      <c r="BF22" s="285"/>
      <c r="BG22" s="154"/>
      <c r="BH22" s="154"/>
      <c r="BI22" s="286"/>
      <c r="BJ22" s="182">
        <f>BS!BE5-BS!BJ5</f>
        <v>0</v>
      </c>
      <c r="BK22" s="182"/>
      <c r="BL22" s="182"/>
      <c r="BM22" s="182"/>
      <c r="BN22" s="182"/>
      <c r="BO22" s="182">
        <f>BS!BJ5-BS!BO5</f>
        <v>0</v>
      </c>
      <c r="BP22" s="125">
        <f>BS!BK5-BS!BP5</f>
        <v>0</v>
      </c>
      <c r="BQ22" s="125">
        <f>BS!BL5-BS!BQ5</f>
        <v>0</v>
      </c>
      <c r="BR22" s="125">
        <f>BS!BM5-BS!BR5</f>
        <v>0</v>
      </c>
      <c r="BS22" s="125">
        <f>BS!BN5-BS!BS5</f>
        <v>0</v>
      </c>
      <c r="BT22" s="182">
        <f>BS!BO5-BS!BT5</f>
        <v>0</v>
      </c>
      <c r="BU22" s="125">
        <f>BS!BP5-BS!BU5</f>
        <v>0</v>
      </c>
      <c r="BV22" s="125">
        <f>BS!BQ5-BS!BV5</f>
        <v>0</v>
      </c>
      <c r="BW22" s="125">
        <f>BS!BR5-BS!BW5</f>
        <v>0</v>
      </c>
      <c r="BX22" s="125">
        <f>BS!BS5-BS!BX5</f>
        <v>0</v>
      </c>
      <c r="BY22" s="182">
        <f>BS!BT5-BS!BY5</f>
        <v>0</v>
      </c>
      <c r="BZ22" s="125">
        <f>BS!BU5-BS!BZ5</f>
        <v>0</v>
      </c>
      <c r="CA22" s="125">
        <f>BS!BV5-BS!CA5</f>
        <v>0</v>
      </c>
      <c r="CB22" s="125">
        <f>BS!BW5-BS!CB5</f>
        <v>0</v>
      </c>
      <c r="CC22" s="125">
        <f>BS!BX5-BS!CC5</f>
        <v>0</v>
      </c>
      <c r="CD22" s="182">
        <f>BS!BY5-BS!CD5</f>
        <v>0</v>
      </c>
      <c r="CE22" s="125">
        <f>BS!BZ5-BS!CE5</f>
        <v>0</v>
      </c>
      <c r="CF22" s="125">
        <f>BS!CA5-BS!CF5</f>
        <v>0</v>
      </c>
      <c r="CG22" s="125">
        <f>BS!CB5-BS!CG5</f>
        <v>0</v>
      </c>
      <c r="CH22" s="125">
        <f>BS!CC5-BS!CH5</f>
        <v>0</v>
      </c>
      <c r="CI22" s="182">
        <f>BS!CD5-BS!CI5</f>
        <v>0</v>
      </c>
      <c r="CJ22" s="125">
        <f>BS!CE5-BS!CJ5</f>
        <v>0</v>
      </c>
      <c r="CK22" s="125">
        <f>BS!CF5-BS!CK5</f>
        <v>0</v>
      </c>
      <c r="CL22" s="125">
        <f>BS!CG5-BS!CL5</f>
        <v>0</v>
      </c>
      <c r="CM22" s="125">
        <f>BS!CH5-BS!CM5</f>
        <v>0</v>
      </c>
      <c r="CN22" s="182">
        <f>BS!CI5-BS!CN5</f>
        <v>0</v>
      </c>
      <c r="CO22" s="125">
        <f>BS!CJ5-BS!CO5</f>
        <v>0</v>
      </c>
      <c r="CP22" s="125">
        <f>BS!CK5-BS!CP5</f>
        <v>0</v>
      </c>
      <c r="CQ22" s="125">
        <f>BS!CL5-BS!CQ5</f>
        <v>0</v>
      </c>
      <c r="CR22" s="125">
        <f>BS!CM5-BS!CR5</f>
        <v>0</v>
      </c>
      <c r="CS22" s="182">
        <f>BS!CN5-BS!CS5</f>
        <v>0</v>
      </c>
      <c r="CT22" s="125">
        <f>BS!CO5-BS!CT5</f>
        <v>0</v>
      </c>
      <c r="CU22" s="125">
        <f>BS!CP5-BS!CU5</f>
        <v>0</v>
      </c>
      <c r="CV22" s="125">
        <f>BS!CQ5-BS!CV5</f>
        <v>0</v>
      </c>
      <c r="CW22" s="125">
        <f>BS!CR5-BS!CW5</f>
        <v>0</v>
      </c>
      <c r="CX22" s="182">
        <f>BS!CS5-BS!CX5</f>
        <v>0</v>
      </c>
      <c r="CY22" s="125">
        <f>BS!CT5-BS!CY5</f>
        <v>0</v>
      </c>
      <c r="CZ22" s="125">
        <f>BS!CU5-BS!CZ5</f>
        <v>0</v>
      </c>
      <c r="DA22" s="125">
        <f>BS!CV5-BS!DA5</f>
        <v>0</v>
      </c>
      <c r="DB22" s="125">
        <f>BS!CW5-BS!DB5</f>
        <v>0</v>
      </c>
      <c r="DC22" s="182">
        <f>BS!CX5-BS!DC5</f>
        <v>0</v>
      </c>
      <c r="DD22" s="125">
        <f>BS!CY5-BS!DD5</f>
        <v>0</v>
      </c>
      <c r="DE22" s="125">
        <f>BS!CZ5-BS!DE5</f>
        <v>0</v>
      </c>
      <c r="DF22" s="125">
        <f>BS!DA5-BS!DF5</f>
        <v>0</v>
      </c>
      <c r="DG22" s="125">
        <f>BS!DB5-BS!DG5</f>
        <v>0</v>
      </c>
      <c r="DH22" s="182">
        <f>BS!DC5-BS!DH5</f>
        <v>0</v>
      </c>
    </row>
    <row r="23" spans="1:112" ht="15.75" customHeight="1">
      <c r="B23" s="184" t="s">
        <v>250</v>
      </c>
      <c r="C23" s="283"/>
      <c r="D23" s="143"/>
      <c r="E23" s="143"/>
      <c r="F23" s="284"/>
      <c r="G23" s="410">
        <v>0.05</v>
      </c>
      <c r="H23" s="411">
        <v>0</v>
      </c>
      <c r="I23" s="407">
        <v>0</v>
      </c>
      <c r="J23" s="407">
        <v>0</v>
      </c>
      <c r="K23" s="412">
        <f>L23-H23-I23-J23</f>
        <v>-5.9409999999999998</v>
      </c>
      <c r="L23" s="410">
        <v>-5.9409999999999998</v>
      </c>
      <c r="M23" s="411">
        <v>0</v>
      </c>
      <c r="N23" s="407">
        <f>0-M23</f>
        <v>0</v>
      </c>
      <c r="O23" s="407">
        <f>0-M23-N23</f>
        <v>0</v>
      </c>
      <c r="P23" s="412"/>
      <c r="Q23" s="410">
        <v>-0.27700000000000002</v>
      </c>
      <c r="R23" s="411"/>
      <c r="S23" s="407"/>
      <c r="T23" s="407"/>
      <c r="U23" s="412"/>
      <c r="V23" s="410">
        <v>-0.55200000000000005</v>
      </c>
      <c r="W23" s="285"/>
      <c r="X23" s="154"/>
      <c r="Y23" s="154"/>
      <c r="Z23" s="286"/>
      <c r="AA23" s="410">
        <v>0</v>
      </c>
      <c r="AB23" s="285"/>
      <c r="AC23" s="154"/>
      <c r="AD23" s="154"/>
      <c r="AE23" s="286"/>
      <c r="AF23" s="410">
        <v>0</v>
      </c>
      <c r="AG23" s="285"/>
      <c r="AH23" s="154"/>
      <c r="AI23" s="154"/>
      <c r="AJ23" s="286"/>
      <c r="AK23" s="410">
        <v>0</v>
      </c>
      <c r="AL23" s="285"/>
      <c r="AM23" s="154"/>
      <c r="AN23" s="154"/>
      <c r="AO23" s="286"/>
      <c r="AP23" s="410">
        <v>0</v>
      </c>
      <c r="AQ23" s="285"/>
      <c r="AR23" s="154"/>
      <c r="AS23" s="154"/>
      <c r="AT23" s="286"/>
      <c r="AU23" s="410">
        <v>0</v>
      </c>
      <c r="AV23" s="285"/>
      <c r="AW23" s="154"/>
      <c r="AX23" s="154"/>
      <c r="AY23" s="286"/>
      <c r="AZ23" s="182">
        <f>AU23</f>
        <v>0</v>
      </c>
      <c r="BA23" s="285"/>
      <c r="BB23" s="154"/>
      <c r="BC23" s="154"/>
      <c r="BD23" s="286"/>
      <c r="BE23" s="182">
        <f>AZ23</f>
        <v>0</v>
      </c>
      <c r="BF23" s="285"/>
      <c r="BG23" s="154"/>
      <c r="BH23" s="154"/>
      <c r="BI23" s="286"/>
      <c r="BJ23" s="182">
        <f>BE23</f>
        <v>0</v>
      </c>
      <c r="BK23" s="182"/>
      <c r="BL23" s="182"/>
      <c r="BM23" s="182"/>
      <c r="BN23" s="182"/>
      <c r="BO23" s="182">
        <f t="shared" ref="BO23:DH23" si="6">BJ23</f>
        <v>0</v>
      </c>
      <c r="BP23" s="125">
        <f t="shared" si="6"/>
        <v>0</v>
      </c>
      <c r="BQ23" s="125">
        <f t="shared" si="6"/>
        <v>0</v>
      </c>
      <c r="BR23" s="125">
        <f t="shared" si="6"/>
        <v>0</v>
      </c>
      <c r="BS23" s="125">
        <f t="shared" si="6"/>
        <v>0</v>
      </c>
      <c r="BT23" s="182">
        <f t="shared" si="6"/>
        <v>0</v>
      </c>
      <c r="BU23" s="125">
        <f t="shared" si="6"/>
        <v>0</v>
      </c>
      <c r="BV23" s="125">
        <f t="shared" si="6"/>
        <v>0</v>
      </c>
      <c r="BW23" s="125">
        <f t="shared" si="6"/>
        <v>0</v>
      </c>
      <c r="BX23" s="125">
        <f t="shared" si="6"/>
        <v>0</v>
      </c>
      <c r="BY23" s="182">
        <f t="shared" si="6"/>
        <v>0</v>
      </c>
      <c r="BZ23" s="125">
        <f t="shared" si="6"/>
        <v>0</v>
      </c>
      <c r="CA23" s="125">
        <f t="shared" si="6"/>
        <v>0</v>
      </c>
      <c r="CB23" s="125">
        <f t="shared" si="6"/>
        <v>0</v>
      </c>
      <c r="CC23" s="125">
        <f t="shared" si="6"/>
        <v>0</v>
      </c>
      <c r="CD23" s="182">
        <f t="shared" si="6"/>
        <v>0</v>
      </c>
      <c r="CE23" s="125">
        <f t="shared" si="6"/>
        <v>0</v>
      </c>
      <c r="CF23" s="125">
        <f t="shared" si="6"/>
        <v>0</v>
      </c>
      <c r="CG23" s="125">
        <f t="shared" si="6"/>
        <v>0</v>
      </c>
      <c r="CH23" s="125">
        <f t="shared" si="6"/>
        <v>0</v>
      </c>
      <c r="CI23" s="182">
        <f t="shared" si="6"/>
        <v>0</v>
      </c>
      <c r="CJ23" s="125">
        <f t="shared" si="6"/>
        <v>0</v>
      </c>
      <c r="CK23" s="125">
        <f t="shared" si="6"/>
        <v>0</v>
      </c>
      <c r="CL23" s="125">
        <f t="shared" si="6"/>
        <v>0</v>
      </c>
      <c r="CM23" s="125">
        <f t="shared" si="6"/>
        <v>0</v>
      </c>
      <c r="CN23" s="182">
        <f t="shared" si="6"/>
        <v>0</v>
      </c>
      <c r="CO23" s="125">
        <f t="shared" si="6"/>
        <v>0</v>
      </c>
      <c r="CP23" s="125">
        <f t="shared" si="6"/>
        <v>0</v>
      </c>
      <c r="CQ23" s="125">
        <f t="shared" si="6"/>
        <v>0</v>
      </c>
      <c r="CR23" s="125">
        <f t="shared" si="6"/>
        <v>0</v>
      </c>
      <c r="CS23" s="182">
        <f t="shared" si="6"/>
        <v>0</v>
      </c>
      <c r="CT23" s="125">
        <f t="shared" si="6"/>
        <v>0</v>
      </c>
      <c r="CU23" s="125">
        <f t="shared" si="6"/>
        <v>0</v>
      </c>
      <c r="CV23" s="125">
        <f t="shared" si="6"/>
        <v>0</v>
      </c>
      <c r="CW23" s="125">
        <f t="shared" si="6"/>
        <v>0</v>
      </c>
      <c r="CX23" s="182">
        <f t="shared" si="6"/>
        <v>0</v>
      </c>
      <c r="CY23" s="125">
        <f t="shared" si="6"/>
        <v>0</v>
      </c>
      <c r="CZ23" s="125">
        <f t="shared" si="6"/>
        <v>0</v>
      </c>
      <c r="DA23" s="125">
        <f t="shared" si="6"/>
        <v>0</v>
      </c>
      <c r="DB23" s="125">
        <f t="shared" si="6"/>
        <v>0</v>
      </c>
      <c r="DC23" s="182">
        <f t="shared" si="6"/>
        <v>0</v>
      </c>
      <c r="DD23" s="125">
        <f t="shared" si="6"/>
        <v>0</v>
      </c>
      <c r="DE23" s="125">
        <f t="shared" si="6"/>
        <v>0</v>
      </c>
      <c r="DF23" s="125">
        <f t="shared" si="6"/>
        <v>0</v>
      </c>
      <c r="DG23" s="125">
        <f t="shared" si="6"/>
        <v>0</v>
      </c>
      <c r="DH23" s="182">
        <f t="shared" si="6"/>
        <v>0</v>
      </c>
    </row>
    <row r="24" spans="1:112" ht="15.75" customHeight="1">
      <c r="B24" s="243" t="s">
        <v>79</v>
      </c>
      <c r="C24" s="283"/>
      <c r="D24" s="143"/>
      <c r="E24" s="143"/>
      <c r="F24" s="284"/>
      <c r="G24" s="410">
        <v>-97.317999999999998</v>
      </c>
      <c r="H24" s="411">
        <v>-0.44</v>
      </c>
      <c r="I24" s="407">
        <f>-1.735-H24</f>
        <v>-1.2950000000000002</v>
      </c>
      <c r="J24" s="407">
        <f>-2.632-H24-I24</f>
        <v>-0.89700000000000002</v>
      </c>
      <c r="K24" s="412">
        <f>L24-H24-I24-J24</f>
        <v>-97.056999999999988</v>
      </c>
      <c r="L24" s="410">
        <v>-99.688999999999993</v>
      </c>
      <c r="M24" s="411">
        <v>-0.86</v>
      </c>
      <c r="N24" s="407">
        <f>-1.557-M24</f>
        <v>-0.69699999999999995</v>
      </c>
      <c r="O24" s="407">
        <f>-2.118-M24-N24</f>
        <v>-0.56100000000000005</v>
      </c>
      <c r="P24" s="412"/>
      <c r="Q24" s="410">
        <v>-57.216999999999999</v>
      </c>
      <c r="R24" s="411"/>
      <c r="S24" s="407"/>
      <c r="T24" s="407"/>
      <c r="U24" s="412"/>
      <c r="V24" s="410">
        <v>-49.337000000000003</v>
      </c>
      <c r="W24" s="285"/>
      <c r="X24" s="154"/>
      <c r="Y24" s="154"/>
      <c r="Z24" s="286"/>
      <c r="AA24" s="410">
        <v>-156.32300000000001</v>
      </c>
      <c r="AB24" s="285"/>
      <c r="AC24" s="154"/>
      <c r="AD24" s="154"/>
      <c r="AE24" s="286"/>
      <c r="AF24" s="410">
        <v>-333.00599999999997</v>
      </c>
      <c r="AG24" s="285"/>
      <c r="AH24" s="154"/>
      <c r="AI24" s="154"/>
      <c r="AJ24" s="286"/>
      <c r="AK24" s="410">
        <v>-677.93299999999999</v>
      </c>
      <c r="AL24" s="411"/>
      <c r="AM24" s="407"/>
      <c r="AN24" s="407"/>
      <c r="AO24" s="412"/>
      <c r="AP24" s="410">
        <v>-511.94099999999997</v>
      </c>
      <c r="AQ24" s="411"/>
      <c r="AR24" s="407"/>
      <c r="AS24" s="407"/>
      <c r="AT24" s="412"/>
      <c r="AU24" s="410">
        <v>-272.62599999999998</v>
      </c>
      <c r="AV24" s="411"/>
      <c r="AW24" s="407"/>
      <c r="AX24" s="407"/>
      <c r="AY24" s="412"/>
      <c r="AZ24" s="410">
        <f>AU24*1.55</f>
        <v>-422.57029999999997</v>
      </c>
      <c r="BA24" s="285"/>
      <c r="BB24" s="154"/>
      <c r="BC24" s="154"/>
      <c r="BD24" s="286"/>
      <c r="BE24" s="177">
        <f>AZ24*1.02</f>
        <v>-431.02170599999999</v>
      </c>
      <c r="BF24" s="285"/>
      <c r="BG24" s="154"/>
      <c r="BH24" s="154"/>
      <c r="BI24" s="286"/>
      <c r="BJ24" s="177">
        <f t="shared" ref="BJ24:DH24" si="7">BE24*1.02</f>
        <v>-439.64214012000002</v>
      </c>
      <c r="BK24" s="177">
        <f t="shared" si="7"/>
        <v>0</v>
      </c>
      <c r="BL24" s="177">
        <f t="shared" si="7"/>
        <v>0</v>
      </c>
      <c r="BM24" s="177">
        <f t="shared" si="7"/>
        <v>0</v>
      </c>
      <c r="BN24" s="177">
        <f t="shared" si="7"/>
        <v>0</v>
      </c>
      <c r="BO24" s="177">
        <f t="shared" si="7"/>
        <v>-448.43498292240002</v>
      </c>
      <c r="BP24" s="125">
        <f t="shared" si="7"/>
        <v>0</v>
      </c>
      <c r="BQ24" s="125">
        <f t="shared" si="7"/>
        <v>0</v>
      </c>
      <c r="BR24" s="125">
        <f t="shared" si="7"/>
        <v>0</v>
      </c>
      <c r="BS24" s="125">
        <f t="shared" si="7"/>
        <v>0</v>
      </c>
      <c r="BT24" s="177">
        <f t="shared" si="7"/>
        <v>-457.40368258084806</v>
      </c>
      <c r="BU24" s="125">
        <f t="shared" si="7"/>
        <v>0</v>
      </c>
      <c r="BV24" s="125">
        <f t="shared" si="7"/>
        <v>0</v>
      </c>
      <c r="BW24" s="125">
        <f t="shared" si="7"/>
        <v>0</v>
      </c>
      <c r="BX24" s="125">
        <f t="shared" si="7"/>
        <v>0</v>
      </c>
      <c r="BY24" s="177">
        <f t="shared" si="7"/>
        <v>-466.55175623246504</v>
      </c>
      <c r="BZ24" s="125">
        <f t="shared" si="7"/>
        <v>0</v>
      </c>
      <c r="CA24" s="125">
        <f t="shared" si="7"/>
        <v>0</v>
      </c>
      <c r="CB24" s="125">
        <f t="shared" si="7"/>
        <v>0</v>
      </c>
      <c r="CC24" s="125">
        <f t="shared" si="7"/>
        <v>0</v>
      </c>
      <c r="CD24" s="177">
        <f t="shared" si="7"/>
        <v>-475.88279135711434</v>
      </c>
      <c r="CE24" s="125">
        <f t="shared" si="7"/>
        <v>0</v>
      </c>
      <c r="CF24" s="125">
        <f t="shared" si="7"/>
        <v>0</v>
      </c>
      <c r="CG24" s="125">
        <f t="shared" si="7"/>
        <v>0</v>
      </c>
      <c r="CH24" s="125">
        <f t="shared" si="7"/>
        <v>0</v>
      </c>
      <c r="CI24" s="177">
        <f t="shared" si="7"/>
        <v>-485.40044718425662</v>
      </c>
      <c r="CJ24" s="125">
        <f t="shared" si="7"/>
        <v>0</v>
      </c>
      <c r="CK24" s="125">
        <f t="shared" si="7"/>
        <v>0</v>
      </c>
      <c r="CL24" s="125">
        <f t="shared" si="7"/>
        <v>0</v>
      </c>
      <c r="CM24" s="125">
        <f t="shared" si="7"/>
        <v>0</v>
      </c>
      <c r="CN24" s="177">
        <f t="shared" si="7"/>
        <v>-495.10845612794174</v>
      </c>
      <c r="CO24" s="125">
        <f t="shared" si="7"/>
        <v>0</v>
      </c>
      <c r="CP24" s="125">
        <f t="shared" si="7"/>
        <v>0</v>
      </c>
      <c r="CQ24" s="125">
        <f t="shared" si="7"/>
        <v>0</v>
      </c>
      <c r="CR24" s="125">
        <f t="shared" si="7"/>
        <v>0</v>
      </c>
      <c r="CS24" s="177">
        <f t="shared" si="7"/>
        <v>-505.0106252505006</v>
      </c>
      <c r="CT24" s="125">
        <f t="shared" si="7"/>
        <v>0</v>
      </c>
      <c r="CU24" s="125">
        <f t="shared" si="7"/>
        <v>0</v>
      </c>
      <c r="CV24" s="125">
        <f t="shared" si="7"/>
        <v>0</v>
      </c>
      <c r="CW24" s="125">
        <f t="shared" si="7"/>
        <v>0</v>
      </c>
      <c r="CX24" s="177">
        <f t="shared" si="7"/>
        <v>-515.1108377555106</v>
      </c>
      <c r="CY24" s="125">
        <f t="shared" si="7"/>
        <v>0</v>
      </c>
      <c r="CZ24" s="125">
        <f t="shared" si="7"/>
        <v>0</v>
      </c>
      <c r="DA24" s="125">
        <f t="shared" si="7"/>
        <v>0</v>
      </c>
      <c r="DB24" s="125">
        <f t="shared" si="7"/>
        <v>0</v>
      </c>
      <c r="DC24" s="177">
        <f t="shared" si="7"/>
        <v>-525.41305451062078</v>
      </c>
      <c r="DD24" s="125">
        <f t="shared" si="7"/>
        <v>0</v>
      </c>
      <c r="DE24" s="125">
        <f t="shared" si="7"/>
        <v>0</v>
      </c>
      <c r="DF24" s="125">
        <f t="shared" si="7"/>
        <v>0</v>
      </c>
      <c r="DG24" s="125">
        <f t="shared" si="7"/>
        <v>0</v>
      </c>
      <c r="DH24" s="177">
        <f t="shared" si="7"/>
        <v>-535.92131560083317</v>
      </c>
    </row>
    <row r="25" spans="1:112" ht="15.75" customHeight="1">
      <c r="A25" s="282" t="s">
        <v>1</v>
      </c>
      <c r="B25" s="173" t="s">
        <v>83</v>
      </c>
      <c r="C25" s="291"/>
      <c r="D25" s="272"/>
      <c r="E25" s="272"/>
      <c r="F25" s="292"/>
      <c r="G25" s="167">
        <f>SUM(G21:G24)</f>
        <v>0.14599999999998658</v>
      </c>
      <c r="H25" s="293">
        <f t="shared" ref="H25:P25" si="8">SUM(H21:H24)</f>
        <v>24.000999999999998</v>
      </c>
      <c r="I25" s="167">
        <f t="shared" si="8"/>
        <v>-62.32</v>
      </c>
      <c r="J25" s="167">
        <f t="shared" si="8"/>
        <v>8.8710000000000004</v>
      </c>
      <c r="K25" s="294">
        <f t="shared" si="8"/>
        <v>-407.58299999999986</v>
      </c>
      <c r="L25" s="167">
        <f t="shared" si="8"/>
        <v>-437.03099999999995</v>
      </c>
      <c r="M25" s="293">
        <f t="shared" si="8"/>
        <v>37.790999999999997</v>
      </c>
      <c r="N25" s="167">
        <f t="shared" si="8"/>
        <v>-106.97699999999999</v>
      </c>
      <c r="O25" s="167">
        <f t="shared" si="8"/>
        <v>-11.498000000000054</v>
      </c>
      <c r="P25" s="294">
        <f t="shared" si="8"/>
        <v>0</v>
      </c>
      <c r="Q25" s="167">
        <f>SUM(Q21:Q24)</f>
        <v>128.471</v>
      </c>
      <c r="R25" s="293"/>
      <c r="S25" s="167"/>
      <c r="T25" s="167"/>
      <c r="U25" s="294"/>
      <c r="V25" s="167">
        <f>SUM(V21:V24)</f>
        <v>-81.072999999999979</v>
      </c>
      <c r="W25" s="293"/>
      <c r="X25" s="167"/>
      <c r="Y25" s="167"/>
      <c r="Z25" s="294"/>
      <c r="AA25" s="167">
        <f>SUM(AA21:AA24)</f>
        <v>-355.45500000000004</v>
      </c>
      <c r="AB25" s="293"/>
      <c r="AC25" s="167"/>
      <c r="AD25" s="167"/>
      <c r="AE25" s="294"/>
      <c r="AF25" s="167">
        <f>SUM(AF21:AF24)</f>
        <v>-420.77699999999999</v>
      </c>
      <c r="AG25" s="293"/>
      <c r="AH25" s="167"/>
      <c r="AI25" s="167"/>
      <c r="AJ25" s="294"/>
      <c r="AK25" s="167">
        <f>SUM(AK21:AK24)</f>
        <v>-907.601</v>
      </c>
      <c r="AL25" s="293"/>
      <c r="AM25" s="167"/>
      <c r="AN25" s="167"/>
      <c r="AO25" s="294"/>
      <c r="AP25" s="167">
        <f>SUM(AP21:AP24)</f>
        <v>-1046.904</v>
      </c>
      <c r="AQ25" s="293"/>
      <c r="AR25" s="167"/>
      <c r="AS25" s="167"/>
      <c r="AT25" s="294"/>
      <c r="AU25" s="167">
        <f>SUM(AU21:AU24)</f>
        <v>-1005.1820000000001</v>
      </c>
      <c r="AV25" s="293"/>
      <c r="AW25" s="167"/>
      <c r="AX25" s="167"/>
      <c r="AY25" s="294"/>
      <c r="AZ25" s="167">
        <f>SUM(AZ21:AZ24)</f>
        <v>-422.57029999999997</v>
      </c>
      <c r="BA25" s="293"/>
      <c r="BB25" s="167"/>
      <c r="BC25" s="167"/>
      <c r="BD25" s="294"/>
      <c r="BE25" s="167">
        <f>SUM(BE21:BE24)</f>
        <v>-431.02170599999999</v>
      </c>
      <c r="BF25" s="293"/>
      <c r="BG25" s="167"/>
      <c r="BH25" s="167"/>
      <c r="BI25" s="294"/>
      <c r="BJ25" s="167">
        <f>SUM(BJ21:BJ24)</f>
        <v>-439.64214012000002</v>
      </c>
      <c r="BK25" s="1022"/>
      <c r="BL25" s="1022"/>
      <c r="BM25" s="1022"/>
      <c r="BN25" s="1022"/>
      <c r="BO25" s="167">
        <f t="shared" ref="BO25:DH25" si="9">SUM(BO21:BO24)</f>
        <v>-448.43498292240002</v>
      </c>
      <c r="BP25" s="125">
        <f t="shared" si="9"/>
        <v>0</v>
      </c>
      <c r="BQ25" s="125">
        <f t="shared" si="9"/>
        <v>0</v>
      </c>
      <c r="BR25" s="125">
        <f t="shared" si="9"/>
        <v>0</v>
      </c>
      <c r="BS25" s="125">
        <f t="shared" si="9"/>
        <v>0</v>
      </c>
      <c r="BT25" s="167">
        <f t="shared" si="9"/>
        <v>-457.40368258084806</v>
      </c>
      <c r="BU25" s="125">
        <f t="shared" si="9"/>
        <v>0</v>
      </c>
      <c r="BV25" s="125">
        <f t="shared" si="9"/>
        <v>0</v>
      </c>
      <c r="BW25" s="125">
        <f t="shared" si="9"/>
        <v>0</v>
      </c>
      <c r="BX25" s="125">
        <f t="shared" si="9"/>
        <v>0</v>
      </c>
      <c r="BY25" s="167">
        <f t="shared" si="9"/>
        <v>-466.55175623246504</v>
      </c>
      <c r="BZ25" s="125">
        <f t="shared" si="9"/>
        <v>0</v>
      </c>
      <c r="CA25" s="125">
        <f t="shared" si="9"/>
        <v>0</v>
      </c>
      <c r="CB25" s="125">
        <f t="shared" si="9"/>
        <v>0</v>
      </c>
      <c r="CC25" s="125">
        <f t="shared" si="9"/>
        <v>0</v>
      </c>
      <c r="CD25" s="167">
        <f t="shared" si="9"/>
        <v>-475.88279135711434</v>
      </c>
      <c r="CE25" s="125">
        <f t="shared" si="9"/>
        <v>0</v>
      </c>
      <c r="CF25" s="125">
        <f t="shared" si="9"/>
        <v>0</v>
      </c>
      <c r="CG25" s="125">
        <f t="shared" si="9"/>
        <v>0</v>
      </c>
      <c r="CH25" s="125">
        <f t="shared" si="9"/>
        <v>0</v>
      </c>
      <c r="CI25" s="167">
        <f t="shared" si="9"/>
        <v>-485.40044718425662</v>
      </c>
      <c r="CJ25" s="125">
        <f t="shared" si="9"/>
        <v>0</v>
      </c>
      <c r="CK25" s="125">
        <f t="shared" si="9"/>
        <v>0</v>
      </c>
      <c r="CL25" s="125">
        <f t="shared" si="9"/>
        <v>0</v>
      </c>
      <c r="CM25" s="125">
        <f t="shared" si="9"/>
        <v>0</v>
      </c>
      <c r="CN25" s="167">
        <f t="shared" si="9"/>
        <v>-495.10845612794174</v>
      </c>
      <c r="CO25" s="125">
        <f t="shared" si="9"/>
        <v>0</v>
      </c>
      <c r="CP25" s="125">
        <f t="shared" si="9"/>
        <v>0</v>
      </c>
      <c r="CQ25" s="125">
        <f t="shared" si="9"/>
        <v>0</v>
      </c>
      <c r="CR25" s="125">
        <f t="shared" si="9"/>
        <v>0</v>
      </c>
      <c r="CS25" s="167">
        <f t="shared" si="9"/>
        <v>-505.0106252505006</v>
      </c>
      <c r="CT25" s="125">
        <f t="shared" si="9"/>
        <v>0</v>
      </c>
      <c r="CU25" s="125">
        <f t="shared" si="9"/>
        <v>0</v>
      </c>
      <c r="CV25" s="125">
        <f t="shared" si="9"/>
        <v>0</v>
      </c>
      <c r="CW25" s="125">
        <f t="shared" si="9"/>
        <v>0</v>
      </c>
      <c r="CX25" s="167">
        <f t="shared" si="9"/>
        <v>-515.1108377555106</v>
      </c>
      <c r="CY25" s="125">
        <f t="shared" si="9"/>
        <v>0</v>
      </c>
      <c r="CZ25" s="125">
        <f t="shared" si="9"/>
        <v>0</v>
      </c>
      <c r="DA25" s="125">
        <f t="shared" si="9"/>
        <v>0</v>
      </c>
      <c r="DB25" s="125">
        <f t="shared" si="9"/>
        <v>0</v>
      </c>
      <c r="DC25" s="167">
        <f t="shared" si="9"/>
        <v>-525.41305451062078</v>
      </c>
      <c r="DD25" s="125">
        <f t="shared" si="9"/>
        <v>0</v>
      </c>
      <c r="DE25" s="125">
        <f t="shared" si="9"/>
        <v>0</v>
      </c>
      <c r="DF25" s="125">
        <f t="shared" si="9"/>
        <v>0</v>
      </c>
      <c r="DG25" s="125">
        <f t="shared" si="9"/>
        <v>0</v>
      </c>
      <c r="DH25" s="167">
        <f t="shared" si="9"/>
        <v>-535.92131560083317</v>
      </c>
    </row>
    <row r="26" spans="1:112" ht="15.75" customHeight="1">
      <c r="C26" s="283"/>
      <c r="D26" s="143"/>
      <c r="E26" s="143"/>
      <c r="F26" s="284"/>
      <c r="G26" s="177"/>
      <c r="H26" s="285"/>
      <c r="I26" s="154"/>
      <c r="J26" s="154"/>
      <c r="K26" s="286"/>
      <c r="L26" s="177"/>
      <c r="M26" s="285"/>
      <c r="N26" s="154"/>
      <c r="O26" s="154"/>
      <c r="P26" s="286"/>
      <c r="Q26" s="177"/>
      <c r="R26" s="285"/>
      <c r="S26" s="154"/>
      <c r="T26" s="154"/>
      <c r="U26" s="286"/>
      <c r="V26" s="177"/>
      <c r="W26" s="285"/>
      <c r="X26" s="154"/>
      <c r="Y26" s="154"/>
      <c r="Z26" s="286"/>
      <c r="AA26" s="177"/>
      <c r="AB26" s="285"/>
      <c r="AC26" s="154"/>
      <c r="AD26" s="154"/>
      <c r="AE26" s="286"/>
      <c r="AF26" s="177"/>
      <c r="AG26" s="285"/>
      <c r="AH26" s="154"/>
      <c r="AI26" s="154"/>
      <c r="AJ26" s="286"/>
      <c r="AK26" s="177"/>
      <c r="AL26" s="285"/>
      <c r="AM26" s="154"/>
      <c r="AN26" s="154"/>
      <c r="AO26" s="286"/>
      <c r="AP26" s="177"/>
      <c r="AQ26" s="285"/>
      <c r="AR26" s="154"/>
      <c r="AS26" s="154"/>
      <c r="AT26" s="286"/>
      <c r="AU26" s="177"/>
      <c r="AV26" s="285"/>
      <c r="AW26" s="154"/>
      <c r="AX26" s="154"/>
      <c r="AY26" s="286"/>
      <c r="AZ26" s="177"/>
      <c r="BA26" s="285"/>
      <c r="BB26" s="154"/>
      <c r="BC26" s="154"/>
      <c r="BD26" s="286"/>
      <c r="BE26" s="177"/>
      <c r="BF26" s="285"/>
      <c r="BG26" s="154"/>
      <c r="BH26" s="154"/>
      <c r="BI26" s="286"/>
      <c r="BJ26" s="177"/>
      <c r="BK26" s="177"/>
      <c r="BL26" s="177"/>
      <c r="BM26" s="177"/>
      <c r="BN26" s="177"/>
      <c r="BO26" s="177"/>
      <c r="BT26" s="177"/>
      <c r="BY26" s="177"/>
      <c r="CD26" s="177"/>
      <c r="CI26" s="177"/>
      <c r="CN26" s="177"/>
      <c r="CS26" s="177"/>
      <c r="CX26" s="177"/>
      <c r="DC26" s="177"/>
      <c r="DH26" s="177"/>
    </row>
    <row r="27" spans="1:112" ht="15.75" customHeight="1">
      <c r="B27" s="132" t="s">
        <v>81</v>
      </c>
      <c r="C27" s="283"/>
      <c r="D27" s="143"/>
      <c r="E27" s="143"/>
      <c r="F27" s="284"/>
      <c r="G27" s="177"/>
      <c r="H27" s="285"/>
      <c r="I27" s="154"/>
      <c r="J27" s="154"/>
      <c r="K27" s="286"/>
      <c r="L27" s="177"/>
      <c r="M27" s="285"/>
      <c r="N27" s="154"/>
      <c r="O27" s="154"/>
      <c r="P27" s="286"/>
      <c r="Q27" s="177"/>
      <c r="R27" s="285"/>
      <c r="S27" s="154"/>
      <c r="T27" s="154"/>
      <c r="U27" s="286"/>
      <c r="V27" s="177"/>
      <c r="W27" s="285"/>
      <c r="X27" s="154"/>
      <c r="Y27" s="154"/>
      <c r="Z27" s="286"/>
      <c r="AA27" s="177"/>
      <c r="AB27" s="285"/>
      <c r="AC27" s="154"/>
      <c r="AD27" s="154"/>
      <c r="AE27" s="286"/>
      <c r="AF27" s="177"/>
      <c r="AG27" s="285"/>
      <c r="AH27" s="154"/>
      <c r="AI27" s="154"/>
      <c r="AJ27" s="286"/>
      <c r="AK27" s="177"/>
      <c r="AL27" s="285"/>
      <c r="AM27" s="154"/>
      <c r="AN27" s="154"/>
      <c r="AO27" s="286"/>
      <c r="AP27" s="177"/>
      <c r="AQ27" s="285"/>
      <c r="AR27" s="154"/>
      <c r="AS27" s="154"/>
      <c r="AT27" s="286"/>
      <c r="AU27" s="177"/>
      <c r="AV27" s="285"/>
      <c r="AW27" s="154"/>
      <c r="AX27" s="154"/>
      <c r="AY27" s="286"/>
      <c r="AZ27" s="177"/>
      <c r="BA27" s="285"/>
      <c r="BB27" s="154"/>
      <c r="BC27" s="154"/>
      <c r="BD27" s="286"/>
      <c r="BE27" s="177"/>
      <c r="BF27" s="285"/>
      <c r="BG27" s="154"/>
      <c r="BH27" s="154"/>
      <c r="BI27" s="286"/>
      <c r="BJ27" s="177"/>
      <c r="BK27" s="177"/>
      <c r="BL27" s="177"/>
      <c r="BM27" s="177"/>
      <c r="BN27" s="177"/>
      <c r="BO27" s="177"/>
      <c r="BT27" s="177"/>
      <c r="BY27" s="177"/>
      <c r="CD27" s="177"/>
      <c r="CI27" s="177"/>
      <c r="CN27" s="177"/>
      <c r="CS27" s="177"/>
      <c r="CX27" s="177"/>
      <c r="DC27" s="177"/>
      <c r="DH27" s="177"/>
    </row>
    <row r="28" spans="1:112" ht="15.75" customHeight="1">
      <c r="B28" s="184" t="s">
        <v>253</v>
      </c>
      <c r="C28" s="283"/>
      <c r="D28" s="143"/>
      <c r="E28" s="143"/>
      <c r="F28" s="284"/>
      <c r="G28" s="410">
        <v>23.64</v>
      </c>
      <c r="H28" s="411"/>
      <c r="I28" s="407"/>
      <c r="J28" s="407"/>
      <c r="K28" s="412"/>
      <c r="L28" s="410">
        <v>47.543999999999997</v>
      </c>
      <c r="M28" s="411"/>
      <c r="N28" s="407"/>
      <c r="O28" s="407"/>
      <c r="P28" s="412"/>
      <c r="Q28" s="410">
        <v>0</v>
      </c>
      <c r="R28" s="411"/>
      <c r="S28" s="407"/>
      <c r="T28" s="407"/>
      <c r="U28" s="412"/>
      <c r="V28" s="410">
        <v>0</v>
      </c>
      <c r="W28" s="285"/>
      <c r="X28" s="154"/>
      <c r="Y28" s="154"/>
      <c r="Z28" s="286"/>
      <c r="AA28" s="410">
        <v>-2.024</v>
      </c>
      <c r="AB28" s="285"/>
      <c r="AC28" s="154"/>
      <c r="AD28" s="154"/>
      <c r="AE28" s="286"/>
      <c r="AF28" s="410">
        <v>-1.095</v>
      </c>
      <c r="AG28" s="285"/>
      <c r="AH28" s="154"/>
      <c r="AI28" s="154"/>
      <c r="AJ28" s="286"/>
      <c r="AK28" s="420">
        <v>26.02</v>
      </c>
      <c r="AL28" s="285"/>
      <c r="AM28" s="154"/>
      <c r="AN28" s="154"/>
      <c r="AO28" s="286"/>
      <c r="AP28" s="410">
        <v>-27.689</v>
      </c>
      <c r="AQ28" s="285"/>
      <c r="AR28" s="154"/>
      <c r="AS28" s="154"/>
      <c r="AT28" s="286"/>
      <c r="AU28" s="410">
        <v>57</v>
      </c>
      <c r="AV28" s="285"/>
      <c r="AW28" s="154"/>
      <c r="AX28" s="154"/>
      <c r="AY28" s="286"/>
      <c r="AZ28" s="182">
        <v>0</v>
      </c>
      <c r="BA28" s="285"/>
      <c r="BB28" s="154"/>
      <c r="BC28" s="154"/>
      <c r="BD28" s="286"/>
      <c r="BE28" s="182">
        <f>AZ28</f>
        <v>0</v>
      </c>
      <c r="BF28" s="285"/>
      <c r="BG28" s="154"/>
      <c r="BH28" s="154"/>
      <c r="BI28" s="286"/>
      <c r="BJ28" s="182">
        <f>BE28</f>
        <v>0</v>
      </c>
      <c r="BK28" s="182"/>
      <c r="BL28" s="182"/>
      <c r="BM28" s="182"/>
      <c r="BN28" s="182"/>
      <c r="BO28" s="182">
        <f t="shared" ref="BO28:DH32" si="10">BJ28</f>
        <v>0</v>
      </c>
      <c r="BP28" s="125">
        <f t="shared" si="10"/>
        <v>0</v>
      </c>
      <c r="BQ28" s="125">
        <f t="shared" si="10"/>
        <v>0</v>
      </c>
      <c r="BR28" s="125">
        <f t="shared" si="10"/>
        <v>0</v>
      </c>
      <c r="BS28" s="125">
        <f t="shared" si="10"/>
        <v>0</v>
      </c>
      <c r="BT28" s="182">
        <f t="shared" si="10"/>
        <v>0</v>
      </c>
      <c r="BU28" s="125">
        <f t="shared" si="10"/>
        <v>0</v>
      </c>
      <c r="BV28" s="125">
        <f t="shared" si="10"/>
        <v>0</v>
      </c>
      <c r="BW28" s="125">
        <f t="shared" si="10"/>
        <v>0</v>
      </c>
      <c r="BX28" s="125">
        <f t="shared" si="10"/>
        <v>0</v>
      </c>
      <c r="BY28" s="182">
        <f t="shared" si="10"/>
        <v>0</v>
      </c>
      <c r="BZ28" s="125">
        <f t="shared" si="10"/>
        <v>0</v>
      </c>
      <c r="CA28" s="125">
        <f t="shared" si="10"/>
        <v>0</v>
      </c>
      <c r="CB28" s="125">
        <f t="shared" si="10"/>
        <v>0</v>
      </c>
      <c r="CC28" s="125">
        <f t="shared" si="10"/>
        <v>0</v>
      </c>
      <c r="CD28" s="182">
        <f t="shared" si="10"/>
        <v>0</v>
      </c>
      <c r="CE28" s="125">
        <f t="shared" si="10"/>
        <v>0</v>
      </c>
      <c r="CF28" s="125">
        <f t="shared" si="10"/>
        <v>0</v>
      </c>
      <c r="CG28" s="125">
        <f t="shared" si="10"/>
        <v>0</v>
      </c>
      <c r="CH28" s="125">
        <f t="shared" si="10"/>
        <v>0</v>
      </c>
      <c r="CI28" s="182">
        <f t="shared" si="10"/>
        <v>0</v>
      </c>
      <c r="CJ28" s="125">
        <f t="shared" si="10"/>
        <v>0</v>
      </c>
      <c r="CK28" s="125">
        <f t="shared" si="10"/>
        <v>0</v>
      </c>
      <c r="CL28" s="125">
        <f t="shared" si="10"/>
        <v>0</v>
      </c>
      <c r="CM28" s="125">
        <f t="shared" si="10"/>
        <v>0</v>
      </c>
      <c r="CN28" s="182">
        <f t="shared" si="10"/>
        <v>0</v>
      </c>
      <c r="CO28" s="125">
        <f t="shared" si="10"/>
        <v>0</v>
      </c>
      <c r="CP28" s="125">
        <f t="shared" si="10"/>
        <v>0</v>
      </c>
      <c r="CQ28" s="125">
        <f t="shared" si="10"/>
        <v>0</v>
      </c>
      <c r="CR28" s="125">
        <f t="shared" si="10"/>
        <v>0</v>
      </c>
      <c r="CS28" s="182">
        <f t="shared" si="10"/>
        <v>0</v>
      </c>
      <c r="CT28" s="125">
        <f t="shared" si="10"/>
        <v>0</v>
      </c>
      <c r="CU28" s="125">
        <f t="shared" si="10"/>
        <v>0</v>
      </c>
      <c r="CV28" s="125">
        <f t="shared" si="10"/>
        <v>0</v>
      </c>
      <c r="CW28" s="125">
        <f t="shared" si="10"/>
        <v>0</v>
      </c>
      <c r="CX28" s="182">
        <f t="shared" si="10"/>
        <v>0</v>
      </c>
      <c r="CY28" s="125">
        <f t="shared" si="10"/>
        <v>0</v>
      </c>
      <c r="CZ28" s="125">
        <f t="shared" si="10"/>
        <v>0</v>
      </c>
      <c r="DA28" s="125">
        <f t="shared" si="10"/>
        <v>0</v>
      </c>
      <c r="DB28" s="125">
        <f t="shared" si="10"/>
        <v>0</v>
      </c>
      <c r="DC28" s="182">
        <f t="shared" si="10"/>
        <v>0</v>
      </c>
      <c r="DD28" s="125">
        <f t="shared" si="10"/>
        <v>0</v>
      </c>
      <c r="DE28" s="125">
        <f t="shared" si="10"/>
        <v>0</v>
      </c>
      <c r="DF28" s="125">
        <f t="shared" si="10"/>
        <v>0</v>
      </c>
      <c r="DG28" s="125">
        <f t="shared" si="10"/>
        <v>0</v>
      </c>
      <c r="DH28" s="182">
        <f t="shared" si="10"/>
        <v>0</v>
      </c>
    </row>
    <row r="29" spans="1:112" ht="15.75" customHeight="1">
      <c r="B29" s="184" t="s">
        <v>254</v>
      </c>
      <c r="C29" s="283"/>
      <c r="D29" s="143"/>
      <c r="E29" s="143"/>
      <c r="F29" s="284"/>
      <c r="G29" s="410">
        <v>-0.875</v>
      </c>
      <c r="H29" s="411"/>
      <c r="I29" s="407"/>
      <c r="J29" s="407"/>
      <c r="K29" s="412"/>
      <c r="L29" s="410">
        <v>-1.028</v>
      </c>
      <c r="M29" s="411"/>
      <c r="N29" s="407"/>
      <c r="O29" s="407"/>
      <c r="P29" s="412"/>
      <c r="Q29" s="410">
        <v>-1.667</v>
      </c>
      <c r="R29" s="411"/>
      <c r="S29" s="407"/>
      <c r="T29" s="407"/>
      <c r="U29" s="412"/>
      <c r="V29" s="410">
        <v>-2.2029999999999998</v>
      </c>
      <c r="W29" s="285"/>
      <c r="X29" s="154"/>
      <c r="Y29" s="154"/>
      <c r="Z29" s="286"/>
      <c r="AA29" s="410">
        <v>0</v>
      </c>
      <c r="AB29" s="285"/>
      <c r="AC29" s="154"/>
      <c r="AD29" s="154"/>
      <c r="AE29" s="286"/>
      <c r="AF29" s="410">
        <v>0</v>
      </c>
      <c r="AG29" s="285"/>
      <c r="AH29" s="154"/>
      <c r="AI29" s="154"/>
      <c r="AJ29" s="286"/>
      <c r="AK29" s="420">
        <v>0</v>
      </c>
      <c r="AL29" s="285"/>
      <c r="AM29" s="154"/>
      <c r="AN29" s="154"/>
      <c r="AO29" s="286"/>
      <c r="AP29" s="410">
        <v>0</v>
      </c>
      <c r="AQ29" s="285"/>
      <c r="AR29" s="154"/>
      <c r="AS29" s="154"/>
      <c r="AT29" s="286"/>
      <c r="AU29" s="410">
        <v>-19.925000000000001</v>
      </c>
      <c r="AV29" s="285"/>
      <c r="AW29" s="154"/>
      <c r="AX29" s="154"/>
      <c r="AY29" s="286"/>
      <c r="AZ29" s="182">
        <v>0</v>
      </c>
      <c r="BA29" s="285"/>
      <c r="BB29" s="154"/>
      <c r="BC29" s="154"/>
      <c r="BD29" s="286"/>
      <c r="BE29" s="182">
        <f>AZ29</f>
        <v>0</v>
      </c>
      <c r="BF29" s="285"/>
      <c r="BG29" s="154"/>
      <c r="BH29" s="154"/>
      <c r="BI29" s="286"/>
      <c r="BJ29" s="182">
        <f>BE29</f>
        <v>0</v>
      </c>
      <c r="BK29" s="182"/>
      <c r="BL29" s="182"/>
      <c r="BM29" s="182"/>
      <c r="BN29" s="182"/>
      <c r="BO29" s="182">
        <f t="shared" si="10"/>
        <v>0</v>
      </c>
      <c r="BP29" s="125">
        <f t="shared" si="10"/>
        <v>0</v>
      </c>
      <c r="BQ29" s="125">
        <f t="shared" si="10"/>
        <v>0</v>
      </c>
      <c r="BR29" s="125">
        <f t="shared" si="10"/>
        <v>0</v>
      </c>
      <c r="BS29" s="125">
        <f t="shared" si="10"/>
        <v>0</v>
      </c>
      <c r="BT29" s="182">
        <f t="shared" si="10"/>
        <v>0</v>
      </c>
      <c r="BU29" s="125">
        <f t="shared" si="10"/>
        <v>0</v>
      </c>
      <c r="BV29" s="125">
        <f t="shared" si="10"/>
        <v>0</v>
      </c>
      <c r="BW29" s="125">
        <f t="shared" si="10"/>
        <v>0</v>
      </c>
      <c r="BX29" s="125">
        <f t="shared" si="10"/>
        <v>0</v>
      </c>
      <c r="BY29" s="182">
        <f t="shared" si="10"/>
        <v>0</v>
      </c>
      <c r="BZ29" s="125">
        <f t="shared" si="10"/>
        <v>0</v>
      </c>
      <c r="CA29" s="125">
        <f t="shared" si="10"/>
        <v>0</v>
      </c>
      <c r="CB29" s="125">
        <f t="shared" si="10"/>
        <v>0</v>
      </c>
      <c r="CC29" s="125">
        <f t="shared" si="10"/>
        <v>0</v>
      </c>
      <c r="CD29" s="182">
        <f t="shared" si="10"/>
        <v>0</v>
      </c>
      <c r="CE29" s="125">
        <f t="shared" si="10"/>
        <v>0</v>
      </c>
      <c r="CF29" s="125">
        <f t="shared" si="10"/>
        <v>0</v>
      </c>
      <c r="CG29" s="125">
        <f t="shared" si="10"/>
        <v>0</v>
      </c>
      <c r="CH29" s="125">
        <f t="shared" si="10"/>
        <v>0</v>
      </c>
      <c r="CI29" s="182">
        <f t="shared" si="10"/>
        <v>0</v>
      </c>
      <c r="CJ29" s="125">
        <f t="shared" si="10"/>
        <v>0</v>
      </c>
      <c r="CK29" s="125">
        <f t="shared" si="10"/>
        <v>0</v>
      </c>
      <c r="CL29" s="125">
        <f t="shared" si="10"/>
        <v>0</v>
      </c>
      <c r="CM29" s="125">
        <f t="shared" si="10"/>
        <v>0</v>
      </c>
      <c r="CN29" s="182">
        <f t="shared" si="10"/>
        <v>0</v>
      </c>
      <c r="CO29" s="125">
        <f t="shared" si="10"/>
        <v>0</v>
      </c>
      <c r="CP29" s="125">
        <f t="shared" si="10"/>
        <v>0</v>
      </c>
      <c r="CQ29" s="125">
        <f t="shared" si="10"/>
        <v>0</v>
      </c>
      <c r="CR29" s="125">
        <f t="shared" si="10"/>
        <v>0</v>
      </c>
      <c r="CS29" s="182">
        <f t="shared" si="10"/>
        <v>0</v>
      </c>
      <c r="CT29" s="125">
        <f t="shared" si="10"/>
        <v>0</v>
      </c>
      <c r="CU29" s="125">
        <f t="shared" si="10"/>
        <v>0</v>
      </c>
      <c r="CV29" s="125">
        <f t="shared" si="10"/>
        <v>0</v>
      </c>
      <c r="CW29" s="125">
        <f t="shared" si="10"/>
        <v>0</v>
      </c>
      <c r="CX29" s="182">
        <f t="shared" si="10"/>
        <v>0</v>
      </c>
      <c r="CY29" s="125">
        <f t="shared" si="10"/>
        <v>0</v>
      </c>
      <c r="CZ29" s="125">
        <f t="shared" si="10"/>
        <v>0</v>
      </c>
      <c r="DA29" s="125">
        <f t="shared" si="10"/>
        <v>0</v>
      </c>
      <c r="DB29" s="125">
        <f t="shared" si="10"/>
        <v>0</v>
      </c>
      <c r="DC29" s="182">
        <f t="shared" si="10"/>
        <v>0</v>
      </c>
      <c r="DD29" s="125">
        <f t="shared" si="10"/>
        <v>0</v>
      </c>
      <c r="DE29" s="125">
        <f t="shared" si="10"/>
        <v>0</v>
      </c>
      <c r="DF29" s="125">
        <f t="shared" si="10"/>
        <v>0</v>
      </c>
      <c r="DG29" s="125">
        <f t="shared" si="10"/>
        <v>0</v>
      </c>
      <c r="DH29" s="182">
        <f t="shared" si="10"/>
        <v>0</v>
      </c>
    </row>
    <row r="30" spans="1:112" ht="15.75" customHeight="1">
      <c r="B30" s="184" t="s">
        <v>255</v>
      </c>
      <c r="C30" s="283"/>
      <c r="D30" s="143"/>
      <c r="E30" s="143"/>
      <c r="F30" s="284"/>
      <c r="G30" s="410"/>
      <c r="H30" s="411"/>
      <c r="I30" s="407"/>
      <c r="J30" s="407"/>
      <c r="K30" s="412"/>
      <c r="L30" s="410">
        <v>0</v>
      </c>
      <c r="M30" s="411"/>
      <c r="N30" s="407"/>
      <c r="O30" s="407"/>
      <c r="P30" s="412"/>
      <c r="Q30" s="410">
        <v>391.10700000000003</v>
      </c>
      <c r="R30" s="411"/>
      <c r="S30" s="407"/>
      <c r="T30" s="407"/>
      <c r="U30" s="412"/>
      <c r="V30" s="410">
        <v>0</v>
      </c>
      <c r="W30" s="285"/>
      <c r="X30" s="154"/>
      <c r="Y30" s="154"/>
      <c r="Z30" s="286"/>
      <c r="AA30" s="410">
        <v>0</v>
      </c>
      <c r="AB30" s="285"/>
      <c r="AC30" s="154"/>
      <c r="AD30" s="154"/>
      <c r="AE30" s="286"/>
      <c r="AF30" s="410">
        <v>-220.63900000000001</v>
      </c>
      <c r="AG30" s="285"/>
      <c r="AH30" s="154"/>
      <c r="AI30" s="154"/>
      <c r="AJ30" s="286"/>
      <c r="AK30" s="420">
        <v>-166.46700000000001</v>
      </c>
      <c r="AL30" s="285"/>
      <c r="AM30" s="154"/>
      <c r="AN30" s="154"/>
      <c r="AO30" s="286"/>
      <c r="AP30" s="410">
        <v>-12.894</v>
      </c>
      <c r="AQ30" s="285"/>
      <c r="AR30" s="154"/>
      <c r="AS30" s="154"/>
      <c r="AT30" s="286"/>
      <c r="AU30" s="410">
        <v>0</v>
      </c>
      <c r="AV30" s="285"/>
      <c r="AW30" s="154"/>
      <c r="AX30" s="154"/>
      <c r="AY30" s="286"/>
      <c r="AZ30" s="182">
        <v>0</v>
      </c>
      <c r="BA30" s="285"/>
      <c r="BB30" s="154"/>
      <c r="BC30" s="154"/>
      <c r="BD30" s="286"/>
      <c r="BE30" s="182">
        <f>AZ30</f>
        <v>0</v>
      </c>
      <c r="BF30" s="285"/>
      <c r="BG30" s="154"/>
      <c r="BH30" s="154"/>
      <c r="BI30" s="286"/>
      <c r="BJ30" s="182">
        <f>BE30</f>
        <v>0</v>
      </c>
      <c r="BK30" s="182"/>
      <c r="BL30" s="182"/>
      <c r="BM30" s="182"/>
      <c r="BN30" s="182"/>
      <c r="BO30" s="182">
        <f t="shared" si="10"/>
        <v>0</v>
      </c>
      <c r="BP30" s="125">
        <f t="shared" si="10"/>
        <v>0</v>
      </c>
      <c r="BQ30" s="125">
        <f t="shared" si="10"/>
        <v>0</v>
      </c>
      <c r="BR30" s="125">
        <f t="shared" si="10"/>
        <v>0</v>
      </c>
      <c r="BS30" s="125">
        <f t="shared" si="10"/>
        <v>0</v>
      </c>
      <c r="BT30" s="182">
        <f t="shared" si="10"/>
        <v>0</v>
      </c>
      <c r="BU30" s="125">
        <f t="shared" si="10"/>
        <v>0</v>
      </c>
      <c r="BV30" s="125">
        <f t="shared" si="10"/>
        <v>0</v>
      </c>
      <c r="BW30" s="125">
        <f t="shared" si="10"/>
        <v>0</v>
      </c>
      <c r="BX30" s="125">
        <f t="shared" si="10"/>
        <v>0</v>
      </c>
      <c r="BY30" s="182">
        <f t="shared" si="10"/>
        <v>0</v>
      </c>
      <c r="BZ30" s="125">
        <f t="shared" si="10"/>
        <v>0</v>
      </c>
      <c r="CA30" s="125">
        <f t="shared" si="10"/>
        <v>0</v>
      </c>
      <c r="CB30" s="125">
        <f t="shared" si="10"/>
        <v>0</v>
      </c>
      <c r="CC30" s="125">
        <f t="shared" si="10"/>
        <v>0</v>
      </c>
      <c r="CD30" s="182">
        <f t="shared" si="10"/>
        <v>0</v>
      </c>
      <c r="CE30" s="125">
        <f t="shared" si="10"/>
        <v>0</v>
      </c>
      <c r="CF30" s="125">
        <f t="shared" si="10"/>
        <v>0</v>
      </c>
      <c r="CG30" s="125">
        <f t="shared" si="10"/>
        <v>0</v>
      </c>
      <c r="CH30" s="125">
        <f t="shared" si="10"/>
        <v>0</v>
      </c>
      <c r="CI30" s="182">
        <f t="shared" si="10"/>
        <v>0</v>
      </c>
      <c r="CJ30" s="125">
        <f t="shared" si="10"/>
        <v>0</v>
      </c>
      <c r="CK30" s="125">
        <f t="shared" si="10"/>
        <v>0</v>
      </c>
      <c r="CL30" s="125">
        <f t="shared" si="10"/>
        <v>0</v>
      </c>
      <c r="CM30" s="125">
        <f t="shared" si="10"/>
        <v>0</v>
      </c>
      <c r="CN30" s="182">
        <f t="shared" si="10"/>
        <v>0</v>
      </c>
      <c r="CO30" s="125">
        <f t="shared" si="10"/>
        <v>0</v>
      </c>
      <c r="CP30" s="125">
        <f t="shared" si="10"/>
        <v>0</v>
      </c>
      <c r="CQ30" s="125">
        <f t="shared" si="10"/>
        <v>0</v>
      </c>
      <c r="CR30" s="125">
        <f t="shared" si="10"/>
        <v>0</v>
      </c>
      <c r="CS30" s="182">
        <f t="shared" si="10"/>
        <v>0</v>
      </c>
      <c r="CT30" s="125">
        <f t="shared" si="10"/>
        <v>0</v>
      </c>
      <c r="CU30" s="125">
        <f t="shared" si="10"/>
        <v>0</v>
      </c>
      <c r="CV30" s="125">
        <f t="shared" si="10"/>
        <v>0</v>
      </c>
      <c r="CW30" s="125">
        <f t="shared" si="10"/>
        <v>0</v>
      </c>
      <c r="CX30" s="182">
        <f t="shared" si="10"/>
        <v>0</v>
      </c>
      <c r="CY30" s="125">
        <f t="shared" si="10"/>
        <v>0</v>
      </c>
      <c r="CZ30" s="125">
        <f t="shared" si="10"/>
        <v>0</v>
      </c>
      <c r="DA30" s="125">
        <f t="shared" si="10"/>
        <v>0</v>
      </c>
      <c r="DB30" s="125">
        <f t="shared" si="10"/>
        <v>0</v>
      </c>
      <c r="DC30" s="182">
        <f t="shared" si="10"/>
        <v>0</v>
      </c>
      <c r="DD30" s="125">
        <f t="shared" si="10"/>
        <v>0</v>
      </c>
      <c r="DE30" s="125">
        <f t="shared" si="10"/>
        <v>0</v>
      </c>
      <c r="DF30" s="125">
        <f t="shared" si="10"/>
        <v>0</v>
      </c>
      <c r="DG30" s="125">
        <f t="shared" si="10"/>
        <v>0</v>
      </c>
      <c r="DH30" s="182">
        <f t="shared" si="10"/>
        <v>0</v>
      </c>
    </row>
    <row r="31" spans="1:112" ht="15.75" customHeight="1">
      <c r="B31" s="184" t="s">
        <v>256</v>
      </c>
      <c r="C31" s="283"/>
      <c r="D31" s="143"/>
      <c r="E31" s="143"/>
      <c r="F31" s="284"/>
      <c r="G31" s="410"/>
      <c r="H31" s="411"/>
      <c r="I31" s="407"/>
      <c r="J31" s="407"/>
      <c r="K31" s="412"/>
      <c r="L31" s="410">
        <v>0</v>
      </c>
      <c r="M31" s="411"/>
      <c r="N31" s="407"/>
      <c r="O31" s="407"/>
      <c r="P31" s="412"/>
      <c r="Q31" s="410">
        <v>93.8</v>
      </c>
      <c r="R31" s="411"/>
      <c r="S31" s="407"/>
      <c r="T31" s="407"/>
      <c r="U31" s="412"/>
      <c r="V31" s="410">
        <v>0</v>
      </c>
      <c r="W31" s="285"/>
      <c r="X31" s="154"/>
      <c r="Y31" s="154"/>
      <c r="Z31" s="286"/>
      <c r="AA31" s="410">
        <v>0</v>
      </c>
      <c r="AB31" s="285"/>
      <c r="AC31" s="154"/>
      <c r="AD31" s="154"/>
      <c r="AE31" s="286"/>
      <c r="AF31" s="410">
        <v>-294.55200000000002</v>
      </c>
      <c r="AG31" s="285"/>
      <c r="AH31" s="154"/>
      <c r="AI31" s="154"/>
      <c r="AJ31" s="286"/>
      <c r="AK31" s="420">
        <v>-573.48699999999997</v>
      </c>
      <c r="AL31" s="285"/>
      <c r="AM31" s="154"/>
      <c r="AN31" s="154"/>
      <c r="AO31" s="286"/>
      <c r="AP31" s="410">
        <v>-643.36500000000001</v>
      </c>
      <c r="AQ31" s="285"/>
      <c r="AR31" s="154"/>
      <c r="AS31" s="154"/>
      <c r="AT31" s="286"/>
      <c r="AU31" s="410">
        <v>0</v>
      </c>
      <c r="AV31" s="285"/>
      <c r="AW31" s="154"/>
      <c r="AX31" s="154"/>
      <c r="AY31" s="286"/>
      <c r="AZ31" s="182">
        <v>0</v>
      </c>
      <c r="BA31" s="285"/>
      <c r="BB31" s="154"/>
      <c r="BC31" s="154"/>
      <c r="BD31" s="286"/>
      <c r="BE31" s="182">
        <f>AZ31</f>
        <v>0</v>
      </c>
      <c r="BF31" s="285"/>
      <c r="BG31" s="154"/>
      <c r="BH31" s="154"/>
      <c r="BI31" s="286"/>
      <c r="BJ31" s="182">
        <f>BE31</f>
        <v>0</v>
      </c>
      <c r="BK31" s="182"/>
      <c r="BL31" s="182"/>
      <c r="BM31" s="182"/>
      <c r="BN31" s="182"/>
      <c r="BO31" s="182">
        <f t="shared" si="10"/>
        <v>0</v>
      </c>
      <c r="BP31" s="125">
        <f t="shared" si="10"/>
        <v>0</v>
      </c>
      <c r="BQ31" s="125">
        <f t="shared" si="10"/>
        <v>0</v>
      </c>
      <c r="BR31" s="125">
        <f t="shared" si="10"/>
        <v>0</v>
      </c>
      <c r="BS31" s="125">
        <f t="shared" si="10"/>
        <v>0</v>
      </c>
      <c r="BT31" s="182">
        <f t="shared" si="10"/>
        <v>0</v>
      </c>
      <c r="BU31" s="125">
        <f t="shared" si="10"/>
        <v>0</v>
      </c>
      <c r="BV31" s="125">
        <f t="shared" si="10"/>
        <v>0</v>
      </c>
      <c r="BW31" s="125">
        <f t="shared" si="10"/>
        <v>0</v>
      </c>
      <c r="BX31" s="125">
        <f t="shared" si="10"/>
        <v>0</v>
      </c>
      <c r="BY31" s="182">
        <f t="shared" si="10"/>
        <v>0</v>
      </c>
      <c r="BZ31" s="125">
        <f t="shared" si="10"/>
        <v>0</v>
      </c>
      <c r="CA31" s="125">
        <f t="shared" si="10"/>
        <v>0</v>
      </c>
      <c r="CB31" s="125">
        <f t="shared" si="10"/>
        <v>0</v>
      </c>
      <c r="CC31" s="125">
        <f t="shared" si="10"/>
        <v>0</v>
      </c>
      <c r="CD31" s="182">
        <f t="shared" si="10"/>
        <v>0</v>
      </c>
      <c r="CE31" s="125">
        <f t="shared" si="10"/>
        <v>0</v>
      </c>
      <c r="CF31" s="125">
        <f t="shared" si="10"/>
        <v>0</v>
      </c>
      <c r="CG31" s="125">
        <f t="shared" si="10"/>
        <v>0</v>
      </c>
      <c r="CH31" s="125">
        <f t="shared" si="10"/>
        <v>0</v>
      </c>
      <c r="CI31" s="182">
        <f t="shared" si="10"/>
        <v>0</v>
      </c>
      <c r="CJ31" s="125">
        <f t="shared" si="10"/>
        <v>0</v>
      </c>
      <c r="CK31" s="125">
        <f t="shared" si="10"/>
        <v>0</v>
      </c>
      <c r="CL31" s="125">
        <f t="shared" si="10"/>
        <v>0</v>
      </c>
      <c r="CM31" s="125">
        <f t="shared" si="10"/>
        <v>0</v>
      </c>
      <c r="CN31" s="182">
        <f t="shared" si="10"/>
        <v>0</v>
      </c>
      <c r="CO31" s="125">
        <f t="shared" si="10"/>
        <v>0</v>
      </c>
      <c r="CP31" s="125">
        <f t="shared" si="10"/>
        <v>0</v>
      </c>
      <c r="CQ31" s="125">
        <f t="shared" si="10"/>
        <v>0</v>
      </c>
      <c r="CR31" s="125">
        <f t="shared" si="10"/>
        <v>0</v>
      </c>
      <c r="CS31" s="182">
        <f t="shared" si="10"/>
        <v>0</v>
      </c>
      <c r="CT31" s="125">
        <f t="shared" si="10"/>
        <v>0</v>
      </c>
      <c r="CU31" s="125">
        <f t="shared" si="10"/>
        <v>0</v>
      </c>
      <c r="CV31" s="125">
        <f t="shared" si="10"/>
        <v>0</v>
      </c>
      <c r="CW31" s="125">
        <f t="shared" si="10"/>
        <v>0</v>
      </c>
      <c r="CX31" s="182">
        <f t="shared" si="10"/>
        <v>0</v>
      </c>
      <c r="CY31" s="125">
        <f t="shared" si="10"/>
        <v>0</v>
      </c>
      <c r="CZ31" s="125">
        <f t="shared" si="10"/>
        <v>0</v>
      </c>
      <c r="DA31" s="125">
        <f t="shared" si="10"/>
        <v>0</v>
      </c>
      <c r="DB31" s="125">
        <f t="shared" si="10"/>
        <v>0</v>
      </c>
      <c r="DC31" s="182">
        <f t="shared" si="10"/>
        <v>0</v>
      </c>
      <c r="DD31" s="125">
        <f t="shared" si="10"/>
        <v>0</v>
      </c>
      <c r="DE31" s="125">
        <f t="shared" si="10"/>
        <v>0</v>
      </c>
      <c r="DF31" s="125">
        <f t="shared" si="10"/>
        <v>0</v>
      </c>
      <c r="DG31" s="125">
        <f t="shared" si="10"/>
        <v>0</v>
      </c>
      <c r="DH31" s="182">
        <f t="shared" si="10"/>
        <v>0</v>
      </c>
    </row>
    <row r="32" spans="1:112" ht="15.75" customHeight="1">
      <c r="B32" s="184" t="s">
        <v>257</v>
      </c>
      <c r="C32" s="283"/>
      <c r="D32" s="143"/>
      <c r="E32" s="143"/>
      <c r="F32" s="284"/>
      <c r="G32" s="410"/>
      <c r="H32" s="411"/>
      <c r="I32" s="407"/>
      <c r="J32" s="407"/>
      <c r="K32" s="412"/>
      <c r="L32" s="410">
        <v>0</v>
      </c>
      <c r="M32" s="411"/>
      <c r="N32" s="407"/>
      <c r="O32" s="407"/>
      <c r="P32" s="412"/>
      <c r="Q32" s="410">
        <v>-117.5</v>
      </c>
      <c r="R32" s="411"/>
      <c r="S32" s="407"/>
      <c r="T32" s="407"/>
      <c r="U32" s="412"/>
      <c r="V32" s="410">
        <v>0</v>
      </c>
      <c r="W32" s="285"/>
      <c r="X32" s="154"/>
      <c r="Y32" s="154"/>
      <c r="Z32" s="286"/>
      <c r="AA32" s="410">
        <v>0</v>
      </c>
      <c r="AB32" s="285"/>
      <c r="AC32" s="154"/>
      <c r="AD32" s="154"/>
      <c r="AE32" s="286"/>
      <c r="AF32" s="410">
        <v>0</v>
      </c>
      <c r="AG32" s="285"/>
      <c r="AH32" s="154"/>
      <c r="AI32" s="154"/>
      <c r="AJ32" s="286"/>
      <c r="AK32" s="420">
        <v>0</v>
      </c>
      <c r="AL32" s="285"/>
      <c r="AM32" s="154"/>
      <c r="AN32" s="154"/>
      <c r="AO32" s="286"/>
      <c r="AP32" s="410">
        <v>0</v>
      </c>
      <c r="AQ32" s="285"/>
      <c r="AR32" s="154"/>
      <c r="AS32" s="154"/>
      <c r="AT32" s="286"/>
      <c r="AU32" s="410">
        <v>0</v>
      </c>
      <c r="AV32" s="285"/>
      <c r="AW32" s="154"/>
      <c r="AX32" s="154"/>
      <c r="AY32" s="286"/>
      <c r="AZ32" s="182">
        <f>AU32</f>
        <v>0</v>
      </c>
      <c r="BA32" s="285"/>
      <c r="BB32" s="154"/>
      <c r="BC32" s="154"/>
      <c r="BD32" s="286"/>
      <c r="BE32" s="182">
        <f>AZ32</f>
        <v>0</v>
      </c>
      <c r="BF32" s="285"/>
      <c r="BG32" s="154"/>
      <c r="BH32" s="154"/>
      <c r="BI32" s="286"/>
      <c r="BJ32" s="182">
        <f>BE32</f>
        <v>0</v>
      </c>
      <c r="BK32" s="182"/>
      <c r="BL32" s="182"/>
      <c r="BM32" s="182"/>
      <c r="BN32" s="182"/>
      <c r="BO32" s="182">
        <f t="shared" si="10"/>
        <v>0</v>
      </c>
      <c r="BP32" s="125">
        <f t="shared" si="10"/>
        <v>0</v>
      </c>
      <c r="BQ32" s="125">
        <f t="shared" si="10"/>
        <v>0</v>
      </c>
      <c r="BR32" s="125">
        <f t="shared" si="10"/>
        <v>0</v>
      </c>
      <c r="BS32" s="125">
        <f t="shared" si="10"/>
        <v>0</v>
      </c>
      <c r="BT32" s="182">
        <f t="shared" si="10"/>
        <v>0</v>
      </c>
      <c r="BU32" s="125">
        <f t="shared" si="10"/>
        <v>0</v>
      </c>
      <c r="BV32" s="125">
        <f t="shared" si="10"/>
        <v>0</v>
      </c>
      <c r="BW32" s="125">
        <f t="shared" si="10"/>
        <v>0</v>
      </c>
      <c r="BX32" s="125">
        <f t="shared" si="10"/>
        <v>0</v>
      </c>
      <c r="BY32" s="182">
        <f t="shared" si="10"/>
        <v>0</v>
      </c>
      <c r="BZ32" s="125">
        <f t="shared" si="10"/>
        <v>0</v>
      </c>
      <c r="CA32" s="125">
        <f t="shared" si="10"/>
        <v>0</v>
      </c>
      <c r="CB32" s="125">
        <f t="shared" si="10"/>
        <v>0</v>
      </c>
      <c r="CC32" s="125">
        <f t="shared" si="10"/>
        <v>0</v>
      </c>
      <c r="CD32" s="182">
        <f t="shared" si="10"/>
        <v>0</v>
      </c>
      <c r="CE32" s="125">
        <f t="shared" si="10"/>
        <v>0</v>
      </c>
      <c r="CF32" s="125">
        <f t="shared" si="10"/>
        <v>0</v>
      </c>
      <c r="CG32" s="125">
        <f t="shared" si="10"/>
        <v>0</v>
      </c>
      <c r="CH32" s="125">
        <f t="shared" si="10"/>
        <v>0</v>
      </c>
      <c r="CI32" s="182">
        <f t="shared" si="10"/>
        <v>0</v>
      </c>
      <c r="CJ32" s="125">
        <f t="shared" si="10"/>
        <v>0</v>
      </c>
      <c r="CK32" s="125">
        <f t="shared" si="10"/>
        <v>0</v>
      </c>
      <c r="CL32" s="125">
        <f t="shared" si="10"/>
        <v>0</v>
      </c>
      <c r="CM32" s="125">
        <f t="shared" si="10"/>
        <v>0</v>
      </c>
      <c r="CN32" s="182">
        <f t="shared" si="10"/>
        <v>0</v>
      </c>
      <c r="CO32" s="125">
        <f t="shared" si="10"/>
        <v>0</v>
      </c>
      <c r="CP32" s="125">
        <f t="shared" si="10"/>
        <v>0</v>
      </c>
      <c r="CQ32" s="125">
        <f t="shared" si="10"/>
        <v>0</v>
      </c>
      <c r="CR32" s="125">
        <f t="shared" si="10"/>
        <v>0</v>
      </c>
      <c r="CS32" s="182">
        <f t="shared" si="10"/>
        <v>0</v>
      </c>
      <c r="CT32" s="125">
        <f t="shared" si="10"/>
        <v>0</v>
      </c>
      <c r="CU32" s="125">
        <f t="shared" si="10"/>
        <v>0</v>
      </c>
      <c r="CV32" s="125">
        <f t="shared" si="10"/>
        <v>0</v>
      </c>
      <c r="CW32" s="125">
        <f t="shared" si="10"/>
        <v>0</v>
      </c>
      <c r="CX32" s="182">
        <f t="shared" si="10"/>
        <v>0</v>
      </c>
      <c r="CY32" s="125">
        <f t="shared" si="10"/>
        <v>0</v>
      </c>
      <c r="CZ32" s="125">
        <f t="shared" si="10"/>
        <v>0</v>
      </c>
      <c r="DA32" s="125">
        <f t="shared" si="10"/>
        <v>0</v>
      </c>
      <c r="DB32" s="125">
        <f t="shared" si="10"/>
        <v>0</v>
      </c>
      <c r="DC32" s="182">
        <f t="shared" si="10"/>
        <v>0</v>
      </c>
      <c r="DD32" s="125">
        <f t="shared" si="10"/>
        <v>0</v>
      </c>
      <c r="DE32" s="125">
        <f t="shared" si="10"/>
        <v>0</v>
      </c>
      <c r="DF32" s="125">
        <f t="shared" si="10"/>
        <v>0</v>
      </c>
      <c r="DG32" s="125">
        <f t="shared" si="10"/>
        <v>0</v>
      </c>
      <c r="DH32" s="182">
        <f t="shared" si="10"/>
        <v>0</v>
      </c>
    </row>
    <row r="33" spans="1:119" ht="15.75" customHeight="1">
      <c r="B33" s="184" t="s">
        <v>251</v>
      </c>
      <c r="C33" s="283"/>
      <c r="D33" s="143"/>
      <c r="E33" s="143"/>
      <c r="F33" s="284"/>
      <c r="G33" s="410">
        <v>8.5980000000000008</v>
      </c>
      <c r="H33" s="411"/>
      <c r="I33" s="407"/>
      <c r="J33" s="407"/>
      <c r="K33" s="412"/>
      <c r="L33" s="410">
        <v>200.58799999999999</v>
      </c>
      <c r="M33" s="411"/>
      <c r="N33" s="407"/>
      <c r="O33" s="407"/>
      <c r="P33" s="412"/>
      <c r="Q33" s="410">
        <v>43.587000000000003</v>
      </c>
      <c r="R33" s="411"/>
      <c r="S33" s="407"/>
      <c r="T33" s="407"/>
      <c r="U33" s="412"/>
      <c r="V33" s="410">
        <v>63.548999999999999</v>
      </c>
      <c r="W33" s="285"/>
      <c r="X33" s="154"/>
      <c r="Y33" s="154"/>
      <c r="Z33" s="286"/>
      <c r="AA33" s="410">
        <v>57.393000000000001</v>
      </c>
      <c r="AB33" s="285"/>
      <c r="AC33" s="154"/>
      <c r="AD33" s="154"/>
      <c r="AE33" s="286"/>
      <c r="AF33" s="410">
        <v>126.045</v>
      </c>
      <c r="AG33" s="285"/>
      <c r="AH33" s="154"/>
      <c r="AI33" s="154"/>
      <c r="AJ33" s="286"/>
      <c r="AK33" s="410">
        <v>206.358</v>
      </c>
      <c r="AL33" s="413"/>
      <c r="AM33" s="414"/>
      <c r="AN33" s="414"/>
      <c r="AO33" s="415"/>
      <c r="AP33" s="410">
        <v>126.739</v>
      </c>
      <c r="AQ33" s="413"/>
      <c r="AR33" s="414"/>
      <c r="AS33" s="414"/>
      <c r="AT33" s="415"/>
      <c r="AU33" s="410">
        <v>240.21299999999999</v>
      </c>
      <c r="AV33" s="285"/>
      <c r="AW33" s="154"/>
      <c r="AX33" s="154"/>
      <c r="AY33" s="286"/>
      <c r="AZ33" s="177">
        <v>0</v>
      </c>
      <c r="BA33" s="285"/>
      <c r="BB33" s="154"/>
      <c r="BC33" s="154"/>
      <c r="BD33" s="286"/>
      <c r="BE33" s="177">
        <f>AZ33*1.01</f>
        <v>0</v>
      </c>
      <c r="BF33" s="285"/>
      <c r="BG33" s="154"/>
      <c r="BH33" s="154"/>
      <c r="BI33" s="286"/>
      <c r="BJ33" s="177">
        <f>BE33*1.01</f>
        <v>0</v>
      </c>
      <c r="BK33" s="177"/>
      <c r="BL33" s="177"/>
      <c r="BM33" s="177"/>
      <c r="BN33" s="177"/>
      <c r="BO33" s="177">
        <f t="shared" ref="BO33:DH33" si="11">BJ33*1.01</f>
        <v>0</v>
      </c>
      <c r="BP33" s="125">
        <f t="shared" si="11"/>
        <v>0</v>
      </c>
      <c r="BQ33" s="125">
        <f t="shared" si="11"/>
        <v>0</v>
      </c>
      <c r="BR33" s="125">
        <f t="shared" si="11"/>
        <v>0</v>
      </c>
      <c r="BS33" s="125">
        <f t="shared" si="11"/>
        <v>0</v>
      </c>
      <c r="BT33" s="177">
        <f t="shared" si="11"/>
        <v>0</v>
      </c>
      <c r="BU33" s="125">
        <f t="shared" si="11"/>
        <v>0</v>
      </c>
      <c r="BV33" s="125">
        <f t="shared" si="11"/>
        <v>0</v>
      </c>
      <c r="BW33" s="125">
        <f t="shared" si="11"/>
        <v>0</v>
      </c>
      <c r="BX33" s="125">
        <f t="shared" si="11"/>
        <v>0</v>
      </c>
      <c r="BY33" s="177">
        <f t="shared" si="11"/>
        <v>0</v>
      </c>
      <c r="BZ33" s="125">
        <f t="shared" si="11"/>
        <v>0</v>
      </c>
      <c r="CA33" s="125">
        <f t="shared" si="11"/>
        <v>0</v>
      </c>
      <c r="CB33" s="125">
        <f t="shared" si="11"/>
        <v>0</v>
      </c>
      <c r="CC33" s="125">
        <f t="shared" si="11"/>
        <v>0</v>
      </c>
      <c r="CD33" s="177">
        <f t="shared" si="11"/>
        <v>0</v>
      </c>
      <c r="CE33" s="125">
        <f t="shared" si="11"/>
        <v>0</v>
      </c>
      <c r="CF33" s="125">
        <f t="shared" si="11"/>
        <v>0</v>
      </c>
      <c r="CG33" s="125">
        <f t="shared" si="11"/>
        <v>0</v>
      </c>
      <c r="CH33" s="125">
        <f t="shared" si="11"/>
        <v>0</v>
      </c>
      <c r="CI33" s="177">
        <f t="shared" si="11"/>
        <v>0</v>
      </c>
      <c r="CJ33" s="125">
        <f t="shared" si="11"/>
        <v>0</v>
      </c>
      <c r="CK33" s="125">
        <f t="shared" si="11"/>
        <v>0</v>
      </c>
      <c r="CL33" s="125">
        <f t="shared" si="11"/>
        <v>0</v>
      </c>
      <c r="CM33" s="125">
        <f t="shared" si="11"/>
        <v>0</v>
      </c>
      <c r="CN33" s="177">
        <f t="shared" si="11"/>
        <v>0</v>
      </c>
      <c r="CO33" s="125">
        <f t="shared" si="11"/>
        <v>0</v>
      </c>
      <c r="CP33" s="125">
        <f t="shared" si="11"/>
        <v>0</v>
      </c>
      <c r="CQ33" s="125">
        <f t="shared" si="11"/>
        <v>0</v>
      </c>
      <c r="CR33" s="125">
        <f t="shared" si="11"/>
        <v>0</v>
      </c>
      <c r="CS33" s="177">
        <f t="shared" si="11"/>
        <v>0</v>
      </c>
      <c r="CT33" s="125">
        <f t="shared" si="11"/>
        <v>0</v>
      </c>
      <c r="CU33" s="125">
        <f t="shared" si="11"/>
        <v>0</v>
      </c>
      <c r="CV33" s="125">
        <f t="shared" si="11"/>
        <v>0</v>
      </c>
      <c r="CW33" s="125">
        <f t="shared" si="11"/>
        <v>0</v>
      </c>
      <c r="CX33" s="177">
        <f t="shared" si="11"/>
        <v>0</v>
      </c>
      <c r="CY33" s="125">
        <f t="shared" si="11"/>
        <v>0</v>
      </c>
      <c r="CZ33" s="125">
        <f t="shared" si="11"/>
        <v>0</v>
      </c>
      <c r="DA33" s="125">
        <f t="shared" si="11"/>
        <v>0</v>
      </c>
      <c r="DB33" s="125">
        <f t="shared" si="11"/>
        <v>0</v>
      </c>
      <c r="DC33" s="177">
        <f t="shared" si="11"/>
        <v>0</v>
      </c>
      <c r="DD33" s="125">
        <f t="shared" si="11"/>
        <v>0</v>
      </c>
      <c r="DE33" s="125">
        <f t="shared" si="11"/>
        <v>0</v>
      </c>
      <c r="DF33" s="125">
        <f t="shared" si="11"/>
        <v>0</v>
      </c>
      <c r="DG33" s="125">
        <f t="shared" si="11"/>
        <v>0</v>
      </c>
      <c r="DH33" s="177">
        <f t="shared" si="11"/>
        <v>0</v>
      </c>
    </row>
    <row r="34" spans="1:119" ht="15.75" customHeight="1">
      <c r="B34" s="184" t="s">
        <v>258</v>
      </c>
      <c r="C34" s="283"/>
      <c r="D34" s="143"/>
      <c r="E34" s="143"/>
      <c r="F34" s="284"/>
      <c r="G34" s="410"/>
      <c r="H34" s="411">
        <v>-0.32100000000000001</v>
      </c>
      <c r="I34" s="407">
        <f>-0.61-H34</f>
        <v>-0.28899999999999998</v>
      </c>
      <c r="J34" s="407">
        <f>-0.879-H34-I34</f>
        <v>-0.26900000000000007</v>
      </c>
      <c r="K34" s="412">
        <f>L34-H34-I34-J34</f>
        <v>-2.9189999999999996</v>
      </c>
      <c r="L34" s="410">
        <v>-3.798</v>
      </c>
      <c r="M34" s="411">
        <v>-0.251</v>
      </c>
      <c r="N34" s="407">
        <f>-0.485-M34</f>
        <v>-0.23399999999999999</v>
      </c>
      <c r="O34" s="407">
        <f>-0.666-M34-N34</f>
        <v>-0.18100000000000005</v>
      </c>
      <c r="P34" s="412"/>
      <c r="Q34" s="410">
        <v>-25.077999999999999</v>
      </c>
      <c r="R34" s="411"/>
      <c r="S34" s="407"/>
      <c r="T34" s="407"/>
      <c r="U34" s="412"/>
      <c r="V34" s="410">
        <v>-163.30000000000001</v>
      </c>
      <c r="W34" s="285"/>
      <c r="X34" s="154"/>
      <c r="Y34" s="154"/>
      <c r="Z34" s="286"/>
      <c r="AA34" s="410">
        <v>-195.08699999999999</v>
      </c>
      <c r="AB34" s="285"/>
      <c r="AC34" s="154"/>
      <c r="AD34" s="154"/>
      <c r="AE34" s="286"/>
      <c r="AF34" s="410">
        <v>-267.584</v>
      </c>
      <c r="AG34" s="285"/>
      <c r="AH34" s="154"/>
      <c r="AI34" s="154"/>
      <c r="AJ34" s="286"/>
      <c r="AK34" s="410">
        <v>-160.53700000000001</v>
      </c>
      <c r="AL34" s="285"/>
      <c r="AM34" s="154"/>
      <c r="AN34" s="154"/>
      <c r="AO34" s="286"/>
      <c r="AP34" s="410">
        <v>-143.18199999999999</v>
      </c>
      <c r="AQ34" s="285"/>
      <c r="AR34" s="154"/>
      <c r="AS34" s="154"/>
      <c r="AT34" s="286"/>
      <c r="AU34" s="410">
        <v>-301.68799999999999</v>
      </c>
      <c r="AV34" s="285"/>
      <c r="AW34" s="154"/>
      <c r="AX34" s="154"/>
      <c r="AY34" s="286"/>
      <c r="AZ34" s="182">
        <v>0</v>
      </c>
      <c r="BA34" s="285"/>
      <c r="BB34" s="154"/>
      <c r="BC34" s="154"/>
      <c r="BD34" s="286"/>
      <c r="BE34" s="182">
        <f>AZ34</f>
        <v>0</v>
      </c>
      <c r="BF34" s="285"/>
      <c r="BG34" s="154"/>
      <c r="BH34" s="154"/>
      <c r="BI34" s="286"/>
      <c r="BJ34" s="182">
        <f>BE34</f>
        <v>0</v>
      </c>
      <c r="BK34" s="182"/>
      <c r="BL34" s="182"/>
      <c r="BM34" s="182"/>
      <c r="BN34" s="182"/>
      <c r="BO34" s="182">
        <f t="shared" ref="BO34:DH35" si="12">BJ34</f>
        <v>0</v>
      </c>
      <c r="BP34" s="125">
        <f t="shared" si="12"/>
        <v>0</v>
      </c>
      <c r="BQ34" s="125">
        <f t="shared" si="12"/>
        <v>0</v>
      </c>
      <c r="BR34" s="125">
        <f t="shared" si="12"/>
        <v>0</v>
      </c>
      <c r="BS34" s="125">
        <f t="shared" si="12"/>
        <v>0</v>
      </c>
      <c r="BT34" s="182">
        <f t="shared" si="12"/>
        <v>0</v>
      </c>
      <c r="BU34" s="125">
        <f t="shared" si="12"/>
        <v>0</v>
      </c>
      <c r="BV34" s="125">
        <f t="shared" si="12"/>
        <v>0</v>
      </c>
      <c r="BW34" s="125">
        <f t="shared" si="12"/>
        <v>0</v>
      </c>
      <c r="BX34" s="125">
        <f t="shared" si="12"/>
        <v>0</v>
      </c>
      <c r="BY34" s="182">
        <f t="shared" si="12"/>
        <v>0</v>
      </c>
      <c r="BZ34" s="125">
        <f t="shared" si="12"/>
        <v>0</v>
      </c>
      <c r="CA34" s="125">
        <f t="shared" si="12"/>
        <v>0</v>
      </c>
      <c r="CB34" s="125">
        <f t="shared" si="12"/>
        <v>0</v>
      </c>
      <c r="CC34" s="125">
        <f t="shared" si="12"/>
        <v>0</v>
      </c>
      <c r="CD34" s="182">
        <f t="shared" si="12"/>
        <v>0</v>
      </c>
      <c r="CE34" s="125">
        <f t="shared" si="12"/>
        <v>0</v>
      </c>
      <c r="CF34" s="125">
        <f t="shared" si="12"/>
        <v>0</v>
      </c>
      <c r="CG34" s="125">
        <f t="shared" si="12"/>
        <v>0</v>
      </c>
      <c r="CH34" s="125">
        <f t="shared" si="12"/>
        <v>0</v>
      </c>
      <c r="CI34" s="182">
        <f t="shared" si="12"/>
        <v>0</v>
      </c>
      <c r="CJ34" s="125">
        <f t="shared" si="12"/>
        <v>0</v>
      </c>
      <c r="CK34" s="125">
        <f t="shared" si="12"/>
        <v>0</v>
      </c>
      <c r="CL34" s="125">
        <f t="shared" si="12"/>
        <v>0</v>
      </c>
      <c r="CM34" s="125">
        <f t="shared" si="12"/>
        <v>0</v>
      </c>
      <c r="CN34" s="182">
        <f t="shared" si="12"/>
        <v>0</v>
      </c>
      <c r="CO34" s="125">
        <f t="shared" si="12"/>
        <v>0</v>
      </c>
      <c r="CP34" s="125">
        <f t="shared" si="12"/>
        <v>0</v>
      </c>
      <c r="CQ34" s="125">
        <f t="shared" si="12"/>
        <v>0</v>
      </c>
      <c r="CR34" s="125">
        <f t="shared" si="12"/>
        <v>0</v>
      </c>
      <c r="CS34" s="182">
        <f t="shared" si="12"/>
        <v>0</v>
      </c>
      <c r="CT34" s="125">
        <f t="shared" si="12"/>
        <v>0</v>
      </c>
      <c r="CU34" s="125">
        <f t="shared" si="12"/>
        <v>0</v>
      </c>
      <c r="CV34" s="125">
        <f t="shared" si="12"/>
        <v>0</v>
      </c>
      <c r="CW34" s="125">
        <f t="shared" si="12"/>
        <v>0</v>
      </c>
      <c r="CX34" s="182">
        <f t="shared" si="12"/>
        <v>0</v>
      </c>
      <c r="CY34" s="125">
        <f t="shared" si="12"/>
        <v>0</v>
      </c>
      <c r="CZ34" s="125">
        <f t="shared" si="12"/>
        <v>0</v>
      </c>
      <c r="DA34" s="125">
        <f t="shared" si="12"/>
        <v>0</v>
      </c>
      <c r="DB34" s="125">
        <f t="shared" si="12"/>
        <v>0</v>
      </c>
      <c r="DC34" s="182">
        <f t="shared" si="12"/>
        <v>0</v>
      </c>
      <c r="DD34" s="125">
        <f t="shared" si="12"/>
        <v>0</v>
      </c>
      <c r="DE34" s="125">
        <f t="shared" si="12"/>
        <v>0</v>
      </c>
      <c r="DF34" s="125">
        <f t="shared" si="12"/>
        <v>0</v>
      </c>
      <c r="DG34" s="125">
        <f t="shared" si="12"/>
        <v>0</v>
      </c>
      <c r="DH34" s="182">
        <f t="shared" si="12"/>
        <v>0</v>
      </c>
    </row>
    <row r="35" spans="1:119" ht="15.75" customHeight="1">
      <c r="B35" s="184" t="s">
        <v>252</v>
      </c>
      <c r="C35" s="283"/>
      <c r="D35" s="143"/>
      <c r="E35" s="143"/>
      <c r="F35" s="284"/>
      <c r="G35" s="410"/>
      <c r="H35" s="411">
        <v>8.4000000000000005E-2</v>
      </c>
      <c r="I35" s="407">
        <f>0.958-H35</f>
        <v>0.874</v>
      </c>
      <c r="J35" s="407">
        <f>1.193-H35-I35</f>
        <v>0.23499999999999999</v>
      </c>
      <c r="K35" s="412">
        <f>L35-H35-I35-J35</f>
        <v>-1.1930000000000001</v>
      </c>
      <c r="L35" s="410">
        <v>0</v>
      </c>
      <c r="M35" s="411">
        <v>5.1999999999999998E-2</v>
      </c>
      <c r="N35" s="407">
        <f>141.674-M35</f>
        <v>141.62200000000001</v>
      </c>
      <c r="O35" s="407">
        <f>141.876-M35-N35</f>
        <v>0.20199999999999818</v>
      </c>
      <c r="P35" s="412"/>
      <c r="Q35" s="410">
        <v>0</v>
      </c>
      <c r="R35" s="411"/>
      <c r="S35" s="407"/>
      <c r="T35" s="407"/>
      <c r="U35" s="412"/>
      <c r="V35" s="410">
        <v>4.3079999999999998</v>
      </c>
      <c r="W35" s="285"/>
      <c r="X35" s="154"/>
      <c r="Y35" s="154"/>
      <c r="Z35" s="286"/>
      <c r="AA35" s="410">
        <v>216.857</v>
      </c>
      <c r="AB35" s="285"/>
      <c r="AC35" s="154"/>
      <c r="AD35" s="154"/>
      <c r="AE35" s="286"/>
      <c r="AF35" s="410">
        <v>448.55599999999998</v>
      </c>
      <c r="AG35" s="285"/>
      <c r="AH35" s="154"/>
      <c r="AI35" s="154"/>
      <c r="AJ35" s="286"/>
      <c r="AK35" s="410">
        <v>405.31700000000001</v>
      </c>
      <c r="AL35" s="285"/>
      <c r="AM35" s="154"/>
      <c r="AN35" s="154"/>
      <c r="AO35" s="286"/>
      <c r="AP35" s="410">
        <v>0</v>
      </c>
      <c r="AQ35" s="285"/>
      <c r="AR35" s="154"/>
      <c r="AS35" s="154"/>
      <c r="AT35" s="286"/>
      <c r="AU35" s="410">
        <v>0</v>
      </c>
      <c r="AV35" s="285"/>
      <c r="AW35" s="154"/>
      <c r="AX35" s="154"/>
      <c r="AY35" s="286"/>
      <c r="AZ35" s="182">
        <f>AU35</f>
        <v>0</v>
      </c>
      <c r="BA35" s="285"/>
      <c r="BB35" s="154"/>
      <c r="BC35" s="154"/>
      <c r="BD35" s="286"/>
      <c r="BE35" s="182">
        <f>AZ35</f>
        <v>0</v>
      </c>
      <c r="BF35" s="285"/>
      <c r="BG35" s="154"/>
      <c r="BH35" s="154"/>
      <c r="BI35" s="286"/>
      <c r="BJ35" s="182">
        <f>BE35</f>
        <v>0</v>
      </c>
      <c r="BK35" s="182"/>
      <c r="BL35" s="182"/>
      <c r="BM35" s="182"/>
      <c r="BN35" s="182"/>
      <c r="BO35" s="182">
        <f t="shared" si="12"/>
        <v>0</v>
      </c>
      <c r="BP35" s="125">
        <f t="shared" si="12"/>
        <v>0</v>
      </c>
      <c r="BQ35" s="125">
        <f t="shared" si="12"/>
        <v>0</v>
      </c>
      <c r="BR35" s="125">
        <f t="shared" si="12"/>
        <v>0</v>
      </c>
      <c r="BS35" s="125">
        <f t="shared" si="12"/>
        <v>0</v>
      </c>
      <c r="BT35" s="182">
        <f t="shared" si="12"/>
        <v>0</v>
      </c>
      <c r="BU35" s="125">
        <f t="shared" si="12"/>
        <v>0</v>
      </c>
      <c r="BV35" s="125">
        <f t="shared" si="12"/>
        <v>0</v>
      </c>
      <c r="BW35" s="125">
        <f t="shared" si="12"/>
        <v>0</v>
      </c>
      <c r="BX35" s="125">
        <f t="shared" si="12"/>
        <v>0</v>
      </c>
      <c r="BY35" s="182">
        <f t="shared" si="12"/>
        <v>0</v>
      </c>
      <c r="BZ35" s="125">
        <f t="shared" si="12"/>
        <v>0</v>
      </c>
      <c r="CA35" s="125">
        <f t="shared" si="12"/>
        <v>0</v>
      </c>
      <c r="CB35" s="125">
        <f t="shared" si="12"/>
        <v>0</v>
      </c>
      <c r="CC35" s="125">
        <f t="shared" si="12"/>
        <v>0</v>
      </c>
      <c r="CD35" s="182">
        <f t="shared" si="12"/>
        <v>0</v>
      </c>
      <c r="CE35" s="125">
        <f t="shared" si="12"/>
        <v>0</v>
      </c>
      <c r="CF35" s="125">
        <f t="shared" si="12"/>
        <v>0</v>
      </c>
      <c r="CG35" s="125">
        <f t="shared" si="12"/>
        <v>0</v>
      </c>
      <c r="CH35" s="125">
        <f t="shared" si="12"/>
        <v>0</v>
      </c>
      <c r="CI35" s="182">
        <f t="shared" si="12"/>
        <v>0</v>
      </c>
      <c r="CJ35" s="125">
        <f t="shared" si="12"/>
        <v>0</v>
      </c>
      <c r="CK35" s="125">
        <f t="shared" si="12"/>
        <v>0</v>
      </c>
      <c r="CL35" s="125">
        <f t="shared" si="12"/>
        <v>0</v>
      </c>
      <c r="CM35" s="125">
        <f t="shared" si="12"/>
        <v>0</v>
      </c>
      <c r="CN35" s="182">
        <f t="shared" si="12"/>
        <v>0</v>
      </c>
      <c r="CO35" s="125">
        <f t="shared" si="12"/>
        <v>0</v>
      </c>
      <c r="CP35" s="125">
        <f t="shared" si="12"/>
        <v>0</v>
      </c>
      <c r="CQ35" s="125">
        <f t="shared" si="12"/>
        <v>0</v>
      </c>
      <c r="CR35" s="125">
        <f t="shared" si="12"/>
        <v>0</v>
      </c>
      <c r="CS35" s="182">
        <f t="shared" si="12"/>
        <v>0</v>
      </c>
      <c r="CT35" s="125">
        <f t="shared" si="12"/>
        <v>0</v>
      </c>
      <c r="CU35" s="125">
        <f t="shared" si="12"/>
        <v>0</v>
      </c>
      <c r="CV35" s="125">
        <f t="shared" si="12"/>
        <v>0</v>
      </c>
      <c r="CW35" s="125">
        <f t="shared" si="12"/>
        <v>0</v>
      </c>
      <c r="CX35" s="182">
        <f t="shared" si="12"/>
        <v>0</v>
      </c>
      <c r="CY35" s="125">
        <f t="shared" si="12"/>
        <v>0</v>
      </c>
      <c r="CZ35" s="125">
        <f t="shared" si="12"/>
        <v>0</v>
      </c>
      <c r="DA35" s="125">
        <f t="shared" si="12"/>
        <v>0</v>
      </c>
      <c r="DB35" s="125">
        <f t="shared" si="12"/>
        <v>0</v>
      </c>
      <c r="DC35" s="182">
        <f t="shared" si="12"/>
        <v>0</v>
      </c>
      <c r="DD35" s="125">
        <f t="shared" si="12"/>
        <v>0</v>
      </c>
      <c r="DE35" s="125">
        <f t="shared" si="12"/>
        <v>0</v>
      </c>
      <c r="DF35" s="125">
        <f t="shared" si="12"/>
        <v>0</v>
      </c>
      <c r="DG35" s="125">
        <f t="shared" si="12"/>
        <v>0</v>
      </c>
      <c r="DH35" s="182">
        <f t="shared" si="12"/>
        <v>0</v>
      </c>
    </row>
    <row r="36" spans="1:119" ht="15.75" customHeight="1">
      <c r="B36" s="173" t="s">
        <v>82</v>
      </c>
      <c r="C36" s="291"/>
      <c r="D36" s="272"/>
      <c r="E36" s="272"/>
      <c r="F36" s="292"/>
      <c r="G36" s="409">
        <f>SUM(G28:G35)</f>
        <v>31.363</v>
      </c>
      <c r="H36" s="293">
        <f t="shared" ref="H36:P36" si="13">H34+H35</f>
        <v>-0.23699999999999999</v>
      </c>
      <c r="I36" s="167">
        <f>I34+I35</f>
        <v>0.58499999999999996</v>
      </c>
      <c r="J36" s="167">
        <f t="shared" si="13"/>
        <v>-3.4000000000000086E-2</v>
      </c>
      <c r="K36" s="294">
        <f t="shared" si="13"/>
        <v>-4.1120000000000001</v>
      </c>
      <c r="L36" s="409">
        <f>SUM(L28:L35)</f>
        <v>243.30599999999998</v>
      </c>
      <c r="M36" s="293">
        <f t="shared" si="13"/>
        <v>-0.19900000000000001</v>
      </c>
      <c r="N36" s="167">
        <f t="shared" si="13"/>
        <v>141.38800000000001</v>
      </c>
      <c r="O36" s="167">
        <f t="shared" si="13"/>
        <v>2.0999999999998131E-2</v>
      </c>
      <c r="P36" s="294">
        <f t="shared" si="13"/>
        <v>0</v>
      </c>
      <c r="Q36" s="409">
        <f>SUM(Q28:Q35)</f>
        <v>384.24900000000008</v>
      </c>
      <c r="R36" s="293"/>
      <c r="S36" s="167"/>
      <c r="T36" s="167"/>
      <c r="U36" s="294"/>
      <c r="V36" s="409">
        <f>SUM(V28:V35)</f>
        <v>-97.646000000000015</v>
      </c>
      <c r="W36" s="293"/>
      <c r="X36" s="167"/>
      <c r="Y36" s="167"/>
      <c r="Z36" s="294"/>
      <c r="AA36" s="409">
        <f>SUM(AA28:AA35)</f>
        <v>77.13900000000001</v>
      </c>
      <c r="AB36" s="293"/>
      <c r="AC36" s="167"/>
      <c r="AD36" s="167"/>
      <c r="AE36" s="294"/>
      <c r="AF36" s="409">
        <f>SUM(AF28:AF35)</f>
        <v>-209.26900000000006</v>
      </c>
      <c r="AG36" s="293"/>
      <c r="AH36" s="167"/>
      <c r="AI36" s="167"/>
      <c r="AJ36" s="294"/>
      <c r="AK36" s="409">
        <f>SUM(AK28:AK35)</f>
        <v>-262.79599999999994</v>
      </c>
      <c r="AL36" s="293"/>
      <c r="AM36" s="167"/>
      <c r="AN36" s="167"/>
      <c r="AO36" s="294"/>
      <c r="AP36" s="409">
        <f>SUM(AP28:AP35)</f>
        <v>-700.39099999999996</v>
      </c>
      <c r="AQ36" s="293"/>
      <c r="AR36" s="167"/>
      <c r="AS36" s="167"/>
      <c r="AT36" s="294"/>
      <c r="AU36" s="409">
        <f>SUM(AU28:AU35)</f>
        <v>-24.399999999999977</v>
      </c>
      <c r="AV36" s="293"/>
      <c r="AW36" s="167"/>
      <c r="AX36" s="167"/>
      <c r="AY36" s="294"/>
      <c r="AZ36" s="409">
        <f>SUM(AZ28:AZ35)</f>
        <v>0</v>
      </c>
      <c r="BA36" s="293"/>
      <c r="BB36" s="167"/>
      <c r="BC36" s="167"/>
      <c r="BD36" s="294"/>
      <c r="BE36" s="409">
        <f>SUM(BE28:BE35)</f>
        <v>0</v>
      </c>
      <c r="BF36" s="293"/>
      <c r="BG36" s="167"/>
      <c r="BH36" s="167"/>
      <c r="BI36" s="294"/>
      <c r="BJ36" s="409">
        <f>SUM(BJ28:BJ35)</f>
        <v>0</v>
      </c>
      <c r="BK36" s="836"/>
      <c r="BL36" s="836"/>
      <c r="BM36" s="836"/>
      <c r="BN36" s="836"/>
      <c r="BO36" s="409">
        <f t="shared" ref="BO36:DH36" si="14">SUM(BO28:BO35)</f>
        <v>0</v>
      </c>
      <c r="BP36" s="125">
        <f t="shared" si="14"/>
        <v>0</v>
      </c>
      <c r="BQ36" s="125">
        <f t="shared" si="14"/>
        <v>0</v>
      </c>
      <c r="BR36" s="125">
        <f t="shared" si="14"/>
        <v>0</v>
      </c>
      <c r="BS36" s="125">
        <f t="shared" si="14"/>
        <v>0</v>
      </c>
      <c r="BT36" s="409">
        <f t="shared" si="14"/>
        <v>0</v>
      </c>
      <c r="BU36" s="125">
        <f t="shared" si="14"/>
        <v>0</v>
      </c>
      <c r="BV36" s="125">
        <f t="shared" si="14"/>
        <v>0</v>
      </c>
      <c r="BW36" s="125">
        <f t="shared" si="14"/>
        <v>0</v>
      </c>
      <c r="BX36" s="125">
        <f t="shared" si="14"/>
        <v>0</v>
      </c>
      <c r="BY36" s="409">
        <f t="shared" si="14"/>
        <v>0</v>
      </c>
      <c r="BZ36" s="125">
        <f t="shared" si="14"/>
        <v>0</v>
      </c>
      <c r="CA36" s="125">
        <f t="shared" si="14"/>
        <v>0</v>
      </c>
      <c r="CB36" s="125">
        <f t="shared" si="14"/>
        <v>0</v>
      </c>
      <c r="CC36" s="125">
        <f t="shared" si="14"/>
        <v>0</v>
      </c>
      <c r="CD36" s="409">
        <f t="shared" si="14"/>
        <v>0</v>
      </c>
      <c r="CE36" s="125">
        <f t="shared" si="14"/>
        <v>0</v>
      </c>
      <c r="CF36" s="125">
        <f t="shared" si="14"/>
        <v>0</v>
      </c>
      <c r="CG36" s="125">
        <f t="shared" si="14"/>
        <v>0</v>
      </c>
      <c r="CH36" s="125">
        <f t="shared" si="14"/>
        <v>0</v>
      </c>
      <c r="CI36" s="409">
        <f t="shared" si="14"/>
        <v>0</v>
      </c>
      <c r="CJ36" s="125">
        <f t="shared" si="14"/>
        <v>0</v>
      </c>
      <c r="CK36" s="125">
        <f t="shared" si="14"/>
        <v>0</v>
      </c>
      <c r="CL36" s="125">
        <f t="shared" si="14"/>
        <v>0</v>
      </c>
      <c r="CM36" s="125">
        <f t="shared" si="14"/>
        <v>0</v>
      </c>
      <c r="CN36" s="409">
        <f t="shared" si="14"/>
        <v>0</v>
      </c>
      <c r="CO36" s="125">
        <f t="shared" si="14"/>
        <v>0</v>
      </c>
      <c r="CP36" s="125">
        <f t="shared" si="14"/>
        <v>0</v>
      </c>
      <c r="CQ36" s="125">
        <f t="shared" si="14"/>
        <v>0</v>
      </c>
      <c r="CR36" s="125">
        <f t="shared" si="14"/>
        <v>0</v>
      </c>
      <c r="CS36" s="409">
        <f t="shared" si="14"/>
        <v>0</v>
      </c>
      <c r="CT36" s="125">
        <f t="shared" si="14"/>
        <v>0</v>
      </c>
      <c r="CU36" s="125">
        <f t="shared" si="14"/>
        <v>0</v>
      </c>
      <c r="CV36" s="125">
        <f t="shared" si="14"/>
        <v>0</v>
      </c>
      <c r="CW36" s="125">
        <f t="shared" si="14"/>
        <v>0</v>
      </c>
      <c r="CX36" s="409">
        <f t="shared" si="14"/>
        <v>0</v>
      </c>
      <c r="CY36" s="125">
        <f t="shared" si="14"/>
        <v>0</v>
      </c>
      <c r="CZ36" s="125">
        <f t="shared" si="14"/>
        <v>0</v>
      </c>
      <c r="DA36" s="125">
        <f t="shared" si="14"/>
        <v>0</v>
      </c>
      <c r="DB36" s="125">
        <f t="shared" si="14"/>
        <v>0</v>
      </c>
      <c r="DC36" s="409">
        <f t="shared" si="14"/>
        <v>0</v>
      </c>
      <c r="DD36" s="125">
        <f t="shared" si="14"/>
        <v>0</v>
      </c>
      <c r="DE36" s="125">
        <f t="shared" si="14"/>
        <v>0</v>
      </c>
      <c r="DF36" s="125">
        <f t="shared" si="14"/>
        <v>0</v>
      </c>
      <c r="DG36" s="125">
        <f t="shared" si="14"/>
        <v>0</v>
      </c>
      <c r="DH36" s="409">
        <f t="shared" si="14"/>
        <v>0</v>
      </c>
    </row>
    <row r="37" spans="1:119" ht="15.75" customHeight="1">
      <c r="C37" s="283"/>
      <c r="D37" s="143"/>
      <c r="E37" s="143"/>
      <c r="F37" s="284"/>
      <c r="G37" s="177"/>
      <c r="H37" s="285"/>
      <c r="I37" s="154"/>
      <c r="J37" s="154"/>
      <c r="K37" s="286"/>
      <c r="L37" s="177"/>
      <c r="M37" s="285"/>
      <c r="N37" s="154"/>
      <c r="O37" s="154"/>
      <c r="P37" s="286"/>
      <c r="Q37" s="177"/>
      <c r="R37" s="285"/>
      <c r="S37" s="154"/>
      <c r="T37" s="154"/>
      <c r="U37" s="286"/>
      <c r="V37" s="177"/>
      <c r="W37" s="285"/>
      <c r="X37" s="154"/>
      <c r="Y37" s="154"/>
      <c r="Z37" s="286"/>
      <c r="AA37" s="177"/>
      <c r="AB37" s="285"/>
      <c r="AC37" s="154"/>
      <c r="AD37" s="154"/>
      <c r="AE37" s="286"/>
      <c r="AF37" s="177"/>
      <c r="AG37" s="285"/>
      <c r="AH37" s="154"/>
      <c r="AI37" s="154"/>
      <c r="AJ37" s="286"/>
      <c r="AK37" s="177"/>
      <c r="AL37" s="285"/>
      <c r="AM37" s="154"/>
      <c r="AN37" s="154"/>
      <c r="AO37" s="286"/>
      <c r="AP37" s="177"/>
      <c r="AQ37" s="285"/>
      <c r="AR37" s="154"/>
      <c r="AS37" s="154"/>
      <c r="AT37" s="286"/>
      <c r="AU37" s="177"/>
      <c r="AV37" s="285"/>
      <c r="AW37" s="154"/>
      <c r="AX37" s="154"/>
      <c r="AY37" s="286"/>
      <c r="AZ37" s="177"/>
      <c r="BA37" s="285"/>
      <c r="BB37" s="154"/>
      <c r="BC37" s="154"/>
      <c r="BD37" s="286"/>
      <c r="BE37" s="177"/>
      <c r="BF37" s="285"/>
      <c r="BG37" s="154"/>
      <c r="BH37" s="154"/>
      <c r="BI37" s="286"/>
      <c r="BJ37" s="177"/>
      <c r="BK37" s="177"/>
      <c r="BL37" s="177"/>
      <c r="BM37" s="177"/>
      <c r="BN37" s="177"/>
      <c r="BO37" s="177"/>
      <c r="BT37" s="177"/>
      <c r="BY37" s="177"/>
      <c r="CD37" s="177"/>
      <c r="CI37" s="177"/>
      <c r="CN37" s="177"/>
      <c r="CS37" s="177"/>
      <c r="CX37" s="177"/>
      <c r="DC37" s="177"/>
      <c r="DH37" s="177"/>
    </row>
    <row r="38" spans="1:119" ht="15.75" customHeight="1">
      <c r="B38" s="125" t="s">
        <v>84</v>
      </c>
      <c r="C38" s="283"/>
      <c r="D38" s="143"/>
      <c r="E38" s="143"/>
      <c r="F38" s="284"/>
      <c r="G38" s="410">
        <v>-40.720999999999997</v>
      </c>
      <c r="H38" s="285">
        <f t="shared" ref="H38:Q38" si="15">H18+H25+H36</f>
        <v>23.763999999999999</v>
      </c>
      <c r="I38" s="154">
        <f t="shared" si="15"/>
        <v>-61.734999999999999</v>
      </c>
      <c r="J38" s="154">
        <f t="shared" si="15"/>
        <v>8.8369999999999997</v>
      </c>
      <c r="K38" s="286">
        <f t="shared" si="15"/>
        <v>-411.69499999999988</v>
      </c>
      <c r="L38" s="177">
        <f t="shared" si="15"/>
        <v>-94.502999999999986</v>
      </c>
      <c r="M38" s="285">
        <f t="shared" si="15"/>
        <v>20.708999999999996</v>
      </c>
      <c r="N38" s="154">
        <f t="shared" si="15"/>
        <v>16.321000000000012</v>
      </c>
      <c r="O38" s="154">
        <f t="shared" si="15"/>
        <v>-25.541000000000054</v>
      </c>
      <c r="P38" s="286">
        <f t="shared" si="15"/>
        <v>0</v>
      </c>
      <c r="Q38" s="177">
        <f t="shared" si="15"/>
        <v>371.03800000000007</v>
      </c>
      <c r="R38" s="285"/>
      <c r="S38" s="154"/>
      <c r="T38" s="154"/>
      <c r="U38" s="286"/>
      <c r="V38" s="177">
        <f>V18+V25+V36</f>
        <v>-253.33400000000006</v>
      </c>
      <c r="W38" s="285"/>
      <c r="X38" s="154"/>
      <c r="Y38" s="154"/>
      <c r="Z38" s="286"/>
      <c r="AA38" s="177">
        <f>AA18+AA25+AA36</f>
        <v>305.33199999999999</v>
      </c>
      <c r="AB38" s="285"/>
      <c r="AC38" s="154"/>
      <c r="AD38" s="154"/>
      <c r="AE38" s="286"/>
      <c r="AF38" s="177">
        <f>AF18+AF25+AF36</f>
        <v>113.11099999999999</v>
      </c>
      <c r="AG38" s="285"/>
      <c r="AH38" s="154"/>
      <c r="AI38" s="154"/>
      <c r="AJ38" s="286"/>
      <c r="AK38" s="177">
        <f>AK18+AK25+AK36</f>
        <v>160.38300000000027</v>
      </c>
      <c r="AL38" s="285"/>
      <c r="AM38" s="154"/>
      <c r="AN38" s="154"/>
      <c r="AO38" s="286"/>
      <c r="AP38" s="177">
        <f>AP18+AP25+AP36</f>
        <v>-273.89900000000023</v>
      </c>
      <c r="AQ38" s="285"/>
      <c r="AR38" s="154"/>
      <c r="AS38" s="154"/>
      <c r="AT38" s="286"/>
      <c r="AU38" s="177">
        <f>AU18+AU25+AU36</f>
        <v>277.52999999999997</v>
      </c>
      <c r="AV38" s="285"/>
      <c r="AW38" s="154"/>
      <c r="AX38" s="154"/>
      <c r="AY38" s="286"/>
      <c r="AZ38" s="177">
        <f>AZ18+AZ25+AZ36</f>
        <v>1704.8687369841828</v>
      </c>
      <c r="BA38" s="285"/>
      <c r="BB38" s="154"/>
      <c r="BC38" s="154"/>
      <c r="BD38" s="286"/>
      <c r="BE38" s="177">
        <f>BE18+BE25+BE36</f>
        <v>1967.0508853414285</v>
      </c>
      <c r="BF38" s="285"/>
      <c r="BG38" s="154"/>
      <c r="BH38" s="154"/>
      <c r="BI38" s="286"/>
      <c r="BJ38" s="177">
        <f>BJ18+BJ25+BJ36</f>
        <v>2371.3050365949694</v>
      </c>
      <c r="BK38" s="177"/>
      <c r="BL38" s="177"/>
      <c r="BM38" s="177"/>
      <c r="BN38" s="177"/>
      <c r="BO38" s="177">
        <f t="shared" ref="BO38:DH38" si="16">BO18+BO25+BO36</f>
        <v>2885.5185646527166</v>
      </c>
      <c r="BP38" s="125">
        <f t="shared" si="16"/>
        <v>0</v>
      </c>
      <c r="BQ38" s="125">
        <f t="shared" si="16"/>
        <v>0</v>
      </c>
      <c r="BR38" s="125">
        <f t="shared" si="16"/>
        <v>0</v>
      </c>
      <c r="BS38" s="125">
        <f t="shared" si="16"/>
        <v>0</v>
      </c>
      <c r="BT38" s="177">
        <f t="shared" si="16"/>
        <v>3418.4824876932416</v>
      </c>
      <c r="BU38" s="125">
        <f t="shared" si="16"/>
        <v>0</v>
      </c>
      <c r="BV38" s="125">
        <f t="shared" si="16"/>
        <v>0</v>
      </c>
      <c r="BW38" s="125">
        <f t="shared" si="16"/>
        <v>0</v>
      </c>
      <c r="BX38" s="125">
        <f t="shared" si="16"/>
        <v>0</v>
      </c>
      <c r="BY38" s="177">
        <f t="shared" si="16"/>
        <v>3855.1927155119438</v>
      </c>
      <c r="BZ38" s="125">
        <f t="shared" si="16"/>
        <v>0</v>
      </c>
      <c r="CA38" s="125">
        <f t="shared" si="16"/>
        <v>0</v>
      </c>
      <c r="CB38" s="125">
        <f t="shared" si="16"/>
        <v>0</v>
      </c>
      <c r="CC38" s="125">
        <f t="shared" si="16"/>
        <v>0</v>
      </c>
      <c r="CD38" s="177">
        <f t="shared" si="16"/>
        <v>4252.9986929106308</v>
      </c>
      <c r="CE38" s="125">
        <f t="shared" si="16"/>
        <v>0</v>
      </c>
      <c r="CF38" s="125">
        <f t="shared" si="16"/>
        <v>0</v>
      </c>
      <c r="CG38" s="125">
        <f t="shared" si="16"/>
        <v>0</v>
      </c>
      <c r="CH38" s="125">
        <f t="shared" si="16"/>
        <v>0</v>
      </c>
      <c r="CI38" s="177">
        <f t="shared" si="16"/>
        <v>4717.5119714072589</v>
      </c>
      <c r="CJ38" s="125">
        <f t="shared" si="16"/>
        <v>0</v>
      </c>
      <c r="CK38" s="125">
        <f t="shared" si="16"/>
        <v>0</v>
      </c>
      <c r="CL38" s="125">
        <f t="shared" si="16"/>
        <v>0</v>
      </c>
      <c r="CM38" s="125">
        <f t="shared" si="16"/>
        <v>0</v>
      </c>
      <c r="CN38" s="177">
        <f t="shared" si="16"/>
        <v>4903.1427602260446</v>
      </c>
      <c r="CO38" s="125">
        <f t="shared" si="16"/>
        <v>0</v>
      </c>
      <c r="CP38" s="125">
        <f t="shared" si="16"/>
        <v>0</v>
      </c>
      <c r="CQ38" s="125">
        <f t="shared" si="16"/>
        <v>0</v>
      </c>
      <c r="CR38" s="125">
        <f t="shared" si="16"/>
        <v>0</v>
      </c>
      <c r="CS38" s="177">
        <f t="shared" si="16"/>
        <v>4793.7937452468768</v>
      </c>
      <c r="CT38" s="125">
        <f t="shared" si="16"/>
        <v>0</v>
      </c>
      <c r="CU38" s="125">
        <f t="shared" si="16"/>
        <v>0</v>
      </c>
      <c r="CV38" s="125">
        <f t="shared" si="16"/>
        <v>0</v>
      </c>
      <c r="CW38" s="125">
        <f t="shared" si="16"/>
        <v>0</v>
      </c>
      <c r="CX38" s="177">
        <f t="shared" si="16"/>
        <v>5024.84182413284</v>
      </c>
      <c r="CY38" s="125">
        <f t="shared" si="16"/>
        <v>0</v>
      </c>
      <c r="CZ38" s="125">
        <f t="shared" si="16"/>
        <v>0</v>
      </c>
      <c r="DA38" s="125">
        <f t="shared" si="16"/>
        <v>0</v>
      </c>
      <c r="DB38" s="125">
        <f t="shared" si="16"/>
        <v>0</v>
      </c>
      <c r="DC38" s="177">
        <f t="shared" si="16"/>
        <v>4729.0823322107162</v>
      </c>
      <c r="DD38" s="125">
        <f t="shared" si="16"/>
        <v>0</v>
      </c>
      <c r="DE38" s="125">
        <f t="shared" si="16"/>
        <v>0</v>
      </c>
      <c r="DF38" s="125">
        <f t="shared" si="16"/>
        <v>0</v>
      </c>
      <c r="DG38" s="125">
        <f t="shared" si="16"/>
        <v>0</v>
      </c>
      <c r="DH38" s="177">
        <f t="shared" si="16"/>
        <v>4717.1897500243267</v>
      </c>
    </row>
    <row r="39" spans="1:119" ht="15.75" customHeight="1">
      <c r="B39" s="125" t="s">
        <v>85</v>
      </c>
      <c r="C39" s="283"/>
      <c r="D39" s="143"/>
      <c r="E39" s="143"/>
      <c r="F39" s="284"/>
      <c r="G39" s="410">
        <v>247.79599999999999</v>
      </c>
      <c r="H39" s="295">
        <f>G40</f>
        <v>207.07499999999999</v>
      </c>
      <c r="I39" s="296">
        <f>H40</f>
        <v>230.839</v>
      </c>
      <c r="J39" s="296">
        <f>I40</f>
        <v>169.10399999999998</v>
      </c>
      <c r="K39" s="297">
        <f>J40</f>
        <v>177.94099999999997</v>
      </c>
      <c r="L39" s="182">
        <f>G40</f>
        <v>207.07499999999999</v>
      </c>
      <c r="M39" s="295">
        <f>L40</f>
        <v>112.572</v>
      </c>
      <c r="N39" s="296">
        <f>M40</f>
        <v>133.28100000000001</v>
      </c>
      <c r="O39" s="296">
        <f>N40</f>
        <v>149.60200000000003</v>
      </c>
      <c r="P39" s="297">
        <f>O40</f>
        <v>124.06099999999998</v>
      </c>
      <c r="Q39" s="416">
        <f>L40</f>
        <v>112.572</v>
      </c>
      <c r="R39" s="417"/>
      <c r="S39" s="418"/>
      <c r="T39" s="418"/>
      <c r="U39" s="419"/>
      <c r="V39" s="416">
        <f>Q40</f>
        <v>483.61000000000007</v>
      </c>
      <c r="W39" s="417"/>
      <c r="X39" s="418"/>
      <c r="Y39" s="418"/>
      <c r="Z39" s="419"/>
      <c r="AA39" s="420">
        <v>230.27600000000001</v>
      </c>
      <c r="AB39" s="417"/>
      <c r="AC39" s="418"/>
      <c r="AD39" s="418"/>
      <c r="AE39" s="419"/>
      <c r="AF39" s="420">
        <v>535.60799999999995</v>
      </c>
      <c r="AG39" s="417"/>
      <c r="AH39" s="418"/>
      <c r="AI39" s="418"/>
      <c r="AJ39" s="419"/>
      <c r="AK39" s="420">
        <v>648.71900000000005</v>
      </c>
      <c r="AL39" s="417"/>
      <c r="AM39" s="418"/>
      <c r="AN39" s="418"/>
      <c r="AO39" s="419"/>
      <c r="AP39" s="420">
        <f>AK40</f>
        <v>809.10200000000032</v>
      </c>
      <c r="AQ39" s="417"/>
      <c r="AR39" s="418"/>
      <c r="AS39" s="418"/>
      <c r="AT39" s="419"/>
      <c r="AU39" s="416">
        <f>AP40</f>
        <v>535.20300000000009</v>
      </c>
      <c r="AV39" s="417"/>
      <c r="AW39" s="418"/>
      <c r="AX39" s="418"/>
      <c r="AY39" s="419"/>
      <c r="AZ39" s="416">
        <f>AU40</f>
        <v>812.73300000000006</v>
      </c>
      <c r="BA39" s="417"/>
      <c r="BB39" s="418"/>
      <c r="BC39" s="418"/>
      <c r="BD39" s="419"/>
      <c r="BE39" s="416">
        <f>AZ40</f>
        <v>2517.6017369841829</v>
      </c>
      <c r="BF39" s="417"/>
      <c r="BG39" s="418"/>
      <c r="BH39" s="418"/>
      <c r="BI39" s="419"/>
      <c r="BJ39" s="416">
        <f>BE40</f>
        <v>4484.6526223256114</v>
      </c>
      <c r="BK39" s="416"/>
      <c r="BL39" s="416"/>
      <c r="BM39" s="416"/>
      <c r="BN39" s="416"/>
      <c r="BO39" s="416">
        <f t="shared" ref="BO39:DH39" si="17">BJ40</f>
        <v>6855.9576589205808</v>
      </c>
      <c r="BP39" s="125">
        <f t="shared" si="17"/>
        <v>0</v>
      </c>
      <c r="BQ39" s="125">
        <f t="shared" si="17"/>
        <v>0</v>
      </c>
      <c r="BR39" s="125">
        <f t="shared" si="17"/>
        <v>0</v>
      </c>
      <c r="BS39" s="125">
        <f t="shared" si="17"/>
        <v>0</v>
      </c>
      <c r="BT39" s="416">
        <f t="shared" si="17"/>
        <v>9741.4762235732978</v>
      </c>
      <c r="BU39" s="125">
        <f t="shared" si="17"/>
        <v>0</v>
      </c>
      <c r="BV39" s="125">
        <f t="shared" si="17"/>
        <v>0</v>
      </c>
      <c r="BW39" s="125">
        <f t="shared" si="17"/>
        <v>0</v>
      </c>
      <c r="BX39" s="125">
        <f t="shared" si="17"/>
        <v>0</v>
      </c>
      <c r="BY39" s="416">
        <f t="shared" si="17"/>
        <v>13159.958711266539</v>
      </c>
      <c r="BZ39" s="125">
        <f t="shared" si="17"/>
        <v>0</v>
      </c>
      <c r="CA39" s="125">
        <f t="shared" si="17"/>
        <v>0</v>
      </c>
      <c r="CB39" s="125">
        <f t="shared" si="17"/>
        <v>0</v>
      </c>
      <c r="CC39" s="125">
        <f t="shared" si="17"/>
        <v>0</v>
      </c>
      <c r="CD39" s="416">
        <f t="shared" si="17"/>
        <v>17015.151426778484</v>
      </c>
      <c r="CE39" s="125">
        <f t="shared" si="17"/>
        <v>0</v>
      </c>
      <c r="CF39" s="125">
        <f t="shared" si="17"/>
        <v>0</v>
      </c>
      <c r="CG39" s="125">
        <f t="shared" si="17"/>
        <v>0</v>
      </c>
      <c r="CH39" s="125">
        <f t="shared" si="17"/>
        <v>0</v>
      </c>
      <c r="CI39" s="416">
        <f t="shared" si="17"/>
        <v>21268.150119689115</v>
      </c>
      <c r="CJ39" s="125">
        <f t="shared" si="17"/>
        <v>0</v>
      </c>
      <c r="CK39" s="125">
        <f t="shared" si="17"/>
        <v>0</v>
      </c>
      <c r="CL39" s="125">
        <f t="shared" si="17"/>
        <v>0</v>
      </c>
      <c r="CM39" s="125">
        <f t="shared" si="17"/>
        <v>0</v>
      </c>
      <c r="CN39" s="416">
        <f t="shared" si="17"/>
        <v>25985.662091096376</v>
      </c>
      <c r="CO39" s="125">
        <f t="shared" si="17"/>
        <v>0</v>
      </c>
      <c r="CP39" s="125">
        <f t="shared" si="17"/>
        <v>0</v>
      </c>
      <c r="CQ39" s="125">
        <f t="shared" si="17"/>
        <v>0</v>
      </c>
      <c r="CR39" s="125">
        <f t="shared" si="17"/>
        <v>0</v>
      </c>
      <c r="CS39" s="416">
        <f t="shared" si="17"/>
        <v>30888.80485132242</v>
      </c>
      <c r="CT39" s="125">
        <f t="shared" si="17"/>
        <v>0</v>
      </c>
      <c r="CU39" s="125">
        <f t="shared" si="17"/>
        <v>0</v>
      </c>
      <c r="CV39" s="125">
        <f t="shared" si="17"/>
        <v>0</v>
      </c>
      <c r="CW39" s="125">
        <f t="shared" si="17"/>
        <v>0</v>
      </c>
      <c r="CX39" s="416">
        <f t="shared" si="17"/>
        <v>35682.598596569296</v>
      </c>
      <c r="CY39" s="125">
        <f t="shared" si="17"/>
        <v>0</v>
      </c>
      <c r="CZ39" s="125">
        <f t="shared" si="17"/>
        <v>0</v>
      </c>
      <c r="DA39" s="125">
        <f t="shared" si="17"/>
        <v>0</v>
      </c>
      <c r="DB39" s="125">
        <f t="shared" si="17"/>
        <v>0</v>
      </c>
      <c r="DC39" s="416">
        <f t="shared" si="17"/>
        <v>40707.440420702136</v>
      </c>
      <c r="DD39" s="125">
        <f t="shared" si="17"/>
        <v>0</v>
      </c>
      <c r="DE39" s="125">
        <f t="shared" si="17"/>
        <v>0</v>
      </c>
      <c r="DF39" s="125">
        <f t="shared" si="17"/>
        <v>0</v>
      </c>
      <c r="DG39" s="125">
        <f t="shared" si="17"/>
        <v>0</v>
      </c>
      <c r="DH39" s="416">
        <f t="shared" si="17"/>
        <v>45436.522752912853</v>
      </c>
    </row>
    <row r="40" spans="1:119" ht="15.75" customHeight="1" thickBot="1">
      <c r="B40" s="227" t="s">
        <v>86</v>
      </c>
      <c r="C40" s="298"/>
      <c r="D40" s="299"/>
      <c r="E40" s="299"/>
      <c r="F40" s="300"/>
      <c r="G40" s="228">
        <f>G38+G39</f>
        <v>207.07499999999999</v>
      </c>
      <c r="H40" s="301">
        <f t="shared" ref="H40:P40" si="18">H38+H39</f>
        <v>230.839</v>
      </c>
      <c r="I40" s="228">
        <f t="shared" si="18"/>
        <v>169.10399999999998</v>
      </c>
      <c r="J40" s="228">
        <f t="shared" si="18"/>
        <v>177.94099999999997</v>
      </c>
      <c r="K40" s="302">
        <f t="shared" si="18"/>
        <v>-233.75399999999991</v>
      </c>
      <c r="L40" s="228">
        <f t="shared" si="18"/>
        <v>112.572</v>
      </c>
      <c r="M40" s="301">
        <f t="shared" si="18"/>
        <v>133.28100000000001</v>
      </c>
      <c r="N40" s="228">
        <f t="shared" si="18"/>
        <v>149.60200000000003</v>
      </c>
      <c r="O40" s="228">
        <f t="shared" si="18"/>
        <v>124.06099999999998</v>
      </c>
      <c r="P40" s="302">
        <f t="shared" si="18"/>
        <v>124.06099999999998</v>
      </c>
      <c r="Q40" s="228">
        <f>Q38+Q39</f>
        <v>483.61000000000007</v>
      </c>
      <c r="R40" s="301"/>
      <c r="S40" s="228"/>
      <c r="T40" s="228"/>
      <c r="U40" s="302"/>
      <c r="V40" s="228">
        <f>V38+V39</f>
        <v>230.27600000000001</v>
      </c>
      <c r="W40" s="301"/>
      <c r="X40" s="228"/>
      <c r="Y40" s="228"/>
      <c r="Z40" s="302"/>
      <c r="AA40" s="228">
        <f>AA38+AA39</f>
        <v>535.60799999999995</v>
      </c>
      <c r="AB40" s="301"/>
      <c r="AC40" s="228"/>
      <c r="AD40" s="228"/>
      <c r="AE40" s="302"/>
      <c r="AF40" s="228">
        <f>AF38+AF39</f>
        <v>648.71899999999994</v>
      </c>
      <c r="AG40" s="301"/>
      <c r="AH40" s="228"/>
      <c r="AI40" s="228"/>
      <c r="AJ40" s="302"/>
      <c r="AK40" s="228">
        <f>AK38+AK39</f>
        <v>809.10200000000032</v>
      </c>
      <c r="AL40" s="301"/>
      <c r="AM40" s="228"/>
      <c r="AN40" s="228"/>
      <c r="AO40" s="302"/>
      <c r="AP40" s="228">
        <f>AP38+AP39</f>
        <v>535.20300000000009</v>
      </c>
      <c r="AQ40" s="301"/>
      <c r="AR40" s="228"/>
      <c r="AS40" s="228"/>
      <c r="AT40" s="302"/>
      <c r="AU40" s="228">
        <f>AU38+AU39</f>
        <v>812.73300000000006</v>
      </c>
      <c r="AV40" s="301"/>
      <c r="AW40" s="228"/>
      <c r="AX40" s="228"/>
      <c r="AY40" s="302"/>
      <c r="AZ40" s="228">
        <f>AZ38+AZ39</f>
        <v>2517.6017369841829</v>
      </c>
      <c r="BA40" s="301"/>
      <c r="BB40" s="228"/>
      <c r="BC40" s="228"/>
      <c r="BD40" s="302"/>
      <c r="BE40" s="228">
        <f>BE38+BE39</f>
        <v>4484.6526223256114</v>
      </c>
      <c r="BF40" s="301"/>
      <c r="BG40" s="228"/>
      <c r="BH40" s="228"/>
      <c r="BI40" s="302"/>
      <c r="BJ40" s="228">
        <f>BJ38+BJ39</f>
        <v>6855.9576589205808</v>
      </c>
      <c r="BK40" s="1022"/>
      <c r="BL40" s="1022"/>
      <c r="BM40" s="1022"/>
      <c r="BN40" s="1022"/>
      <c r="BO40" s="228">
        <f t="shared" ref="BO40:DH40" si="19">BO38+BO39</f>
        <v>9741.4762235732978</v>
      </c>
      <c r="BP40" s="125">
        <f t="shared" si="19"/>
        <v>0</v>
      </c>
      <c r="BQ40" s="125">
        <f t="shared" si="19"/>
        <v>0</v>
      </c>
      <c r="BR40" s="125">
        <f t="shared" si="19"/>
        <v>0</v>
      </c>
      <c r="BS40" s="125">
        <f t="shared" si="19"/>
        <v>0</v>
      </c>
      <c r="BT40" s="228">
        <f t="shared" si="19"/>
        <v>13159.958711266539</v>
      </c>
      <c r="BU40" s="125">
        <f t="shared" si="19"/>
        <v>0</v>
      </c>
      <c r="BV40" s="125">
        <f t="shared" si="19"/>
        <v>0</v>
      </c>
      <c r="BW40" s="125">
        <f t="shared" si="19"/>
        <v>0</v>
      </c>
      <c r="BX40" s="125">
        <f t="shared" si="19"/>
        <v>0</v>
      </c>
      <c r="BY40" s="228">
        <f t="shared" si="19"/>
        <v>17015.151426778484</v>
      </c>
      <c r="BZ40" s="125">
        <f t="shared" si="19"/>
        <v>0</v>
      </c>
      <c r="CA40" s="125">
        <f t="shared" si="19"/>
        <v>0</v>
      </c>
      <c r="CB40" s="125">
        <f t="shared" si="19"/>
        <v>0</v>
      </c>
      <c r="CC40" s="125">
        <f t="shared" si="19"/>
        <v>0</v>
      </c>
      <c r="CD40" s="228">
        <f t="shared" si="19"/>
        <v>21268.150119689115</v>
      </c>
      <c r="CE40" s="125">
        <f t="shared" si="19"/>
        <v>0</v>
      </c>
      <c r="CF40" s="125">
        <f t="shared" si="19"/>
        <v>0</v>
      </c>
      <c r="CG40" s="125">
        <f t="shared" si="19"/>
        <v>0</v>
      </c>
      <c r="CH40" s="125">
        <f t="shared" si="19"/>
        <v>0</v>
      </c>
      <c r="CI40" s="228">
        <f t="shared" si="19"/>
        <v>25985.662091096376</v>
      </c>
      <c r="CJ40" s="125">
        <f t="shared" si="19"/>
        <v>0</v>
      </c>
      <c r="CK40" s="125">
        <f t="shared" si="19"/>
        <v>0</v>
      </c>
      <c r="CL40" s="125">
        <f t="shared" si="19"/>
        <v>0</v>
      </c>
      <c r="CM40" s="125">
        <f t="shared" si="19"/>
        <v>0</v>
      </c>
      <c r="CN40" s="228">
        <f t="shared" si="19"/>
        <v>30888.80485132242</v>
      </c>
      <c r="CO40" s="125">
        <f t="shared" si="19"/>
        <v>0</v>
      </c>
      <c r="CP40" s="125">
        <f t="shared" si="19"/>
        <v>0</v>
      </c>
      <c r="CQ40" s="125">
        <f t="shared" si="19"/>
        <v>0</v>
      </c>
      <c r="CR40" s="125">
        <f t="shared" si="19"/>
        <v>0</v>
      </c>
      <c r="CS40" s="228">
        <f t="shared" si="19"/>
        <v>35682.598596569296</v>
      </c>
      <c r="CT40" s="125">
        <f t="shared" si="19"/>
        <v>0</v>
      </c>
      <c r="CU40" s="125">
        <f t="shared" si="19"/>
        <v>0</v>
      </c>
      <c r="CV40" s="125">
        <f t="shared" si="19"/>
        <v>0</v>
      </c>
      <c r="CW40" s="125">
        <f t="shared" si="19"/>
        <v>0</v>
      </c>
      <c r="CX40" s="228">
        <f t="shared" si="19"/>
        <v>40707.440420702136</v>
      </c>
      <c r="CY40" s="125">
        <f t="shared" si="19"/>
        <v>0</v>
      </c>
      <c r="CZ40" s="125">
        <f t="shared" si="19"/>
        <v>0</v>
      </c>
      <c r="DA40" s="125">
        <f t="shared" si="19"/>
        <v>0</v>
      </c>
      <c r="DB40" s="125">
        <f t="shared" si="19"/>
        <v>0</v>
      </c>
      <c r="DC40" s="228">
        <f t="shared" si="19"/>
        <v>45436.522752912853</v>
      </c>
      <c r="DD40" s="125">
        <f t="shared" si="19"/>
        <v>0</v>
      </c>
      <c r="DE40" s="125">
        <f t="shared" si="19"/>
        <v>0</v>
      </c>
      <c r="DF40" s="125">
        <f t="shared" si="19"/>
        <v>0</v>
      </c>
      <c r="DG40" s="125">
        <f t="shared" si="19"/>
        <v>0</v>
      </c>
      <c r="DH40" s="228">
        <f t="shared" si="19"/>
        <v>50153.712502937182</v>
      </c>
    </row>
    <row r="41" spans="1:119" ht="15.75" customHeight="1" thickTop="1"/>
    <row r="42" spans="1:119" s="422" customFormat="1" ht="15.75" customHeight="1">
      <c r="A42" s="421"/>
      <c r="B42" s="422" t="s">
        <v>762</v>
      </c>
      <c r="DJ42"/>
      <c r="DK42"/>
      <c r="DL42"/>
      <c r="DM42"/>
      <c r="DN42"/>
      <c r="DO42"/>
    </row>
    <row r="43" spans="1:119" s="422" customFormat="1" ht="15.75" customHeight="1">
      <c r="A43" s="421"/>
      <c r="B43" s="422" t="s">
        <v>760</v>
      </c>
      <c r="G43" s="423">
        <v>78.860861999999997</v>
      </c>
      <c r="H43" s="423"/>
      <c r="I43" s="423"/>
      <c r="J43" s="423"/>
      <c r="K43" s="423"/>
      <c r="L43" s="423">
        <v>87.238301000000007</v>
      </c>
      <c r="M43" s="423"/>
      <c r="N43" s="423"/>
      <c r="O43" s="423"/>
      <c r="Q43" s="422">
        <v>90.692070999999999</v>
      </c>
      <c r="V43" s="422">
        <v>95.223524999999995</v>
      </c>
      <c r="AA43" s="422">
        <v>97.666814000000002</v>
      </c>
      <c r="AF43" s="422">
        <f>AA43</f>
        <v>97.666814000000002</v>
      </c>
      <c r="AK43" s="422">
        <f>AF43</f>
        <v>97.666814000000002</v>
      </c>
      <c r="AP43" s="422">
        <f>AK43</f>
        <v>97.666814000000002</v>
      </c>
      <c r="AU43" s="422">
        <f>AP43</f>
        <v>97.666814000000002</v>
      </c>
      <c r="AZ43" s="422">
        <f>AU43</f>
        <v>97.666814000000002</v>
      </c>
      <c r="BE43" s="422">
        <f>AZ43</f>
        <v>97.666814000000002</v>
      </c>
      <c r="BJ43" s="422">
        <f>BE43</f>
        <v>97.666814000000002</v>
      </c>
      <c r="BO43" s="422">
        <f>BJ43</f>
        <v>97.666814000000002</v>
      </c>
      <c r="BT43" s="422">
        <f>BO43</f>
        <v>97.666814000000002</v>
      </c>
      <c r="BY43" s="422">
        <f>BT43</f>
        <v>97.666814000000002</v>
      </c>
      <c r="CD43" s="422">
        <f>BY43</f>
        <v>97.666814000000002</v>
      </c>
      <c r="CI43" s="422">
        <f>CD43</f>
        <v>97.666814000000002</v>
      </c>
      <c r="CN43" s="422">
        <f>CI43</f>
        <v>97.666814000000002</v>
      </c>
      <c r="CS43" s="422">
        <f>CN43</f>
        <v>97.666814000000002</v>
      </c>
      <c r="CX43" s="422">
        <f>CS43</f>
        <v>97.666814000000002</v>
      </c>
      <c r="DC43" s="422">
        <f>CX43</f>
        <v>97.666814000000002</v>
      </c>
      <c r="DH43" s="422">
        <f>DC43</f>
        <v>97.666814000000002</v>
      </c>
      <c r="DJ43"/>
      <c r="DK43"/>
      <c r="DL43"/>
      <c r="DM43"/>
      <c r="DN43"/>
      <c r="DO43"/>
    </row>
    <row r="44" spans="1:119" s="422" customFormat="1" ht="15.75" customHeight="1">
      <c r="A44" s="421"/>
      <c r="B44" s="422" t="s">
        <v>761</v>
      </c>
      <c r="G44" s="423">
        <v>0.35</v>
      </c>
      <c r="H44" s="423"/>
      <c r="I44" s="423"/>
      <c r="J44" s="423"/>
      <c r="K44" s="424"/>
      <c r="L44" s="423">
        <v>0.35</v>
      </c>
      <c r="M44" s="423"/>
      <c r="N44" s="423"/>
      <c r="O44" s="424"/>
      <c r="Q44" s="422">
        <v>0.35</v>
      </c>
      <c r="V44" s="422">
        <f>+(35%+5.4%)</f>
        <v>0.40399999999999997</v>
      </c>
      <c r="AA44" s="422">
        <f>+(35%+3.4%)</f>
        <v>0.38400000000000001</v>
      </c>
      <c r="AF44" s="422">
        <f>AA44</f>
        <v>0.38400000000000001</v>
      </c>
      <c r="AK44" s="422">
        <f>AF44</f>
        <v>0.38400000000000001</v>
      </c>
      <c r="AP44" s="422">
        <f>AK44</f>
        <v>0.38400000000000001</v>
      </c>
      <c r="AU44" s="422">
        <f>AP44</f>
        <v>0.38400000000000001</v>
      </c>
      <c r="AZ44" s="422">
        <f>AU44</f>
        <v>0.38400000000000001</v>
      </c>
      <c r="BE44" s="422">
        <f>AZ44</f>
        <v>0.38400000000000001</v>
      </c>
      <c r="BJ44" s="422">
        <f>BE44</f>
        <v>0.38400000000000001</v>
      </c>
      <c r="BO44" s="422">
        <f>BJ44</f>
        <v>0.38400000000000001</v>
      </c>
      <c r="BT44" s="422">
        <f>BO44</f>
        <v>0.38400000000000001</v>
      </c>
      <c r="BY44" s="422">
        <f>BT44</f>
        <v>0.38400000000000001</v>
      </c>
      <c r="CD44" s="422">
        <f>BY44</f>
        <v>0.38400000000000001</v>
      </c>
      <c r="CI44" s="422">
        <f>CD44</f>
        <v>0.38400000000000001</v>
      </c>
      <c r="CN44" s="422">
        <f>CI44</f>
        <v>0.38400000000000001</v>
      </c>
      <c r="CS44" s="422">
        <f>CN44</f>
        <v>0.38400000000000001</v>
      </c>
      <c r="CX44" s="422">
        <f>CS44</f>
        <v>0.38400000000000001</v>
      </c>
      <c r="DC44" s="422">
        <f>CX44</f>
        <v>0.38400000000000001</v>
      </c>
      <c r="DH44" s="422">
        <f>DC44</f>
        <v>0.38400000000000001</v>
      </c>
      <c r="DJ44"/>
      <c r="DK44"/>
      <c r="DL44"/>
      <c r="DM44"/>
      <c r="DN44"/>
      <c r="DO44"/>
    </row>
    <row r="45" spans="1:119" ht="15.75" customHeight="1">
      <c r="B45" s="125" t="s">
        <v>763</v>
      </c>
      <c r="G45" s="125">
        <v>0</v>
      </c>
      <c r="L45" s="125">
        <v>0</v>
      </c>
      <c r="Q45" s="125">
        <v>0</v>
      </c>
      <c r="V45" s="125">
        <v>0</v>
      </c>
      <c r="AA45" s="125">
        <v>0</v>
      </c>
      <c r="AF45" s="125">
        <v>0</v>
      </c>
      <c r="AK45" s="125">
        <v>0</v>
      </c>
      <c r="AP45" s="125">
        <v>0</v>
      </c>
      <c r="AU45" s="125">
        <v>0</v>
      </c>
      <c r="AZ45" s="125">
        <v>0</v>
      </c>
      <c r="BE45" s="125">
        <v>0</v>
      </c>
      <c r="BJ45" s="125">
        <v>0</v>
      </c>
      <c r="BO45" s="125">
        <v>0</v>
      </c>
      <c r="BT45" s="125">
        <v>0</v>
      </c>
      <c r="BY45" s="125">
        <v>0</v>
      </c>
      <c r="CD45" s="125">
        <v>0</v>
      </c>
      <c r="CI45" s="125">
        <v>0</v>
      </c>
      <c r="CN45" s="125">
        <v>0</v>
      </c>
      <c r="CS45" s="125">
        <v>0</v>
      </c>
      <c r="CX45" s="125">
        <v>0</v>
      </c>
      <c r="DC45" s="125">
        <v>0</v>
      </c>
      <c r="DH45" s="125">
        <v>0</v>
      </c>
    </row>
    <row r="46" spans="1:119" ht="15.75" customHeight="1">
      <c r="B46" s="125" t="s">
        <v>769</v>
      </c>
      <c r="G46" s="125">
        <f>G31+G33+G34+G35</f>
        <v>8.5980000000000008</v>
      </c>
      <c r="L46" s="125">
        <f>L31+L33+L34+L35</f>
        <v>196.79</v>
      </c>
      <c r="Q46" s="125">
        <f>Q31+Q33+Q34+Q35</f>
        <v>112.309</v>
      </c>
      <c r="V46" s="125">
        <f>V31+V33+V34+V35</f>
        <v>-95.443000000000012</v>
      </c>
      <c r="AA46" s="125">
        <f>AA31+AA33+AA34+AA35</f>
        <v>79.163000000000011</v>
      </c>
      <c r="AF46" s="125">
        <f>AF31+AF33+AF34+AF35</f>
        <v>12.464999999999975</v>
      </c>
      <c r="AK46" s="125">
        <f>AK31+AK33+AK34+AK35</f>
        <v>-122.34899999999993</v>
      </c>
      <c r="AP46" s="125">
        <f>AP31+AP33+AP34+AP35</f>
        <v>-659.80799999999999</v>
      </c>
      <c r="AU46" s="125">
        <f>AU31+AU33+AU34+AU35</f>
        <v>-61.474999999999994</v>
      </c>
      <c r="AZ46" s="125">
        <f>AZ31+AZ33+AZ34+AZ35</f>
        <v>0</v>
      </c>
      <c r="BE46" s="125">
        <f>BE31+BE33+BE34+BE35</f>
        <v>0</v>
      </c>
      <c r="BJ46" s="125">
        <f>BJ31+BJ33+BJ34+BJ35</f>
        <v>0</v>
      </c>
      <c r="BO46" s="125">
        <f>BO31+BO33+BO34+BO35</f>
        <v>0</v>
      </c>
      <c r="BT46" s="125">
        <f>BT31+BT33+BT34+BT35</f>
        <v>0</v>
      </c>
      <c r="BY46" s="125">
        <f>BY31+BY33+BY34+BY35</f>
        <v>0</v>
      </c>
      <c r="CD46" s="125">
        <f>CD31+CD33+CD34+CD35</f>
        <v>0</v>
      </c>
      <c r="CI46" s="125">
        <f>CI31+CI33+CI34+CI35</f>
        <v>0</v>
      </c>
      <c r="CN46" s="125">
        <f>CN31+CN33+CN34+CN35</f>
        <v>0</v>
      </c>
      <c r="CS46" s="125">
        <f>CS31+CS33+CS34+CS35</f>
        <v>0</v>
      </c>
      <c r="CX46" s="125">
        <f>CX31+CX33+CX34+CX35</f>
        <v>0</v>
      </c>
      <c r="DC46" s="125">
        <f>DC31+DC33+DC34+DC35</f>
        <v>0</v>
      </c>
      <c r="DH46" s="125">
        <f>DH31+DH33+DH34+DH35</f>
        <v>0</v>
      </c>
    </row>
    <row r="47" spans="1:119" ht="15.75" customHeight="1"/>
    <row r="48" spans="1:119" customFormat="1" ht="15.75" customHeight="1"/>
    <row r="49" spans="1:1" ht="15.75" customHeight="1"/>
    <row r="50" spans="1:1" ht="15.75" customHeight="1">
      <c r="A50" s="125"/>
    </row>
    <row r="51" spans="1:1" ht="15.75" customHeight="1">
      <c r="A51" s="125"/>
    </row>
    <row r="52" spans="1:1" ht="15.75" customHeight="1">
      <c r="A52" s="125"/>
    </row>
    <row r="53" spans="1:1" ht="15.75" customHeight="1">
      <c r="A53" s="125"/>
    </row>
    <row r="54" spans="1:1" ht="15.75" customHeight="1">
      <c r="A54" s="125"/>
    </row>
    <row r="55" spans="1:1" ht="15.75" customHeight="1">
      <c r="A55" s="125"/>
    </row>
    <row r="56" spans="1:1" ht="15.75" customHeight="1">
      <c r="A56" s="125"/>
    </row>
    <row r="57" spans="1:1" ht="15.75" customHeight="1">
      <c r="A57" s="125"/>
    </row>
    <row r="58" spans="1:1" ht="15.75" customHeight="1">
      <c r="A58" s="125"/>
    </row>
    <row r="59" spans="1:1" ht="15.75" customHeight="1">
      <c r="A59" s="125"/>
    </row>
    <row r="60" spans="1:1" ht="15.75" customHeight="1">
      <c r="A60" s="125"/>
    </row>
    <row r="61" spans="1:1" ht="15.75" customHeight="1">
      <c r="A61" s="125"/>
    </row>
    <row r="62" spans="1:1" ht="15.75" customHeight="1">
      <c r="A62" s="125"/>
    </row>
    <row r="63" spans="1:1" ht="15.75" customHeight="1">
      <c r="A63" s="125"/>
    </row>
    <row r="64" spans="1:1" ht="15.75" customHeight="1">
      <c r="A64" s="125"/>
    </row>
    <row r="65" spans="1:1" ht="15.75" customHeight="1">
      <c r="A65" s="125"/>
    </row>
    <row r="66" spans="1:1" ht="15.75" customHeight="1">
      <c r="A66" s="125"/>
    </row>
    <row r="67" spans="1:1" ht="15.75" customHeight="1">
      <c r="A67" s="125"/>
    </row>
    <row r="68" spans="1:1" ht="15.75" customHeight="1">
      <c r="A68" s="125"/>
    </row>
    <row r="69" spans="1:1" ht="15.75" customHeight="1">
      <c r="A69" s="125"/>
    </row>
    <row r="70" spans="1:1" ht="15.75" customHeight="1">
      <c r="A70" s="125"/>
    </row>
    <row r="71" spans="1:1" ht="15.75" customHeight="1">
      <c r="A71" s="125"/>
    </row>
    <row r="72" spans="1:1" ht="15.75" customHeight="1">
      <c r="A72" s="125"/>
    </row>
    <row r="73" spans="1:1" ht="15.75" customHeight="1">
      <c r="A73" s="125"/>
    </row>
    <row r="74" spans="1:1" ht="15.75" customHeight="1">
      <c r="A74" s="125"/>
    </row>
    <row r="75" spans="1:1" ht="15.75" customHeight="1">
      <c r="A75" s="125"/>
    </row>
    <row r="76" spans="1:1" ht="15.75" customHeight="1">
      <c r="A76" s="125"/>
    </row>
    <row r="77" spans="1:1" ht="15.75" customHeight="1">
      <c r="A77" s="125"/>
    </row>
    <row r="78" spans="1:1" ht="15.75" customHeight="1">
      <c r="A78" s="125"/>
    </row>
    <row r="79" spans="1:1" ht="15.75" customHeight="1">
      <c r="A79" s="125"/>
    </row>
    <row r="80" spans="1:1" ht="15.75" customHeight="1">
      <c r="A80" s="125"/>
    </row>
    <row r="81" spans="1:1" ht="15.75" customHeight="1">
      <c r="A81" s="125"/>
    </row>
    <row r="82" spans="1:1" ht="15.75" customHeight="1">
      <c r="A82" s="125"/>
    </row>
    <row r="83" spans="1:1" ht="15.75" customHeight="1">
      <c r="A83" s="125"/>
    </row>
    <row r="84" spans="1:1" ht="15.75" customHeight="1">
      <c r="A84" s="125"/>
    </row>
    <row r="85" spans="1:1" ht="15.75" customHeight="1">
      <c r="A85" s="125"/>
    </row>
    <row r="86" spans="1:1" ht="15.75" customHeight="1">
      <c r="A86" s="125"/>
    </row>
    <row r="87" spans="1:1" ht="15.75" customHeight="1">
      <c r="A87" s="125"/>
    </row>
    <row r="88" spans="1:1" ht="15.75" customHeight="1">
      <c r="A88" s="125"/>
    </row>
    <row r="89" spans="1:1" ht="15.75" customHeight="1">
      <c r="A89" s="125"/>
    </row>
    <row r="90" spans="1:1" ht="15.75" customHeight="1">
      <c r="A90" s="125"/>
    </row>
    <row r="91" spans="1:1" ht="15.75" customHeight="1">
      <c r="A91" s="125"/>
    </row>
    <row r="92" spans="1:1" ht="15.75" customHeight="1">
      <c r="A92" s="125"/>
    </row>
    <row r="93" spans="1:1" ht="15.75" customHeight="1">
      <c r="A93" s="125"/>
    </row>
    <row r="94" spans="1:1" ht="15.75" customHeight="1">
      <c r="A94" s="125"/>
    </row>
    <row r="95" spans="1:1" ht="15.75" customHeight="1">
      <c r="A95" s="125"/>
    </row>
    <row r="96" spans="1:1" ht="15.75" customHeight="1">
      <c r="A96" s="125"/>
    </row>
    <row r="97" spans="1:1" ht="15.75" customHeight="1">
      <c r="A97" s="125"/>
    </row>
    <row r="98" spans="1:1" ht="15.75" customHeight="1">
      <c r="A98" s="125"/>
    </row>
    <row r="99" spans="1:1" ht="15.75" customHeight="1">
      <c r="A99" s="125"/>
    </row>
    <row r="100" spans="1:1" ht="15.75" customHeight="1">
      <c r="A100" s="125"/>
    </row>
    <row r="101" spans="1:1" ht="15.75" customHeight="1">
      <c r="A101" s="125"/>
    </row>
    <row r="102" spans="1:1" ht="15.75" customHeight="1">
      <c r="A102" s="125"/>
    </row>
    <row r="103" spans="1:1" ht="15.75" customHeight="1">
      <c r="A103" s="125"/>
    </row>
    <row r="104" spans="1:1" ht="15.75" customHeight="1">
      <c r="A104" s="125"/>
    </row>
    <row r="105" spans="1:1" ht="15.75" customHeight="1">
      <c r="A105" s="125"/>
    </row>
    <row r="106" spans="1:1" ht="15.75" customHeight="1">
      <c r="A106" s="125"/>
    </row>
    <row r="107" spans="1:1" ht="15.75" customHeight="1">
      <c r="A107" s="125"/>
    </row>
    <row r="108" spans="1:1" ht="15.75" customHeight="1">
      <c r="A108" s="125"/>
    </row>
    <row r="109" spans="1:1" ht="15.75" customHeight="1">
      <c r="A109" s="125"/>
    </row>
    <row r="110" spans="1:1" ht="15.75" customHeight="1">
      <c r="A110" s="125"/>
    </row>
    <row r="111" spans="1:1" ht="15.75" customHeight="1">
      <c r="A111" s="125"/>
    </row>
    <row r="112" spans="1:1" ht="15.75" customHeight="1">
      <c r="A112" s="125"/>
    </row>
    <row r="113" spans="1:1" ht="15.75" customHeight="1">
      <c r="A113" s="125"/>
    </row>
    <row r="114" spans="1:1" ht="15.75" customHeight="1">
      <c r="A114" s="125"/>
    </row>
    <row r="115" spans="1:1" ht="15.75" customHeight="1">
      <c r="A115" s="125"/>
    </row>
    <row r="116" spans="1:1" ht="15.75" customHeight="1">
      <c r="A116" s="125"/>
    </row>
    <row r="117" spans="1:1" ht="15.75" customHeight="1">
      <c r="A117" s="125"/>
    </row>
    <row r="118" spans="1:1" ht="15.75" customHeight="1">
      <c r="A118" s="125"/>
    </row>
    <row r="119" spans="1:1" ht="15.75" customHeight="1">
      <c r="A119" s="125"/>
    </row>
    <row r="120" spans="1:1" ht="15.75" customHeight="1">
      <c r="A120" s="125"/>
    </row>
    <row r="121" spans="1:1" ht="15.75" customHeight="1">
      <c r="A121" s="125"/>
    </row>
    <row r="122" spans="1:1" ht="15.75" customHeight="1">
      <c r="A122" s="125"/>
    </row>
    <row r="123" spans="1:1" ht="15.75" customHeight="1">
      <c r="A123" s="125"/>
    </row>
    <row r="124" spans="1:1" ht="15.75" customHeight="1">
      <c r="A124" s="125"/>
    </row>
    <row r="125" spans="1:1" ht="15.75" customHeight="1">
      <c r="A125" s="125"/>
    </row>
    <row r="126" spans="1:1" ht="15.75" customHeight="1">
      <c r="A126" s="125"/>
    </row>
    <row r="127" spans="1:1" ht="15.75" customHeight="1">
      <c r="A127" s="125"/>
    </row>
    <row r="128" spans="1:1" ht="15.75" customHeight="1">
      <c r="A128" s="125"/>
    </row>
    <row r="129" spans="1:1" ht="15.75" customHeight="1">
      <c r="A129" s="125"/>
    </row>
    <row r="130" spans="1:1" ht="15.75" customHeight="1">
      <c r="A130" s="125"/>
    </row>
    <row r="131" spans="1:1" ht="15.75" customHeight="1">
      <c r="A131" s="125"/>
    </row>
    <row r="132" spans="1:1" ht="15.75" customHeight="1">
      <c r="A132" s="125"/>
    </row>
    <row r="133" spans="1:1" ht="15.75" customHeight="1">
      <c r="A133" s="125"/>
    </row>
    <row r="134" spans="1:1" ht="15.75" customHeight="1">
      <c r="A134" s="125"/>
    </row>
    <row r="135" spans="1:1" ht="15.75" customHeight="1">
      <c r="A135" s="125"/>
    </row>
    <row r="136" spans="1:1" ht="15.75" customHeight="1">
      <c r="A136" s="125"/>
    </row>
    <row r="137" spans="1:1" ht="15.75" customHeight="1">
      <c r="A137" s="125"/>
    </row>
    <row r="138" spans="1:1" ht="15.75" customHeight="1">
      <c r="A138" s="125"/>
    </row>
    <row r="139" spans="1:1" ht="15.75" customHeight="1">
      <c r="A139" s="125"/>
    </row>
    <row r="140" spans="1:1" ht="15.75" customHeight="1">
      <c r="A140" s="125"/>
    </row>
    <row r="141" spans="1:1" ht="15.75" customHeight="1">
      <c r="A141" s="125"/>
    </row>
    <row r="142" spans="1:1" ht="15.75" customHeight="1">
      <c r="A142" s="125"/>
    </row>
    <row r="143" spans="1:1" ht="15.75" customHeight="1">
      <c r="A143" s="125"/>
    </row>
    <row r="144" spans="1:1" ht="15.75" customHeight="1">
      <c r="A144" s="125"/>
    </row>
    <row r="145" spans="1:1" ht="15.75" customHeight="1">
      <c r="A145" s="125"/>
    </row>
    <row r="146" spans="1:1" ht="15.75" customHeight="1">
      <c r="A146" s="125"/>
    </row>
    <row r="147" spans="1:1" ht="15.75" customHeight="1">
      <c r="A147" s="125"/>
    </row>
    <row r="148" spans="1:1" ht="15.75" customHeight="1">
      <c r="A148" s="125"/>
    </row>
    <row r="149" spans="1:1" ht="15.75" customHeight="1">
      <c r="A149" s="125"/>
    </row>
    <row r="150" spans="1:1" ht="15.75" customHeight="1">
      <c r="A150" s="125"/>
    </row>
    <row r="151" spans="1:1" ht="15.75" customHeight="1">
      <c r="A151" s="125"/>
    </row>
    <row r="152" spans="1:1" ht="15.75" customHeight="1">
      <c r="A152" s="125"/>
    </row>
    <row r="153" spans="1:1" ht="15.75" customHeight="1">
      <c r="A153" s="125"/>
    </row>
    <row r="154" spans="1:1" ht="15.75" customHeight="1">
      <c r="A154" s="125"/>
    </row>
    <row r="155" spans="1:1" ht="15.75" customHeight="1">
      <c r="A155" s="125"/>
    </row>
    <row r="156" spans="1:1" ht="15.75" customHeight="1">
      <c r="A156" s="125"/>
    </row>
    <row r="157" spans="1:1" ht="15.75" customHeight="1">
      <c r="A157" s="125"/>
    </row>
    <row r="158" spans="1:1" ht="15.75" customHeight="1">
      <c r="A158" s="125"/>
    </row>
    <row r="159" spans="1:1" ht="15.75" customHeight="1">
      <c r="A159" s="125"/>
    </row>
    <row r="160" spans="1:1" ht="15.75" customHeight="1">
      <c r="A160" s="125"/>
    </row>
    <row r="161" spans="1:1" ht="15.75" customHeight="1">
      <c r="A161" s="125"/>
    </row>
    <row r="162" spans="1:1" ht="15.75" customHeight="1">
      <c r="A162" s="125"/>
    </row>
    <row r="163" spans="1:1" ht="15.75" customHeight="1">
      <c r="A163" s="125"/>
    </row>
    <row r="164" spans="1:1" ht="15.75" customHeight="1">
      <c r="A164" s="125"/>
    </row>
    <row r="165" spans="1:1" ht="15.75" customHeight="1">
      <c r="A165" s="125"/>
    </row>
    <row r="166" spans="1:1" ht="15.75" customHeight="1">
      <c r="A166" s="125"/>
    </row>
    <row r="167" spans="1:1" ht="15.75" customHeight="1">
      <c r="A167" s="125"/>
    </row>
    <row r="168" spans="1:1" ht="15.75" customHeight="1">
      <c r="A168" s="125"/>
    </row>
    <row r="169" spans="1:1" ht="15.75" customHeight="1">
      <c r="A169" s="125"/>
    </row>
    <row r="170" spans="1:1" ht="15.75" customHeight="1">
      <c r="A170" s="125"/>
    </row>
    <row r="171" spans="1:1" ht="15.75" customHeight="1">
      <c r="A171" s="125"/>
    </row>
    <row r="172" spans="1:1" ht="15.75" customHeight="1">
      <c r="A172" s="125"/>
    </row>
    <row r="173" spans="1:1" ht="15.75" customHeight="1">
      <c r="A173" s="125"/>
    </row>
    <row r="174" spans="1:1" ht="15.75" customHeight="1">
      <c r="A174" s="125"/>
    </row>
    <row r="175" spans="1:1" ht="15.75" customHeight="1">
      <c r="A175" s="125"/>
    </row>
    <row r="176" spans="1:1" ht="15.75" customHeight="1">
      <c r="A176" s="125"/>
    </row>
    <row r="177" spans="1:1" ht="15.75" customHeight="1">
      <c r="A177" s="125"/>
    </row>
    <row r="178" spans="1:1" ht="15.75" customHeight="1">
      <c r="A178" s="125"/>
    </row>
    <row r="179" spans="1:1" ht="15.75" customHeight="1">
      <c r="A179" s="125"/>
    </row>
    <row r="180" spans="1:1" ht="15.75" customHeight="1">
      <c r="A180" s="125"/>
    </row>
    <row r="181" spans="1:1" ht="15.75" customHeight="1">
      <c r="A181" s="125"/>
    </row>
    <row r="182" spans="1:1" ht="15.75" customHeight="1">
      <c r="A182" s="125"/>
    </row>
    <row r="183" spans="1:1" ht="15.75" customHeight="1">
      <c r="A183" s="125"/>
    </row>
    <row r="184" spans="1:1" ht="15.75" customHeight="1">
      <c r="A184" s="125"/>
    </row>
    <row r="185" spans="1:1" ht="15.75" customHeight="1">
      <c r="A185" s="125"/>
    </row>
    <row r="186" spans="1:1" ht="15.75" customHeight="1">
      <c r="A186" s="125"/>
    </row>
    <row r="187" spans="1:1" ht="15.75" customHeight="1">
      <c r="A187" s="125"/>
    </row>
    <row r="188" spans="1:1" ht="15.75" customHeight="1">
      <c r="A188" s="125"/>
    </row>
    <row r="189" spans="1:1" ht="15.75" customHeight="1">
      <c r="A189" s="125"/>
    </row>
    <row r="190" spans="1:1" ht="15.75" customHeight="1">
      <c r="A190" s="125"/>
    </row>
    <row r="191" spans="1:1" ht="15.75" customHeight="1">
      <c r="A191" s="125"/>
    </row>
    <row r="192" spans="1:1" ht="15.75" customHeight="1">
      <c r="A192" s="125"/>
    </row>
    <row r="193" spans="1:1" ht="15.75" customHeight="1">
      <c r="A193" s="125"/>
    </row>
    <row r="194" spans="1:1" ht="15.75" customHeight="1">
      <c r="A194" s="125"/>
    </row>
    <row r="195" spans="1:1" ht="15.75" customHeight="1">
      <c r="A195" s="125"/>
    </row>
    <row r="196" spans="1:1" ht="15.75" customHeight="1">
      <c r="A196" s="125"/>
    </row>
    <row r="197" spans="1:1" ht="15.75" customHeight="1">
      <c r="A197" s="125"/>
    </row>
    <row r="198" spans="1:1" ht="15.75" customHeight="1">
      <c r="A198" s="125"/>
    </row>
    <row r="199" spans="1:1" ht="15.75" customHeight="1">
      <c r="A199" s="125"/>
    </row>
    <row r="200" spans="1:1" ht="15.75" customHeight="1">
      <c r="A200" s="125"/>
    </row>
    <row r="201" spans="1:1" ht="15.75" customHeight="1">
      <c r="A201" s="125"/>
    </row>
    <row r="202" spans="1:1" ht="15.75" customHeight="1">
      <c r="A202" s="125"/>
    </row>
    <row r="203" spans="1:1" ht="15.75" customHeight="1">
      <c r="A203" s="125"/>
    </row>
    <row r="204" spans="1:1" ht="15.75" customHeight="1">
      <c r="A204" s="125"/>
    </row>
    <row r="205" spans="1:1" ht="15.75" customHeight="1">
      <c r="A205" s="125"/>
    </row>
    <row r="206" spans="1:1" ht="15.75" customHeight="1">
      <c r="A206" s="125"/>
    </row>
    <row r="207" spans="1:1" ht="15.75" customHeight="1">
      <c r="A207" s="125"/>
    </row>
    <row r="208" spans="1:1" ht="15.75" customHeight="1">
      <c r="A208" s="125"/>
    </row>
    <row r="209" spans="1:1" ht="15.75" customHeight="1">
      <c r="A209" s="125"/>
    </row>
    <row r="210" spans="1:1" ht="15.75" customHeight="1">
      <c r="A210" s="125"/>
    </row>
    <row r="211" spans="1:1" ht="15.75" customHeight="1">
      <c r="A211" s="125"/>
    </row>
    <row r="212" spans="1:1" ht="15.75" customHeight="1">
      <c r="A212" s="125"/>
    </row>
    <row r="213" spans="1:1" ht="15.75" customHeight="1">
      <c r="A213" s="125"/>
    </row>
    <row r="214" spans="1:1" ht="15.75" customHeight="1">
      <c r="A214" s="125"/>
    </row>
    <row r="215" spans="1:1" ht="15.75" customHeight="1">
      <c r="A215" s="125"/>
    </row>
    <row r="216" spans="1:1" ht="15.75" customHeight="1">
      <c r="A216" s="125"/>
    </row>
    <row r="217" spans="1:1" ht="15.75" customHeight="1">
      <c r="A217" s="125"/>
    </row>
    <row r="218" spans="1:1" ht="15.75" customHeight="1">
      <c r="A218" s="125"/>
    </row>
    <row r="219" spans="1:1" ht="15.75" customHeight="1">
      <c r="A219" s="125"/>
    </row>
    <row r="220" spans="1:1" ht="15.75" customHeight="1">
      <c r="A220" s="125"/>
    </row>
    <row r="221" spans="1:1" ht="15.75" customHeight="1">
      <c r="A221" s="125"/>
    </row>
    <row r="222" spans="1:1" ht="15.75" customHeight="1">
      <c r="A222" s="125"/>
    </row>
    <row r="223" spans="1:1" ht="15.75" customHeight="1">
      <c r="A223" s="125"/>
    </row>
    <row r="224" spans="1:1" ht="15.75" customHeight="1">
      <c r="A224" s="125"/>
    </row>
    <row r="225" spans="1:1" ht="15.75" customHeight="1">
      <c r="A225" s="125"/>
    </row>
    <row r="226" spans="1:1" ht="15.75" customHeight="1">
      <c r="A226" s="125"/>
    </row>
    <row r="227" spans="1:1" ht="15.75" customHeight="1">
      <c r="A227" s="125"/>
    </row>
    <row r="228" spans="1:1" ht="15.75" customHeight="1">
      <c r="A228" s="125"/>
    </row>
    <row r="229" spans="1:1" ht="15.75" customHeight="1">
      <c r="A229" s="125"/>
    </row>
    <row r="230" spans="1:1" ht="15.75" customHeight="1">
      <c r="A230" s="125"/>
    </row>
    <row r="231" spans="1:1" ht="15.75" customHeight="1">
      <c r="A231" s="125"/>
    </row>
    <row r="232" spans="1:1" ht="15.75" customHeight="1">
      <c r="A232" s="125"/>
    </row>
    <row r="233" spans="1:1" ht="15.75" customHeight="1">
      <c r="A233" s="125"/>
    </row>
    <row r="234" spans="1:1" ht="15.75" customHeight="1">
      <c r="A234" s="125"/>
    </row>
    <row r="235" spans="1:1" ht="15.75" customHeight="1">
      <c r="A235" s="125"/>
    </row>
    <row r="236" spans="1:1" ht="15.75" customHeight="1">
      <c r="A236" s="125"/>
    </row>
    <row r="237" spans="1:1" ht="15.75" customHeight="1">
      <c r="A237" s="125"/>
    </row>
    <row r="238" spans="1:1" ht="15.75" customHeight="1">
      <c r="A238" s="125"/>
    </row>
    <row r="239" spans="1:1" ht="15.75" customHeight="1">
      <c r="A239" s="125"/>
    </row>
    <row r="240" spans="1:1" ht="15.75" customHeight="1">
      <c r="A240" s="125"/>
    </row>
    <row r="241" spans="1:1" ht="15.75" customHeight="1">
      <c r="A241" s="125"/>
    </row>
    <row r="242" spans="1:1" ht="15.75" customHeight="1">
      <c r="A242" s="125"/>
    </row>
    <row r="243" spans="1:1" ht="15.75" customHeight="1">
      <c r="A243" s="125"/>
    </row>
    <row r="244" spans="1:1" ht="15.75" customHeight="1">
      <c r="A244" s="125"/>
    </row>
    <row r="245" spans="1:1" ht="15.75" customHeight="1">
      <c r="A245" s="125"/>
    </row>
    <row r="246" spans="1:1" ht="15.75" customHeight="1">
      <c r="A246" s="125"/>
    </row>
    <row r="247" spans="1:1" ht="15.75" customHeight="1">
      <c r="A247" s="125"/>
    </row>
    <row r="248" spans="1:1" ht="15.75" customHeight="1">
      <c r="A248" s="125"/>
    </row>
    <row r="249" spans="1:1" ht="15.75" customHeight="1">
      <c r="A249" s="125"/>
    </row>
    <row r="250" spans="1:1" ht="15.75" customHeight="1">
      <c r="A250" s="125"/>
    </row>
    <row r="251" spans="1:1" ht="15.75" customHeight="1">
      <c r="A251" s="125"/>
    </row>
    <row r="252" spans="1:1" ht="15.75" customHeight="1">
      <c r="A252" s="125"/>
    </row>
    <row r="253" spans="1:1" ht="15.75" customHeight="1">
      <c r="A253" s="125"/>
    </row>
    <row r="254" spans="1:1" ht="15.75" customHeight="1">
      <c r="A254" s="125"/>
    </row>
    <row r="255" spans="1:1" ht="15.75" customHeight="1">
      <c r="A255" s="125"/>
    </row>
    <row r="256" spans="1:1" ht="15.75" customHeight="1">
      <c r="A256" s="125"/>
    </row>
    <row r="257" spans="1:1" ht="15.75" customHeight="1">
      <c r="A257" s="125"/>
    </row>
    <row r="258" spans="1:1" ht="15.75" customHeight="1">
      <c r="A258" s="125"/>
    </row>
    <row r="259" spans="1:1" ht="15.75" customHeight="1">
      <c r="A259" s="125"/>
    </row>
    <row r="260" spans="1:1" ht="15.75" customHeight="1">
      <c r="A260" s="125"/>
    </row>
    <row r="261" spans="1:1" ht="15.75" customHeight="1">
      <c r="A261" s="125"/>
    </row>
    <row r="262" spans="1:1" ht="15.75" customHeight="1">
      <c r="A262" s="125"/>
    </row>
    <row r="263" spans="1:1" ht="15.75" customHeight="1">
      <c r="A263" s="125"/>
    </row>
    <row r="264" spans="1:1" ht="15.75" customHeight="1">
      <c r="A264" s="125"/>
    </row>
    <row r="265" spans="1:1" ht="15.75" customHeight="1">
      <c r="A265" s="125"/>
    </row>
    <row r="266" spans="1:1" ht="15.75" customHeight="1">
      <c r="A266" s="125"/>
    </row>
    <row r="267" spans="1:1" ht="15.75" customHeight="1">
      <c r="A267" s="125"/>
    </row>
    <row r="268" spans="1:1" ht="15.75" customHeight="1">
      <c r="A268" s="125"/>
    </row>
    <row r="269" spans="1:1" ht="15.75" customHeight="1">
      <c r="A269" s="125"/>
    </row>
    <row r="270" spans="1:1" ht="15.75" customHeight="1">
      <c r="A270" s="125"/>
    </row>
    <row r="271" spans="1:1" ht="15.75" customHeight="1">
      <c r="A271" s="125"/>
    </row>
    <row r="272" spans="1:1" ht="15.75" customHeight="1">
      <c r="A272" s="125"/>
    </row>
    <row r="273" spans="1:1" ht="15.75" customHeight="1">
      <c r="A273" s="125"/>
    </row>
    <row r="274" spans="1:1" ht="15.75" customHeight="1">
      <c r="A274" s="125"/>
    </row>
    <row r="275" spans="1:1" ht="15.75" customHeight="1">
      <c r="A275" s="125"/>
    </row>
    <row r="276" spans="1:1" ht="15.75" customHeight="1">
      <c r="A276" s="125"/>
    </row>
    <row r="277" spans="1:1" ht="15.75" customHeight="1">
      <c r="A277" s="125"/>
    </row>
    <row r="278" spans="1:1" ht="15.75" customHeight="1">
      <c r="A278" s="125"/>
    </row>
    <row r="279" spans="1:1" ht="15.75" customHeight="1">
      <c r="A279" s="125"/>
    </row>
    <row r="280" spans="1:1" ht="15.75" customHeight="1">
      <c r="A280" s="125"/>
    </row>
    <row r="281" spans="1:1" ht="15.75" customHeight="1">
      <c r="A281" s="125"/>
    </row>
    <row r="282" spans="1:1" ht="15.75" customHeight="1">
      <c r="A282" s="125"/>
    </row>
    <row r="283" spans="1:1" ht="15.75" customHeight="1">
      <c r="A283" s="125"/>
    </row>
    <row r="284" spans="1:1" ht="15.75" customHeight="1">
      <c r="A284" s="125"/>
    </row>
    <row r="285" spans="1:1" ht="15.75" customHeight="1">
      <c r="A285" s="125"/>
    </row>
    <row r="286" spans="1:1" ht="15.75" customHeight="1">
      <c r="A286" s="125"/>
    </row>
    <row r="287" spans="1:1" ht="15.75" customHeight="1">
      <c r="A287" s="125"/>
    </row>
    <row r="288" spans="1:1" ht="15.75" customHeight="1">
      <c r="A288" s="125"/>
    </row>
    <row r="289" spans="1:1" ht="15.75" customHeight="1">
      <c r="A289" s="125"/>
    </row>
    <row r="290" spans="1:1" ht="15.75" customHeight="1">
      <c r="A290" s="125"/>
    </row>
    <row r="291" spans="1:1" ht="15.75" customHeight="1">
      <c r="A291" s="125"/>
    </row>
    <row r="292" spans="1:1" ht="15.75" customHeight="1">
      <c r="A292" s="125"/>
    </row>
    <row r="293" spans="1:1" ht="15.75" customHeight="1">
      <c r="A293" s="125"/>
    </row>
    <row r="294" spans="1:1" ht="15.75" customHeight="1">
      <c r="A294" s="125"/>
    </row>
    <row r="295" spans="1:1" ht="15.75" customHeight="1">
      <c r="A295" s="125"/>
    </row>
    <row r="296" spans="1:1" ht="15.75" customHeight="1">
      <c r="A296" s="125"/>
    </row>
    <row r="297" spans="1:1" ht="15.75" customHeight="1">
      <c r="A297" s="125"/>
    </row>
    <row r="298" spans="1:1" ht="15.75" customHeight="1">
      <c r="A298" s="125"/>
    </row>
    <row r="299" spans="1:1" ht="15.75" customHeight="1">
      <c r="A299" s="125"/>
    </row>
    <row r="300" spans="1:1" ht="15.75" customHeight="1">
      <c r="A300" s="125"/>
    </row>
    <row r="301" spans="1:1" ht="15.75" customHeight="1">
      <c r="A301" s="125"/>
    </row>
    <row r="302" spans="1:1" ht="15.75" customHeight="1">
      <c r="A302" s="125"/>
    </row>
    <row r="303" spans="1:1" ht="15.75" customHeight="1">
      <c r="A303" s="125"/>
    </row>
    <row r="304" spans="1:1" ht="15.75" customHeight="1">
      <c r="A304" s="125"/>
    </row>
    <row r="305" spans="1:1" ht="15.75" customHeight="1">
      <c r="A305" s="125"/>
    </row>
    <row r="306" spans="1:1" ht="15.75" customHeight="1">
      <c r="A306" s="125"/>
    </row>
    <row r="307" spans="1:1" ht="15.75" customHeight="1">
      <c r="A307" s="125"/>
    </row>
    <row r="308" spans="1:1" ht="15.75" customHeight="1">
      <c r="A308" s="125"/>
    </row>
    <row r="309" spans="1:1" ht="15.75" customHeight="1">
      <c r="A309" s="125"/>
    </row>
    <row r="310" spans="1:1" ht="15.75" customHeight="1">
      <c r="A310" s="125"/>
    </row>
    <row r="311" spans="1:1" ht="15.75" customHeight="1">
      <c r="A311" s="125"/>
    </row>
    <row r="312" spans="1:1" ht="15.75" customHeight="1">
      <c r="A312" s="125"/>
    </row>
    <row r="313" spans="1:1" ht="15.75" customHeight="1">
      <c r="A313" s="125"/>
    </row>
    <row r="314" spans="1:1" ht="15.75" customHeight="1">
      <c r="A314" s="125"/>
    </row>
    <row r="315" spans="1:1" ht="15.75" customHeight="1">
      <c r="A315" s="125"/>
    </row>
    <row r="316" spans="1:1" ht="15.75" customHeight="1">
      <c r="A316" s="125"/>
    </row>
    <row r="317" spans="1:1" ht="15.75" customHeight="1">
      <c r="A317" s="125"/>
    </row>
    <row r="318" spans="1:1" ht="15.75" customHeight="1">
      <c r="A318" s="125"/>
    </row>
    <row r="319" spans="1:1" ht="15.75" customHeight="1">
      <c r="A319" s="125"/>
    </row>
    <row r="320" spans="1:1" ht="15.75" customHeight="1">
      <c r="A320" s="125"/>
    </row>
    <row r="321" spans="1:1" ht="15.75" customHeight="1">
      <c r="A321" s="125"/>
    </row>
    <row r="322" spans="1:1" ht="15.75" customHeight="1">
      <c r="A322" s="125"/>
    </row>
    <row r="323" spans="1:1" ht="15.75" customHeight="1">
      <c r="A323" s="125"/>
    </row>
    <row r="324" spans="1:1" ht="15.75" customHeight="1">
      <c r="A324" s="125"/>
    </row>
    <row r="325" spans="1:1" ht="15.75" customHeight="1">
      <c r="A325" s="125"/>
    </row>
    <row r="326" spans="1:1" ht="15.75" customHeight="1">
      <c r="A326" s="125"/>
    </row>
    <row r="327" spans="1:1" ht="15.75" customHeight="1">
      <c r="A327" s="125"/>
    </row>
    <row r="328" spans="1:1" ht="15.75" customHeight="1">
      <c r="A328" s="125"/>
    </row>
    <row r="329" spans="1:1" ht="15.75" customHeight="1">
      <c r="A329" s="125"/>
    </row>
    <row r="330" spans="1:1" ht="15.75" customHeight="1">
      <c r="A330" s="125"/>
    </row>
    <row r="331" spans="1:1" ht="15.75" customHeight="1">
      <c r="A331" s="125"/>
    </row>
    <row r="332" spans="1:1" ht="15.75" customHeight="1">
      <c r="A332" s="125"/>
    </row>
    <row r="333" spans="1:1" ht="15.75" customHeight="1">
      <c r="A333" s="125"/>
    </row>
    <row r="334" spans="1:1" ht="15.75" customHeight="1">
      <c r="A334" s="125"/>
    </row>
    <row r="335" spans="1:1" ht="15.75" customHeight="1">
      <c r="A335" s="125"/>
    </row>
    <row r="336" spans="1:1" ht="15.75" customHeight="1">
      <c r="A336" s="125"/>
    </row>
    <row r="337" spans="1:1" ht="15.75" customHeight="1">
      <c r="A337" s="125"/>
    </row>
    <row r="338" spans="1:1" ht="15.75" customHeight="1">
      <c r="A338" s="125"/>
    </row>
    <row r="339" spans="1:1" ht="15.75" customHeight="1">
      <c r="A339" s="125"/>
    </row>
    <row r="340" spans="1:1" ht="15.75" customHeight="1">
      <c r="A340" s="125"/>
    </row>
    <row r="341" spans="1:1" ht="15.75" customHeight="1">
      <c r="A341" s="125"/>
    </row>
    <row r="342" spans="1:1" ht="15.75" customHeight="1">
      <c r="A342" s="125"/>
    </row>
    <row r="343" spans="1:1" ht="15.75" customHeight="1">
      <c r="A343" s="125"/>
    </row>
    <row r="344" spans="1:1" ht="15.75" customHeight="1">
      <c r="A344" s="125"/>
    </row>
    <row r="345" spans="1:1" ht="15.75" customHeight="1">
      <c r="A345" s="125"/>
    </row>
    <row r="346" spans="1:1" ht="15.75" customHeight="1">
      <c r="A346" s="125"/>
    </row>
    <row r="347" spans="1:1" ht="15.75" customHeight="1">
      <c r="A347" s="125"/>
    </row>
    <row r="348" spans="1:1" ht="15.75" customHeight="1">
      <c r="A348" s="125"/>
    </row>
    <row r="349" spans="1:1" ht="15.75" customHeight="1">
      <c r="A349" s="125"/>
    </row>
    <row r="350" spans="1:1" ht="15.75" customHeight="1">
      <c r="A350" s="125"/>
    </row>
    <row r="351" spans="1:1" ht="15.75" customHeight="1">
      <c r="A351" s="125"/>
    </row>
    <row r="352" spans="1:1" ht="15.75" customHeight="1">
      <c r="A352" s="125"/>
    </row>
    <row r="353" spans="1:1" ht="15.75" customHeight="1">
      <c r="A353" s="125"/>
    </row>
    <row r="354" spans="1:1" ht="15.75" customHeight="1">
      <c r="A354" s="125"/>
    </row>
    <row r="355" spans="1:1" ht="15.75" customHeight="1">
      <c r="A355" s="125"/>
    </row>
    <row r="356" spans="1:1" ht="15.75" customHeight="1">
      <c r="A356" s="125"/>
    </row>
    <row r="357" spans="1:1" ht="15.75" customHeight="1">
      <c r="A357" s="125"/>
    </row>
    <row r="358" spans="1:1" ht="15.75" customHeight="1">
      <c r="A358" s="125"/>
    </row>
    <row r="359" spans="1:1" ht="15.75" customHeight="1">
      <c r="A359" s="125"/>
    </row>
    <row r="360" spans="1:1" ht="15.75" customHeight="1">
      <c r="A360" s="125"/>
    </row>
    <row r="361" spans="1:1" ht="15.75" customHeight="1">
      <c r="A361" s="125"/>
    </row>
    <row r="362" spans="1:1" ht="15.75" customHeight="1">
      <c r="A362" s="125"/>
    </row>
    <row r="363" spans="1:1" ht="15.75" customHeight="1">
      <c r="A363" s="125"/>
    </row>
    <row r="364" spans="1:1" ht="15.75" customHeight="1">
      <c r="A364" s="125"/>
    </row>
    <row r="365" spans="1:1" ht="15.75" customHeight="1">
      <c r="A365" s="125"/>
    </row>
    <row r="366" spans="1:1" ht="15.75" customHeight="1">
      <c r="A366" s="125"/>
    </row>
    <row r="367" spans="1:1" ht="15.75" customHeight="1">
      <c r="A367" s="125"/>
    </row>
    <row r="368" spans="1:1" ht="15.75" customHeight="1">
      <c r="A368" s="125"/>
    </row>
    <row r="369" spans="1:1" ht="15.75" customHeight="1">
      <c r="A369" s="125"/>
    </row>
    <row r="370" spans="1:1" ht="15.75" customHeight="1">
      <c r="A370" s="125"/>
    </row>
    <row r="371" spans="1:1" ht="15.75" customHeight="1">
      <c r="A371" s="125"/>
    </row>
    <row r="372" spans="1:1" ht="15.75" customHeight="1">
      <c r="A372" s="125"/>
    </row>
    <row r="373" spans="1:1" ht="15.75" customHeight="1">
      <c r="A373" s="125"/>
    </row>
    <row r="374" spans="1:1" ht="15.75" customHeight="1">
      <c r="A374" s="125"/>
    </row>
    <row r="375" spans="1:1" ht="15.75" customHeight="1">
      <c r="A375" s="125"/>
    </row>
    <row r="376" spans="1:1" ht="15.75" customHeight="1">
      <c r="A376" s="125"/>
    </row>
    <row r="377" spans="1:1" ht="15.75" customHeight="1">
      <c r="A377" s="125"/>
    </row>
    <row r="378" spans="1:1" ht="15.75" customHeight="1">
      <c r="A378" s="125"/>
    </row>
    <row r="379" spans="1:1" ht="15.75" customHeight="1">
      <c r="A379" s="125"/>
    </row>
    <row r="380" spans="1:1" ht="15.75" customHeight="1">
      <c r="A380" s="125"/>
    </row>
    <row r="381" spans="1:1" ht="15.75" customHeight="1">
      <c r="A381" s="125"/>
    </row>
    <row r="382" spans="1:1" ht="15.75" customHeight="1">
      <c r="A382" s="125"/>
    </row>
    <row r="383" spans="1:1" ht="15.75" customHeight="1">
      <c r="A383" s="125"/>
    </row>
    <row r="384" spans="1:1" ht="15.75" customHeight="1">
      <c r="A384" s="125"/>
    </row>
    <row r="385" spans="1:1" ht="15.75" customHeight="1">
      <c r="A385" s="125"/>
    </row>
    <row r="386" spans="1:1" ht="15.75" customHeight="1">
      <c r="A386" s="125"/>
    </row>
    <row r="387" spans="1:1" ht="15.75" customHeight="1">
      <c r="A387" s="125"/>
    </row>
    <row r="388" spans="1:1" ht="15.75" customHeight="1">
      <c r="A388" s="125"/>
    </row>
    <row r="389" spans="1:1" ht="15.75" customHeight="1">
      <c r="A389" s="125"/>
    </row>
    <row r="390" spans="1:1" ht="15.75" customHeight="1">
      <c r="A390" s="125"/>
    </row>
    <row r="391" spans="1:1" ht="15.75" customHeight="1">
      <c r="A391" s="125"/>
    </row>
    <row r="392" spans="1:1" ht="15.75" customHeight="1">
      <c r="A392" s="125"/>
    </row>
    <row r="393" spans="1:1" ht="15.75" customHeight="1">
      <c r="A393" s="125"/>
    </row>
    <row r="394" spans="1:1" ht="15.75" customHeight="1">
      <c r="A394" s="125"/>
    </row>
    <row r="395" spans="1:1" ht="15.75" customHeight="1">
      <c r="A395" s="125"/>
    </row>
    <row r="396" spans="1:1" ht="15.75" customHeight="1">
      <c r="A396" s="125"/>
    </row>
    <row r="397" spans="1:1" ht="15.75" customHeight="1">
      <c r="A397" s="125"/>
    </row>
    <row r="398" spans="1:1" ht="15.75" customHeight="1">
      <c r="A398" s="125"/>
    </row>
    <row r="399" spans="1:1" ht="15.75" customHeight="1">
      <c r="A399" s="125"/>
    </row>
    <row r="400" spans="1:1" ht="15.75" customHeight="1">
      <c r="A400" s="125"/>
    </row>
    <row r="401" spans="1:1" ht="15.75" customHeight="1">
      <c r="A401" s="125"/>
    </row>
    <row r="402" spans="1:1" ht="15.75" customHeight="1">
      <c r="A402" s="125"/>
    </row>
    <row r="403" spans="1:1" ht="15.75" customHeight="1">
      <c r="A403" s="125"/>
    </row>
    <row r="404" spans="1:1" ht="15.75" customHeight="1">
      <c r="A404" s="125"/>
    </row>
    <row r="405" spans="1:1" ht="15.75" customHeight="1">
      <c r="A405" s="125"/>
    </row>
    <row r="406" spans="1:1" ht="15.75" customHeight="1">
      <c r="A406" s="125"/>
    </row>
    <row r="407" spans="1:1" ht="15.75" customHeight="1">
      <c r="A407" s="125"/>
    </row>
    <row r="408" spans="1:1" ht="15.75" customHeight="1">
      <c r="A408" s="125"/>
    </row>
    <row r="409" spans="1:1" ht="15.75" customHeight="1">
      <c r="A409" s="125"/>
    </row>
    <row r="410" spans="1:1" ht="15.75" customHeight="1">
      <c r="A410" s="125"/>
    </row>
    <row r="411" spans="1:1" ht="15.75" customHeight="1">
      <c r="A411" s="125"/>
    </row>
    <row r="412" spans="1:1" ht="15.75" customHeight="1">
      <c r="A412" s="125"/>
    </row>
    <row r="413" spans="1:1" ht="15.75" customHeight="1">
      <c r="A413" s="125"/>
    </row>
    <row r="414" spans="1:1" ht="15.75" customHeight="1">
      <c r="A414" s="125"/>
    </row>
    <row r="415" spans="1:1" ht="15.75" customHeight="1">
      <c r="A415" s="125"/>
    </row>
    <row r="416" spans="1:1" ht="15.75" customHeight="1">
      <c r="A416" s="125"/>
    </row>
    <row r="417" spans="1:1" ht="15.75" customHeight="1">
      <c r="A417" s="125"/>
    </row>
    <row r="418" spans="1:1" ht="15.75" customHeight="1">
      <c r="A418" s="125"/>
    </row>
    <row r="419" spans="1:1" ht="15.75" customHeight="1">
      <c r="A419" s="125"/>
    </row>
    <row r="420" spans="1:1" ht="15.75" customHeight="1">
      <c r="A420" s="125"/>
    </row>
    <row r="421" spans="1:1" ht="15.75" customHeight="1">
      <c r="A421" s="125"/>
    </row>
    <row r="422" spans="1:1" ht="15.75" customHeight="1">
      <c r="A422" s="125"/>
    </row>
    <row r="423" spans="1:1" ht="15.75" customHeight="1">
      <c r="A423" s="125"/>
    </row>
    <row r="424" spans="1:1" ht="15.75" customHeight="1">
      <c r="A424" s="125"/>
    </row>
    <row r="425" spans="1:1" ht="15.75" customHeight="1">
      <c r="A425" s="125"/>
    </row>
    <row r="426" spans="1:1" ht="15.75" customHeight="1">
      <c r="A426" s="125"/>
    </row>
    <row r="427" spans="1:1" ht="15.75" customHeight="1">
      <c r="A427" s="125"/>
    </row>
    <row r="428" spans="1:1" ht="15.75" customHeight="1">
      <c r="A428" s="125"/>
    </row>
    <row r="429" spans="1:1" ht="15.75" customHeight="1">
      <c r="A429" s="125"/>
    </row>
    <row r="430" spans="1:1" ht="15.75" customHeight="1">
      <c r="A430" s="125"/>
    </row>
    <row r="431" spans="1:1" ht="15.75" customHeight="1">
      <c r="A431" s="125"/>
    </row>
    <row r="432" spans="1:1" ht="15.75" customHeight="1">
      <c r="A432" s="125"/>
    </row>
    <row r="433" spans="1:1" ht="15.75" customHeight="1">
      <c r="A433" s="125"/>
    </row>
    <row r="434" spans="1:1" ht="15.75" customHeight="1">
      <c r="A434" s="125"/>
    </row>
    <row r="435" spans="1:1" ht="15.75" customHeight="1">
      <c r="A435" s="125"/>
    </row>
    <row r="436" spans="1:1" ht="15.75" customHeight="1">
      <c r="A436" s="125"/>
    </row>
    <row r="437" spans="1:1" ht="15.75" customHeight="1">
      <c r="A437" s="125"/>
    </row>
    <row r="438" spans="1:1" ht="15.75" customHeight="1">
      <c r="A438" s="125"/>
    </row>
    <row r="439" spans="1:1" ht="15.75" customHeight="1">
      <c r="A439" s="125"/>
    </row>
    <row r="440" spans="1:1" ht="15.75" customHeight="1">
      <c r="A440" s="125"/>
    </row>
    <row r="441" spans="1:1" ht="15.75" customHeight="1">
      <c r="A441" s="125"/>
    </row>
    <row r="442" spans="1:1" ht="15.75" customHeight="1">
      <c r="A442" s="125"/>
    </row>
    <row r="443" spans="1:1" ht="15.75" customHeight="1">
      <c r="A443" s="125"/>
    </row>
    <row r="444" spans="1:1" ht="15.75" customHeight="1">
      <c r="A444" s="125"/>
    </row>
    <row r="445" spans="1:1" ht="15.75" customHeight="1">
      <c r="A445" s="125"/>
    </row>
    <row r="446" spans="1:1" ht="15.75" customHeight="1">
      <c r="A446" s="125"/>
    </row>
    <row r="447" spans="1:1" ht="15.75" customHeight="1">
      <c r="A447" s="125"/>
    </row>
    <row r="448" spans="1:1" ht="15.75" customHeight="1">
      <c r="A448" s="125"/>
    </row>
    <row r="449" spans="1:1" ht="15.75" customHeight="1">
      <c r="A449" s="125"/>
    </row>
    <row r="450" spans="1:1" ht="15.75" customHeight="1">
      <c r="A450" s="125"/>
    </row>
    <row r="451" spans="1:1" ht="15.75" customHeight="1">
      <c r="A451" s="125"/>
    </row>
    <row r="452" spans="1:1" ht="15.75" customHeight="1">
      <c r="A452" s="125"/>
    </row>
    <row r="453" spans="1:1" ht="15.75" customHeight="1">
      <c r="A453" s="125"/>
    </row>
    <row r="454" spans="1:1" ht="15.75" customHeight="1">
      <c r="A454" s="125"/>
    </row>
    <row r="455" spans="1:1" ht="15.75" customHeight="1">
      <c r="A455" s="125"/>
    </row>
    <row r="456" spans="1:1" ht="15.75" customHeight="1">
      <c r="A456" s="125"/>
    </row>
    <row r="457" spans="1:1" ht="15.75" customHeight="1">
      <c r="A457" s="125"/>
    </row>
    <row r="458" spans="1:1" ht="15.75" customHeight="1">
      <c r="A458" s="125"/>
    </row>
    <row r="459" spans="1:1" ht="15.75" customHeight="1">
      <c r="A459" s="125"/>
    </row>
    <row r="460" spans="1:1" ht="15.75" customHeight="1">
      <c r="A460" s="125"/>
    </row>
    <row r="461" spans="1:1" ht="15.75" customHeight="1">
      <c r="A461" s="125"/>
    </row>
    <row r="462" spans="1:1" ht="15.75" customHeight="1">
      <c r="A462" s="125"/>
    </row>
    <row r="463" spans="1:1" ht="15.75" customHeight="1">
      <c r="A463" s="125"/>
    </row>
    <row r="464" spans="1:1" ht="15.75" customHeight="1">
      <c r="A464" s="125"/>
    </row>
    <row r="465" spans="1:1" ht="15.75" customHeight="1">
      <c r="A465" s="125"/>
    </row>
    <row r="466" spans="1:1" ht="15.75" customHeight="1">
      <c r="A466" s="125"/>
    </row>
    <row r="467" spans="1:1" ht="15.75" customHeight="1">
      <c r="A467" s="125"/>
    </row>
    <row r="468" spans="1:1" ht="15.75" customHeight="1">
      <c r="A468" s="125"/>
    </row>
    <row r="469" spans="1:1" ht="15.75" customHeight="1">
      <c r="A469" s="125"/>
    </row>
    <row r="470" spans="1:1" ht="15.75" customHeight="1">
      <c r="A470" s="125"/>
    </row>
    <row r="471" spans="1:1" ht="15.75" customHeight="1">
      <c r="A471" s="125"/>
    </row>
    <row r="472" spans="1:1" ht="15.75" customHeight="1">
      <c r="A472" s="125"/>
    </row>
    <row r="473" spans="1:1" ht="15.75" customHeight="1">
      <c r="A473" s="125"/>
    </row>
    <row r="474" spans="1:1" ht="15.75" customHeight="1">
      <c r="A474" s="125"/>
    </row>
    <row r="475" spans="1:1" ht="15.75" customHeight="1">
      <c r="A475" s="125"/>
    </row>
    <row r="476" spans="1:1" ht="15.75" customHeight="1">
      <c r="A476" s="125"/>
    </row>
    <row r="477" spans="1:1" ht="15.75" customHeight="1">
      <c r="A477" s="125"/>
    </row>
    <row r="478" spans="1:1" ht="15.75" customHeight="1">
      <c r="A478" s="125"/>
    </row>
    <row r="479" spans="1:1" ht="15.75" customHeight="1">
      <c r="A479" s="125"/>
    </row>
    <row r="480" spans="1:1" ht="15.75" customHeight="1">
      <c r="A480" s="125"/>
    </row>
    <row r="481" spans="1:1" ht="15.75" customHeight="1">
      <c r="A481" s="125"/>
    </row>
    <row r="482" spans="1:1" ht="15.75" customHeight="1">
      <c r="A482" s="125"/>
    </row>
    <row r="483" spans="1:1" ht="15.75" customHeight="1">
      <c r="A483" s="125"/>
    </row>
    <row r="484" spans="1:1" ht="15.75" customHeight="1">
      <c r="A484" s="125"/>
    </row>
    <row r="485" spans="1:1" ht="15.75" customHeight="1">
      <c r="A485" s="125"/>
    </row>
    <row r="486" spans="1:1" ht="15.75" customHeight="1">
      <c r="A486" s="125"/>
    </row>
    <row r="487" spans="1:1" ht="15.75" customHeight="1">
      <c r="A487" s="125"/>
    </row>
    <row r="488" spans="1:1" ht="15.75" customHeight="1">
      <c r="A488" s="125"/>
    </row>
    <row r="489" spans="1:1" ht="15.75" customHeight="1">
      <c r="A489" s="125"/>
    </row>
    <row r="490" spans="1:1" ht="15.75" customHeight="1">
      <c r="A490" s="125"/>
    </row>
    <row r="491" spans="1:1" ht="15.75" customHeight="1">
      <c r="A491" s="125"/>
    </row>
    <row r="492" spans="1:1" ht="15.75" customHeight="1">
      <c r="A492" s="125"/>
    </row>
    <row r="493" spans="1:1" ht="15.75" customHeight="1">
      <c r="A493" s="125"/>
    </row>
    <row r="494" spans="1:1" ht="15.75" customHeight="1">
      <c r="A494" s="125"/>
    </row>
    <row r="495" spans="1:1" ht="15.75" customHeight="1">
      <c r="A495" s="125"/>
    </row>
    <row r="496" spans="1:1" ht="15.75" customHeight="1">
      <c r="A496" s="125"/>
    </row>
    <row r="497" spans="1:1" ht="15.75" customHeight="1">
      <c r="A497" s="125"/>
    </row>
    <row r="498" spans="1:1" ht="15.75" customHeight="1">
      <c r="A498" s="125"/>
    </row>
    <row r="499" spans="1:1" ht="15.75" customHeight="1">
      <c r="A499" s="125"/>
    </row>
    <row r="500" spans="1:1" ht="15.75" customHeight="1">
      <c r="A500" s="125"/>
    </row>
    <row r="501" spans="1:1" ht="15.75" customHeight="1">
      <c r="A501" s="125"/>
    </row>
    <row r="502" spans="1:1" ht="15.75" customHeight="1">
      <c r="A502" s="125"/>
    </row>
    <row r="503" spans="1:1" ht="15.75" customHeight="1">
      <c r="A503" s="125"/>
    </row>
    <row r="504" spans="1:1" ht="15.75" customHeight="1">
      <c r="A504" s="125"/>
    </row>
    <row r="505" spans="1:1" ht="15.75" customHeight="1">
      <c r="A505" s="125"/>
    </row>
    <row r="506" spans="1:1" ht="15.75" customHeight="1">
      <c r="A506" s="125"/>
    </row>
    <row r="507" spans="1:1" ht="15.75" customHeight="1">
      <c r="A507" s="125"/>
    </row>
    <row r="508" spans="1:1" ht="15.75" customHeight="1">
      <c r="A508" s="125"/>
    </row>
    <row r="509" spans="1:1" ht="15.75" customHeight="1">
      <c r="A509" s="125"/>
    </row>
    <row r="510" spans="1:1" ht="15.75" customHeight="1">
      <c r="A510" s="125"/>
    </row>
    <row r="511" spans="1:1" ht="15.75" customHeight="1">
      <c r="A511" s="125"/>
    </row>
    <row r="512" spans="1:1" ht="15.75" customHeight="1">
      <c r="A512" s="125"/>
    </row>
    <row r="513" spans="1:1" ht="15.75" customHeight="1">
      <c r="A513" s="125"/>
    </row>
    <row r="514" spans="1:1" ht="15.75" customHeight="1">
      <c r="A514" s="125"/>
    </row>
    <row r="515" spans="1:1" ht="15.75" customHeight="1">
      <c r="A515" s="125"/>
    </row>
    <row r="516" spans="1:1" ht="15.75" customHeight="1">
      <c r="A516" s="125"/>
    </row>
    <row r="517" spans="1:1" ht="15.75" customHeight="1">
      <c r="A517" s="125"/>
    </row>
    <row r="518" spans="1:1" ht="15.75" customHeight="1">
      <c r="A518" s="125"/>
    </row>
    <row r="519" spans="1:1" ht="15.75" customHeight="1">
      <c r="A519" s="125"/>
    </row>
    <row r="520" spans="1:1" ht="15.75" customHeight="1">
      <c r="A520" s="125"/>
    </row>
    <row r="521" spans="1:1" ht="15.75" customHeight="1">
      <c r="A521" s="125"/>
    </row>
    <row r="522" spans="1:1" ht="15.75" customHeight="1">
      <c r="A522" s="125"/>
    </row>
    <row r="523" spans="1:1" ht="15.75" customHeight="1">
      <c r="A523" s="125"/>
    </row>
    <row r="524" spans="1:1" ht="15.75" customHeight="1">
      <c r="A524" s="125"/>
    </row>
    <row r="525" spans="1:1" ht="15.75" customHeight="1">
      <c r="A525" s="125"/>
    </row>
    <row r="526" spans="1:1" ht="15.75" customHeight="1">
      <c r="A526" s="125"/>
    </row>
    <row r="527" spans="1:1" ht="15.75" customHeight="1">
      <c r="A527" s="125"/>
    </row>
    <row r="528" spans="1:1" ht="15.75" customHeight="1">
      <c r="A528" s="125"/>
    </row>
    <row r="529" spans="1:1" ht="15.75" customHeight="1">
      <c r="A529" s="125"/>
    </row>
    <row r="530" spans="1:1" ht="15.75" customHeight="1">
      <c r="A530" s="125"/>
    </row>
    <row r="531" spans="1:1" ht="15.75" customHeight="1">
      <c r="A531" s="125"/>
    </row>
    <row r="532" spans="1:1">
      <c r="A532" s="125"/>
    </row>
    <row r="533" spans="1:1">
      <c r="A533" s="125"/>
    </row>
    <row r="534" spans="1:1">
      <c r="A534" s="125"/>
    </row>
    <row r="535" spans="1:1">
      <c r="A535" s="125"/>
    </row>
  </sheetData>
  <mergeCells count="12">
    <mergeCell ref="BF2:BJ2"/>
    <mergeCell ref="W2:AA2"/>
    <mergeCell ref="AB2:AF2"/>
    <mergeCell ref="AG2:AK2"/>
    <mergeCell ref="AL2:AP2"/>
    <mergeCell ref="AV2:AZ2"/>
    <mergeCell ref="AQ2:AU2"/>
    <mergeCell ref="C2:G2"/>
    <mergeCell ref="H2:L2"/>
    <mergeCell ref="M2:Q2"/>
    <mergeCell ref="R2:V2"/>
    <mergeCell ref="BA2:BE2"/>
  </mergeCells>
  <phoneticPr fontId="9" type="noConversion"/>
  <pageMargins left="0" right="0" top="0" bottom="0" header="0" footer="0"/>
  <pageSetup paperSize="5" scale="66" orientation="landscape" r:id="rId1"/>
  <headerFooter alignWithMargins="0"/>
  <ignoredErrors>
    <ignoredError sqref="AQ33:AT33 AV22:BJ22 L39 L36 L18 AV33:AY33 BO22:DH22 BO33:DH33 BA33:BJ33"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CX41"/>
  <sheetViews>
    <sheetView zoomScale="85" zoomScaleNormal="85" workbookViewId="0"/>
  </sheetViews>
  <sheetFormatPr defaultRowHeight="12.75" outlineLevelCol="1"/>
  <cols>
    <col min="1" max="1" width="2.375" style="465" customWidth="1"/>
    <col min="2" max="2" width="67.125" style="465" bestFit="1" customWidth="1"/>
    <col min="3" max="6" width="9" style="465" hidden="1" customWidth="1" outlineLevel="1"/>
    <col min="7" max="7" width="9" style="465" collapsed="1"/>
    <col min="8" max="11" width="9" style="465" hidden="1" customWidth="1" outlineLevel="1"/>
    <col min="12" max="12" width="9" style="465" collapsed="1"/>
    <col min="13" max="16" width="9" style="465" hidden="1" customWidth="1" outlineLevel="1"/>
    <col min="17" max="17" width="9" style="465" collapsed="1"/>
    <col min="18" max="21" width="9" style="465" hidden="1" customWidth="1" outlineLevel="1"/>
    <col min="22" max="22" width="9" style="465" collapsed="1"/>
    <col min="23" max="26" width="9" style="465" hidden="1" customWidth="1" outlineLevel="1"/>
    <col min="27" max="27" width="9" style="465" collapsed="1"/>
    <col min="28" max="31" width="9" style="465" hidden="1" customWidth="1" outlineLevel="1"/>
    <col min="32" max="32" width="9" style="465" collapsed="1"/>
    <col min="33" max="36" width="9" style="465" hidden="1" customWidth="1" outlineLevel="1"/>
    <col min="37" max="37" width="9" style="465" collapsed="1"/>
    <col min="38" max="41" width="9" style="465" hidden="1" customWidth="1" outlineLevel="1"/>
    <col min="42" max="42" width="9" style="465" collapsed="1"/>
    <col min="43" max="46" width="9" style="465" hidden="1" customWidth="1" outlineLevel="1"/>
    <col min="47" max="47" width="9" style="465" collapsed="1"/>
    <col min="48" max="51" width="9" style="465" hidden="1" customWidth="1" outlineLevel="1"/>
    <col min="52" max="52" width="5.375" style="465" bestFit="1" customWidth="1" collapsed="1"/>
    <col min="53" max="56" width="9" style="465" hidden="1" customWidth="1" outlineLevel="1"/>
    <col min="57" max="57" width="9" style="465" collapsed="1"/>
    <col min="58" max="61" width="0" style="465" hidden="1" customWidth="1" outlineLevel="1"/>
    <col min="62" max="62" width="9" style="465" collapsed="1"/>
    <col min="63" max="66" width="0" style="465" hidden="1" customWidth="1" outlineLevel="1"/>
    <col min="67" max="67" width="9" style="465" collapsed="1"/>
    <col min="68" max="71" width="0" style="465" hidden="1" customWidth="1" outlineLevel="1"/>
    <col min="72" max="72" width="9" style="465" collapsed="1"/>
    <col min="73" max="76" width="0" style="465" hidden="1" customWidth="1" outlineLevel="1"/>
    <col min="77" max="77" width="9" style="465" collapsed="1"/>
    <col min="78" max="81" width="0" style="465" hidden="1" customWidth="1" outlineLevel="1"/>
    <col min="82" max="82" width="9" style="465" collapsed="1"/>
    <col min="83" max="86" width="0" style="465" hidden="1" customWidth="1" outlineLevel="1"/>
    <col min="87" max="87" width="9" style="465" collapsed="1"/>
    <col min="88" max="91" width="0" style="465" hidden="1" customWidth="1" outlineLevel="1"/>
    <col min="92" max="92" width="9" style="465" collapsed="1"/>
    <col min="93" max="96" width="0" style="465" hidden="1" customWidth="1" outlineLevel="1"/>
    <col min="97" max="97" width="9" style="465" collapsed="1"/>
    <col min="98" max="101" width="0" style="465" hidden="1" customWidth="1" outlineLevel="1"/>
    <col min="102" max="102" width="9" style="465" collapsed="1"/>
    <col min="103" max="16384" width="9" style="465"/>
  </cols>
  <sheetData>
    <row r="2" spans="1:102" s="464" customFormat="1" ht="12.75" customHeight="1">
      <c r="A2" s="457"/>
      <c r="B2" s="458"/>
      <c r="C2" s="459" t="s">
        <v>102</v>
      </c>
      <c r="D2" s="459" t="s">
        <v>103</v>
      </c>
      <c r="E2" s="459" t="s">
        <v>104</v>
      </c>
      <c r="F2" s="459" t="s">
        <v>105</v>
      </c>
      <c r="G2" s="460">
        <v>2011</v>
      </c>
      <c r="H2" s="461" t="s">
        <v>181</v>
      </c>
      <c r="I2" s="461" t="s">
        <v>185</v>
      </c>
      <c r="J2" s="461" t="s">
        <v>189</v>
      </c>
      <c r="K2" s="461" t="s">
        <v>220</v>
      </c>
      <c r="L2" s="462">
        <v>2012</v>
      </c>
      <c r="M2" s="461" t="s">
        <v>231</v>
      </c>
      <c r="N2" s="459" t="s">
        <v>273</v>
      </c>
      <c r="O2" s="459" t="s">
        <v>495</v>
      </c>
      <c r="P2" s="459" t="s">
        <v>496</v>
      </c>
      <c r="Q2" s="460">
        <v>2013</v>
      </c>
      <c r="R2" s="459" t="s">
        <v>497</v>
      </c>
      <c r="S2" s="459" t="s">
        <v>498</v>
      </c>
      <c r="T2" s="459" t="s">
        <v>499</v>
      </c>
      <c r="U2" s="459" t="s">
        <v>500</v>
      </c>
      <c r="V2" s="460">
        <v>2014</v>
      </c>
      <c r="W2" s="459" t="s">
        <v>111</v>
      </c>
      <c r="X2" s="459" t="s">
        <v>112</v>
      </c>
      <c r="Y2" s="459" t="s">
        <v>113</v>
      </c>
      <c r="Z2" s="459" t="s">
        <v>114</v>
      </c>
      <c r="AA2" s="460">
        <v>2015</v>
      </c>
      <c r="AB2" s="463" t="s">
        <v>116</v>
      </c>
      <c r="AC2" s="463" t="s">
        <v>117</v>
      </c>
      <c r="AD2" s="463" t="s">
        <v>118</v>
      </c>
      <c r="AE2" s="463" t="s">
        <v>119</v>
      </c>
      <c r="AF2" s="460" t="s">
        <v>120</v>
      </c>
      <c r="AG2" s="463" t="s">
        <v>121</v>
      </c>
      <c r="AH2" s="463" t="s">
        <v>122</v>
      </c>
      <c r="AI2" s="463" t="s">
        <v>123</v>
      </c>
      <c r="AJ2" s="463" t="s">
        <v>124</v>
      </c>
      <c r="AK2" s="460" t="s">
        <v>125</v>
      </c>
      <c r="AL2" s="463" t="s">
        <v>126</v>
      </c>
      <c r="AM2" s="463" t="s">
        <v>127</v>
      </c>
      <c r="AN2" s="463" t="s">
        <v>128</v>
      </c>
      <c r="AO2" s="463" t="s">
        <v>129</v>
      </c>
      <c r="AP2" s="460" t="s">
        <v>130</v>
      </c>
      <c r="AQ2" s="463" t="s">
        <v>131</v>
      </c>
      <c r="AR2" s="463" t="s">
        <v>132</v>
      </c>
      <c r="AS2" s="463" t="s">
        <v>133</v>
      </c>
      <c r="AT2" s="463" t="s">
        <v>134</v>
      </c>
      <c r="AU2" s="460" t="s">
        <v>135</v>
      </c>
      <c r="AV2" s="463" t="s">
        <v>136</v>
      </c>
      <c r="AW2" s="463" t="s">
        <v>137</v>
      </c>
      <c r="AX2" s="463" t="s">
        <v>138</v>
      </c>
      <c r="AY2" s="463" t="s">
        <v>139</v>
      </c>
      <c r="AZ2" s="460" t="s">
        <v>140</v>
      </c>
      <c r="BA2" s="462"/>
      <c r="BB2" s="462"/>
      <c r="BC2" s="462"/>
      <c r="BD2" s="462"/>
      <c r="BE2" s="1023">
        <v>2021</v>
      </c>
      <c r="BF2" s="1023"/>
      <c r="BG2" s="1023"/>
      <c r="BH2" s="1023"/>
      <c r="BI2" s="1023"/>
      <c r="BJ2" s="1023">
        <f>BE2+1</f>
        <v>2022</v>
      </c>
      <c r="BK2" s="1023"/>
      <c r="BL2" s="1023"/>
      <c r="BM2" s="1023"/>
      <c r="BN2" s="1023"/>
      <c r="BO2" s="1023">
        <f>BJ2+1</f>
        <v>2023</v>
      </c>
      <c r="BP2" s="1023"/>
      <c r="BQ2" s="1023"/>
      <c r="BR2" s="1023"/>
      <c r="BS2" s="1023"/>
      <c r="BT2" s="1023">
        <f>BO2+1</f>
        <v>2024</v>
      </c>
      <c r="BU2" s="1023"/>
      <c r="BV2" s="1023"/>
      <c r="BW2" s="1023"/>
      <c r="BX2" s="1023"/>
      <c r="BY2" s="1023">
        <f>BT2+1</f>
        <v>2025</v>
      </c>
      <c r="BZ2" s="1023"/>
      <c r="CA2" s="1023"/>
      <c r="CB2" s="1023"/>
      <c r="CC2" s="1023"/>
      <c r="CD2" s="1023">
        <f>BY2+1</f>
        <v>2026</v>
      </c>
      <c r="CE2" s="1023"/>
      <c r="CF2" s="1023"/>
      <c r="CG2" s="1023"/>
      <c r="CH2" s="1023"/>
      <c r="CI2" s="1023">
        <f>CD2+1</f>
        <v>2027</v>
      </c>
      <c r="CJ2" s="1023"/>
      <c r="CK2" s="1023"/>
      <c r="CL2" s="1023"/>
      <c r="CM2" s="1023"/>
      <c r="CN2" s="1023">
        <f>CI2+1</f>
        <v>2028</v>
      </c>
      <c r="CO2" s="1023"/>
      <c r="CP2" s="1023"/>
      <c r="CQ2" s="1023"/>
      <c r="CR2" s="1023"/>
      <c r="CS2" s="1023">
        <f>CN2+1</f>
        <v>2029</v>
      </c>
      <c r="CT2" s="1023"/>
      <c r="CU2" s="1023"/>
      <c r="CV2" s="1023"/>
      <c r="CW2" s="1023"/>
      <c r="CX2" s="1023">
        <f t="shared" ref="CX2" si="0">CS2+1</f>
        <v>2030</v>
      </c>
    </row>
    <row r="3" spans="1:102">
      <c r="C3" s="466"/>
      <c r="D3" s="466"/>
      <c r="E3" s="466"/>
      <c r="F3" s="466"/>
      <c r="H3" s="466"/>
      <c r="I3" s="466"/>
      <c r="J3" s="466"/>
      <c r="K3" s="466"/>
      <c r="M3" s="466"/>
      <c r="N3" s="466"/>
      <c r="O3" s="466"/>
      <c r="P3" s="466"/>
      <c r="R3" s="466"/>
      <c r="S3" s="466"/>
      <c r="T3" s="466"/>
      <c r="U3" s="466"/>
      <c r="W3" s="466"/>
      <c r="X3" s="466"/>
      <c r="Y3" s="466"/>
      <c r="Z3" s="466"/>
    </row>
    <row r="4" spans="1:102">
      <c r="B4" s="467" t="s">
        <v>259</v>
      </c>
      <c r="C4" s="466"/>
      <c r="D4" s="466"/>
      <c r="E4" s="466"/>
      <c r="F4" s="466"/>
      <c r="G4" s="468">
        <v>400</v>
      </c>
      <c r="H4" s="466"/>
      <c r="I4" s="466"/>
      <c r="J4" s="466"/>
      <c r="K4" s="466"/>
      <c r="L4" s="468">
        <v>400</v>
      </c>
      <c r="M4" s="470">
        <f>L4</f>
        <v>400</v>
      </c>
      <c r="N4" s="470">
        <f>M4</f>
        <v>400</v>
      </c>
      <c r="O4" s="470">
        <f>N4</f>
        <v>400</v>
      </c>
      <c r="P4" s="470">
        <f>O4</f>
        <v>400</v>
      </c>
      <c r="Q4" s="468">
        <v>400</v>
      </c>
      <c r="R4" s="470">
        <f>Q4</f>
        <v>400</v>
      </c>
      <c r="S4" s="470">
        <f>R4</f>
        <v>400</v>
      </c>
      <c r="T4" s="470">
        <f>S4</f>
        <v>400</v>
      </c>
      <c r="U4" s="470">
        <f>T4</f>
        <v>400</v>
      </c>
      <c r="V4" s="468">
        <v>169.4</v>
      </c>
      <c r="W4" s="470">
        <f>V4</f>
        <v>169.4</v>
      </c>
      <c r="X4" s="470">
        <f>W4</f>
        <v>169.4</v>
      </c>
      <c r="Y4" s="470">
        <f>X4</f>
        <v>169.4</v>
      </c>
      <c r="Z4" s="470">
        <f>Y4</f>
        <v>169.4</v>
      </c>
      <c r="AA4" s="468">
        <v>11.154</v>
      </c>
      <c r="AB4" s="469">
        <f>AA4</f>
        <v>11.154</v>
      </c>
      <c r="AC4" s="469">
        <f>AB4</f>
        <v>11.154</v>
      </c>
      <c r="AD4" s="469">
        <f>AC4</f>
        <v>11.154</v>
      </c>
      <c r="AE4" s="469"/>
      <c r="AF4" s="469"/>
    </row>
    <row r="5" spans="1:102">
      <c r="B5" s="467" t="s">
        <v>265</v>
      </c>
      <c r="C5" s="466"/>
      <c r="D5" s="466"/>
      <c r="E5" s="466"/>
      <c r="F5" s="466"/>
      <c r="G5" s="468">
        <v>-124.98099999999999</v>
      </c>
      <c r="H5" s="466"/>
      <c r="I5" s="466"/>
      <c r="J5" s="466"/>
      <c r="K5" s="466"/>
      <c r="L5" s="468">
        <v>-103.482</v>
      </c>
      <c r="M5" s="471">
        <f>L5+$Q$24/4</f>
        <v>-97.736999999999995</v>
      </c>
      <c r="N5" s="471">
        <f>M5+$Q$24/4</f>
        <v>-91.99199999999999</v>
      </c>
      <c r="O5" s="471">
        <f>N5+$Q$24/4</f>
        <v>-86.246999999999986</v>
      </c>
      <c r="P5" s="471">
        <f>O5+$Q$24/4</f>
        <v>-80.501999999999981</v>
      </c>
      <c r="Q5" s="468">
        <v>-79.685000000000002</v>
      </c>
      <c r="R5" s="471">
        <f>Q5+$Q$24/4</f>
        <v>-73.94</v>
      </c>
      <c r="S5" s="471">
        <f>R5+$Q$24/4</f>
        <v>-68.194999999999993</v>
      </c>
      <c r="T5" s="471">
        <f>S5+$Q$24/4</f>
        <v>-62.449999999999996</v>
      </c>
      <c r="U5" s="471">
        <f>T5+Q$24/4</f>
        <v>-56.704999999999998</v>
      </c>
      <c r="V5" s="468">
        <v>-22.626999999999999</v>
      </c>
      <c r="W5" s="471">
        <f>V5+$V$24/4</f>
        <v>-18.171749999999999</v>
      </c>
      <c r="X5" s="471">
        <f t="shared" ref="X5:Z5" si="1">W5+$V$24/4</f>
        <v>-13.7165</v>
      </c>
      <c r="Y5" s="471">
        <f t="shared" si="1"/>
        <v>-9.2612500000000004</v>
      </c>
      <c r="Z5" s="471">
        <f t="shared" si="1"/>
        <v>-4.806</v>
      </c>
      <c r="AA5" s="468">
        <v>-0.35199999999999998</v>
      </c>
      <c r="AB5" s="472">
        <f>AA5+$Q$24/4</f>
        <v>5.3929999999999998</v>
      </c>
      <c r="AC5" s="472">
        <f>AB5+$Q$24/4</f>
        <v>11.138</v>
      </c>
      <c r="AD5" s="472">
        <f>AC5+$Q$24/4</f>
        <v>16.882999999999999</v>
      </c>
      <c r="AE5" s="472"/>
      <c r="AF5" s="473"/>
    </row>
    <row r="6" spans="1:102">
      <c r="B6" s="467" t="s">
        <v>266</v>
      </c>
      <c r="C6" s="466"/>
      <c r="D6" s="466"/>
      <c r="E6" s="466"/>
      <c r="F6" s="466"/>
      <c r="G6" s="469">
        <f>G5+G4</f>
        <v>275.01900000000001</v>
      </c>
      <c r="H6" s="466"/>
      <c r="I6" s="466"/>
      <c r="J6" s="466"/>
      <c r="K6" s="466"/>
      <c r="L6" s="469">
        <f t="shared" ref="L6:AD6" si="2">L5+L4</f>
        <v>296.51800000000003</v>
      </c>
      <c r="M6" s="470">
        <f t="shared" si="2"/>
        <v>302.26300000000003</v>
      </c>
      <c r="N6" s="470">
        <f t="shared" si="2"/>
        <v>308.00800000000004</v>
      </c>
      <c r="O6" s="470">
        <f t="shared" si="2"/>
        <v>313.75300000000004</v>
      </c>
      <c r="P6" s="470">
        <f t="shared" si="2"/>
        <v>319.49800000000005</v>
      </c>
      <c r="Q6" s="469">
        <f>Q5+Q4</f>
        <v>320.315</v>
      </c>
      <c r="R6" s="470">
        <f t="shared" si="2"/>
        <v>326.06</v>
      </c>
      <c r="S6" s="470">
        <f t="shared" si="2"/>
        <v>331.80500000000001</v>
      </c>
      <c r="T6" s="470">
        <f t="shared" si="2"/>
        <v>337.55</v>
      </c>
      <c r="U6" s="470">
        <f t="shared" si="2"/>
        <v>343.29500000000002</v>
      </c>
      <c r="V6" s="469">
        <f>V5+V4</f>
        <v>146.773</v>
      </c>
      <c r="W6" s="470">
        <f t="shared" si="2"/>
        <v>151.22825</v>
      </c>
      <c r="X6" s="470">
        <f>X5+X4</f>
        <v>155.68350000000001</v>
      </c>
      <c r="Y6" s="470">
        <f>Y5+Y4</f>
        <v>160.13875000000002</v>
      </c>
      <c r="Z6" s="470">
        <f>Z5+Z4</f>
        <v>164.59399999999999</v>
      </c>
      <c r="AA6" s="469">
        <f>AA5+AA4</f>
        <v>10.802</v>
      </c>
      <c r="AB6" s="469">
        <f t="shared" si="2"/>
        <v>16.547000000000001</v>
      </c>
      <c r="AC6" s="469">
        <f t="shared" si="2"/>
        <v>22.292000000000002</v>
      </c>
      <c r="AD6" s="469">
        <f t="shared" si="2"/>
        <v>28.036999999999999</v>
      </c>
      <c r="AE6" s="469"/>
      <c r="AF6" s="469"/>
    </row>
    <row r="7" spans="1:102">
      <c r="B7" s="474" t="s">
        <v>260</v>
      </c>
      <c r="C7" s="466"/>
      <c r="D7" s="466"/>
      <c r="E7" s="466"/>
      <c r="F7" s="466"/>
      <c r="G7" s="475">
        <v>1.8749999999999999E-2</v>
      </c>
      <c r="H7" s="466"/>
      <c r="I7" s="466"/>
      <c r="J7" s="466"/>
      <c r="K7" s="466"/>
      <c r="L7" s="476">
        <f>G7</f>
        <v>1.8749999999999999E-2</v>
      </c>
      <c r="M7" s="477">
        <f>Q7/4</f>
        <v>4.6874999999999998E-3</v>
      </c>
      <c r="N7" s="478">
        <f>M7</f>
        <v>4.6874999999999998E-3</v>
      </c>
      <c r="O7" s="478">
        <f>N7</f>
        <v>4.6874999999999998E-3</v>
      </c>
      <c r="P7" s="478">
        <f>O7</f>
        <v>4.6874999999999998E-3</v>
      </c>
      <c r="Q7" s="476">
        <f>L7</f>
        <v>1.8749999999999999E-2</v>
      </c>
      <c r="R7" s="477">
        <f>V7/4</f>
        <v>4.6874999999999998E-3</v>
      </c>
      <c r="S7" s="478">
        <f>R7</f>
        <v>4.6874999999999998E-3</v>
      </c>
      <c r="T7" s="478">
        <f>S7</f>
        <v>4.6874999999999998E-3</v>
      </c>
      <c r="U7" s="478">
        <f>T7</f>
        <v>4.6874999999999998E-3</v>
      </c>
      <c r="V7" s="476">
        <f>Q7</f>
        <v>1.8749999999999999E-2</v>
      </c>
      <c r="W7" s="477">
        <f>AA7/4</f>
        <v>4.6874999999999998E-3</v>
      </c>
      <c r="X7" s="478">
        <f>W7</f>
        <v>4.6874999999999998E-3</v>
      </c>
      <c r="Y7" s="478">
        <f>X7</f>
        <v>4.6874999999999998E-3</v>
      </c>
      <c r="Z7" s="478">
        <f>Y7</f>
        <v>4.6874999999999998E-3</v>
      </c>
      <c r="AA7" s="476">
        <f>V7</f>
        <v>1.8749999999999999E-2</v>
      </c>
      <c r="AB7" s="479">
        <f>Z7</f>
        <v>4.6874999999999998E-3</v>
      </c>
      <c r="AC7" s="479">
        <f>AB7</f>
        <v>4.6874999999999998E-3</v>
      </c>
      <c r="AD7" s="479">
        <f>AC7</f>
        <v>4.6874999999999998E-3</v>
      </c>
      <c r="AE7" s="479"/>
      <c r="AF7" s="476">
        <f>AA7</f>
        <v>1.8749999999999999E-2</v>
      </c>
    </row>
    <row r="8" spans="1:102">
      <c r="B8" s="465" t="s">
        <v>88</v>
      </c>
      <c r="C8" s="466"/>
      <c r="D8" s="466"/>
      <c r="E8" s="466"/>
      <c r="F8" s="466"/>
      <c r="G8" s="480">
        <v>1.4550000000000001</v>
      </c>
      <c r="H8" s="466"/>
      <c r="I8" s="466"/>
      <c r="J8" s="466"/>
      <c r="K8" s="466"/>
      <c r="L8" s="468">
        <v>7.5030000000000001</v>
      </c>
      <c r="M8" s="481">
        <f>M7*M4</f>
        <v>1.875</v>
      </c>
      <c r="N8" s="481">
        <f>N7*N4</f>
        <v>1.875</v>
      </c>
      <c r="O8" s="481">
        <f>O7*O4</f>
        <v>1.875</v>
      </c>
      <c r="P8" s="481">
        <f>P7*P4</f>
        <v>1.875</v>
      </c>
      <c r="Q8" s="828">
        <v>7.23</v>
      </c>
      <c r="R8" s="481">
        <f>R7*R4</f>
        <v>1.875</v>
      </c>
      <c r="S8" s="481">
        <f>S7*S4</f>
        <v>1.875</v>
      </c>
      <c r="T8" s="481">
        <f>T7*T4</f>
        <v>1.875</v>
      </c>
      <c r="U8" s="481">
        <f>U7*U4</f>
        <v>1.875</v>
      </c>
      <c r="V8" s="828">
        <v>5.0359999999999996</v>
      </c>
      <c r="W8" s="827">
        <f>W7*W4</f>
        <v>0.7940625</v>
      </c>
      <c r="X8" s="827">
        <f>X7*X4</f>
        <v>0.7940625</v>
      </c>
      <c r="Y8" s="827">
        <f>Y7*Y4</f>
        <v>0.7940625</v>
      </c>
      <c r="Z8" s="827">
        <f>Z7*Z4</f>
        <v>0.7940625</v>
      </c>
      <c r="AA8" s="828">
        <v>0.54400000000000004</v>
      </c>
      <c r="AB8" s="875">
        <f>AB7*AB4</f>
        <v>5.2284375000000001E-2</v>
      </c>
      <c r="AC8" s="875">
        <f>AC7*AC4</f>
        <v>5.2284375000000001E-2</v>
      </c>
      <c r="AD8" s="875">
        <f>AD7*AD4</f>
        <v>5.2284375000000001E-2</v>
      </c>
      <c r="AE8" s="483"/>
      <c r="AF8" s="482">
        <f>SUM(AB8:AE8)</f>
        <v>0.15685312500000001</v>
      </c>
    </row>
    <row r="9" spans="1:102">
      <c r="C9" s="466"/>
      <c r="D9" s="466"/>
      <c r="E9" s="466"/>
      <c r="F9" s="466"/>
      <c r="H9" s="466"/>
      <c r="I9" s="466"/>
      <c r="J9" s="466"/>
      <c r="K9" s="466"/>
      <c r="L9" s="483"/>
      <c r="M9" s="466"/>
      <c r="N9" s="466"/>
      <c r="O9" s="466"/>
      <c r="P9" s="466"/>
      <c r="R9" s="466"/>
      <c r="S9" s="466"/>
      <c r="T9" s="466"/>
      <c r="U9" s="466"/>
      <c r="W9" s="490"/>
      <c r="X9" s="490"/>
      <c r="Y9" s="490"/>
      <c r="Z9" s="490"/>
    </row>
    <row r="10" spans="1:102">
      <c r="B10" s="467" t="s">
        <v>267</v>
      </c>
      <c r="C10" s="466"/>
      <c r="D10" s="466"/>
      <c r="E10" s="466"/>
      <c r="F10" s="466"/>
      <c r="H10" s="466"/>
      <c r="I10" s="466"/>
      <c r="J10" s="466"/>
      <c r="K10" s="466"/>
      <c r="L10" s="480">
        <v>112.5</v>
      </c>
      <c r="M10" s="470">
        <f>L10-M12</f>
        <v>109.40625</v>
      </c>
      <c r="N10" s="470">
        <f>M10-N12</f>
        <v>106.397578125</v>
      </c>
      <c r="O10" s="470">
        <f>N10-O12</f>
        <v>103.4716447265625</v>
      </c>
      <c r="P10" s="470">
        <f>O10-P12</f>
        <v>100.62617449658204</v>
      </c>
      <c r="Q10" s="468">
        <v>111.2</v>
      </c>
      <c r="R10" s="470">
        <f>Q10-R12</f>
        <v>108.142</v>
      </c>
      <c r="S10" s="470">
        <f>R10-S12</f>
        <v>105.16809499999999</v>
      </c>
      <c r="T10" s="470">
        <f>S10-T12</f>
        <v>102.27597238749999</v>
      </c>
      <c r="U10" s="470">
        <f>T10-U12</f>
        <v>99.463383146843739</v>
      </c>
      <c r="V10" s="468">
        <v>110.2</v>
      </c>
      <c r="W10" s="470">
        <f>V10-W12</f>
        <v>107.1695</v>
      </c>
      <c r="X10" s="470">
        <f>W10-X12</f>
        <v>104.22233875000001</v>
      </c>
      <c r="Y10" s="470">
        <f>X10-Y12</f>
        <v>101.35622443437501</v>
      </c>
      <c r="Z10" s="470">
        <f>Y10-Z12</f>
        <v>98.568928262429694</v>
      </c>
      <c r="AA10" s="468">
        <v>108.857</v>
      </c>
      <c r="AB10" s="469">
        <f>AA10-AB12</f>
        <v>105.8634325</v>
      </c>
      <c r="AC10" s="469">
        <f>AB10-AC12</f>
        <v>102.95218810625001</v>
      </c>
      <c r="AD10" s="469">
        <f>AC10-AD12</f>
        <v>100.12100293332813</v>
      </c>
      <c r="AE10" s="469">
        <f>AD10-AE12</f>
        <v>97.367675352661607</v>
      </c>
      <c r="AF10" s="469">
        <f>AE10</f>
        <v>97.367675352661607</v>
      </c>
      <c r="AG10" s="469">
        <f>AF10-AG12</f>
        <v>94.690064280463417</v>
      </c>
      <c r="AH10" s="469">
        <f>AG10-AH12</f>
        <v>92.08608751275068</v>
      </c>
      <c r="AI10" s="469">
        <f>AH10-AI12</f>
        <v>89.553720106150038</v>
      </c>
      <c r="AJ10" s="469">
        <f>AI10-AJ12</f>
        <v>87.090992803230918</v>
      </c>
      <c r="AK10" s="469">
        <f>AJ10</f>
        <v>87.090992803230918</v>
      </c>
      <c r="AL10" s="469">
        <f>AK10-AL12</f>
        <v>84.695990501142063</v>
      </c>
      <c r="AM10" s="469">
        <f>AL10-AM12</f>
        <v>82.366850762360656</v>
      </c>
      <c r="AN10" s="469">
        <f>AM10-AN12</f>
        <v>80.101762366395732</v>
      </c>
      <c r="AO10" s="469">
        <f>AN10-AO12</f>
        <v>77.898963901319846</v>
      </c>
      <c r="AP10" s="469">
        <f>AO10</f>
        <v>77.898963901319846</v>
      </c>
      <c r="AQ10" s="469">
        <f>AP10-AQ12</f>
        <v>75.756742394033552</v>
      </c>
      <c r="AR10" s="469">
        <f>AQ10-AR12</f>
        <v>73.673431978197627</v>
      </c>
      <c r="AS10" s="469">
        <f>AR10-AS12</f>
        <v>71.647412598797189</v>
      </c>
      <c r="AT10" s="469">
        <f>AS10-AT12</f>
        <v>69.67710875233027</v>
      </c>
      <c r="AU10" s="469">
        <f>AT10</f>
        <v>69.67710875233027</v>
      </c>
      <c r="AV10" s="469">
        <f>AU10-AV12</f>
        <v>67.760988261641188</v>
      </c>
      <c r="AW10" s="469">
        <f>AV10-AW12</f>
        <v>65.897561084446053</v>
      </c>
      <c r="AX10" s="469">
        <f>AW10-AX12</f>
        <v>64.085378154623783</v>
      </c>
      <c r="AY10" s="469">
        <f>AX10-AY12</f>
        <v>62.323030255371627</v>
      </c>
      <c r="AZ10" s="469">
        <f>AY10</f>
        <v>62.323030255371627</v>
      </c>
    </row>
    <row r="11" spans="1:102">
      <c r="B11" s="474" t="s">
        <v>260</v>
      </c>
      <c r="C11" s="466"/>
      <c r="D11" s="466"/>
      <c r="E11" s="466"/>
      <c r="F11" s="466"/>
      <c r="H11" s="466"/>
      <c r="I11" s="466"/>
      <c r="J11" s="466"/>
      <c r="K11" s="466"/>
      <c r="L11" s="484">
        <v>0.11</v>
      </c>
      <c r="M11" s="485">
        <f>L11/4</f>
        <v>2.75E-2</v>
      </c>
      <c r="N11" s="486">
        <f>M11</f>
        <v>2.75E-2</v>
      </c>
      <c r="O11" s="486">
        <f>N11</f>
        <v>2.75E-2</v>
      </c>
      <c r="P11" s="486">
        <f>O11</f>
        <v>2.75E-2</v>
      </c>
      <c r="Q11" s="487">
        <f>L11</f>
        <v>0.11</v>
      </c>
      <c r="R11" s="485">
        <f>Q11/4</f>
        <v>2.75E-2</v>
      </c>
      <c r="S11" s="486">
        <f>R11</f>
        <v>2.75E-2</v>
      </c>
      <c r="T11" s="486">
        <f>S11</f>
        <v>2.75E-2</v>
      </c>
      <c r="U11" s="486">
        <f>T11</f>
        <v>2.75E-2</v>
      </c>
      <c r="V11" s="487">
        <f>Q11</f>
        <v>0.11</v>
      </c>
      <c r="W11" s="485">
        <f>V11/4</f>
        <v>2.75E-2</v>
      </c>
      <c r="X11" s="486">
        <f>W11</f>
        <v>2.75E-2</v>
      </c>
      <c r="Y11" s="486">
        <f>X11</f>
        <v>2.75E-2</v>
      </c>
      <c r="Z11" s="486">
        <f>Y11</f>
        <v>2.75E-2</v>
      </c>
      <c r="AA11" s="487">
        <f>V11</f>
        <v>0.11</v>
      </c>
      <c r="AB11" s="488">
        <f>AA11/4</f>
        <v>2.75E-2</v>
      </c>
      <c r="AC11" s="489">
        <f>AB11</f>
        <v>2.75E-2</v>
      </c>
      <c r="AD11" s="489">
        <f>AC11</f>
        <v>2.75E-2</v>
      </c>
      <c r="AE11" s="489">
        <f>AD11</f>
        <v>2.75E-2</v>
      </c>
      <c r="AF11" s="487">
        <f>AA11</f>
        <v>0.11</v>
      </c>
      <c r="AG11" s="488">
        <f>AF11/4</f>
        <v>2.75E-2</v>
      </c>
      <c r="AH11" s="489">
        <f>AG11</f>
        <v>2.75E-2</v>
      </c>
      <c r="AI11" s="489">
        <f>AH11</f>
        <v>2.75E-2</v>
      </c>
      <c r="AJ11" s="489">
        <f>AI11</f>
        <v>2.75E-2</v>
      </c>
      <c r="AK11" s="487">
        <f>AF11</f>
        <v>0.11</v>
      </c>
      <c r="AL11" s="488">
        <f>AK11/4</f>
        <v>2.75E-2</v>
      </c>
      <c r="AM11" s="489">
        <f>AL11</f>
        <v>2.75E-2</v>
      </c>
      <c r="AN11" s="489">
        <f>AM11</f>
        <v>2.75E-2</v>
      </c>
      <c r="AO11" s="489">
        <f>AN11</f>
        <v>2.75E-2</v>
      </c>
      <c r="AP11" s="487">
        <f>AK11</f>
        <v>0.11</v>
      </c>
      <c r="AQ11" s="488">
        <f>AP11/4</f>
        <v>2.75E-2</v>
      </c>
      <c r="AR11" s="489">
        <f>AQ11</f>
        <v>2.75E-2</v>
      </c>
      <c r="AS11" s="489">
        <f>AR11</f>
        <v>2.75E-2</v>
      </c>
      <c r="AT11" s="489">
        <f>AS11</f>
        <v>2.75E-2</v>
      </c>
      <c r="AU11" s="487">
        <f>AP11</f>
        <v>0.11</v>
      </c>
      <c r="AV11" s="488">
        <f>AU11/4</f>
        <v>2.75E-2</v>
      </c>
      <c r="AW11" s="489">
        <f>AV11</f>
        <v>2.75E-2</v>
      </c>
      <c r="AX11" s="489">
        <f>AW11</f>
        <v>2.75E-2</v>
      </c>
      <c r="AY11" s="489">
        <f>AX11</f>
        <v>2.75E-2</v>
      </c>
      <c r="AZ11" s="487">
        <f>AU11</f>
        <v>0.11</v>
      </c>
    </row>
    <row r="12" spans="1:102">
      <c r="B12" s="465" t="s">
        <v>88</v>
      </c>
      <c r="C12" s="466"/>
      <c r="D12" s="466"/>
      <c r="E12" s="466"/>
      <c r="F12" s="466"/>
      <c r="H12" s="466"/>
      <c r="I12" s="466"/>
      <c r="J12" s="466"/>
      <c r="K12" s="466"/>
      <c r="L12" s="469">
        <f>L23-L16</f>
        <v>11.7</v>
      </c>
      <c r="M12" s="470">
        <f>M11*L10</f>
        <v>3.09375</v>
      </c>
      <c r="N12" s="470">
        <f>N11*M10</f>
        <v>3.0086718750000001</v>
      </c>
      <c r="O12" s="470">
        <f>O11*N10</f>
        <v>2.9259333984375</v>
      </c>
      <c r="P12" s="470">
        <f>P11*O10</f>
        <v>2.8454702299804686</v>
      </c>
      <c r="Q12" s="469">
        <f>Q23-Q16</f>
        <v>12.023625301875001</v>
      </c>
      <c r="R12" s="470">
        <f>R11*Q10</f>
        <v>3.0580000000000003</v>
      </c>
      <c r="S12" s="470">
        <f>S11*R10</f>
        <v>2.9739049999999998</v>
      </c>
      <c r="T12" s="470">
        <f>T11*S10</f>
        <v>2.8921226124999997</v>
      </c>
      <c r="U12" s="470">
        <f>U11*T10</f>
        <v>2.8125892406562496</v>
      </c>
      <c r="V12" s="469">
        <f>SUM(R12:U12)</f>
        <v>11.736616853156249</v>
      </c>
      <c r="W12" s="470">
        <f>W11*V10</f>
        <v>3.0305</v>
      </c>
      <c r="X12" s="470">
        <f>X11*W10</f>
        <v>2.9471612500000002</v>
      </c>
      <c r="Y12" s="470">
        <f>Y11*X10</f>
        <v>2.866114315625</v>
      </c>
      <c r="Z12" s="470">
        <f>Z11*Y10</f>
        <v>2.7872961719453127</v>
      </c>
      <c r="AA12" s="469">
        <f>SUM(W12:Z12)</f>
        <v>11.631071737570313</v>
      </c>
      <c r="AB12" s="469">
        <f>AB11*AA10</f>
        <v>2.9935675000000002</v>
      </c>
      <c r="AC12" s="469">
        <f>AC11*AB10</f>
        <v>2.9112443937500001</v>
      </c>
      <c r="AD12" s="469">
        <f>AD11*AC10</f>
        <v>2.8311851729218751</v>
      </c>
      <c r="AE12" s="469">
        <f>AE11*AD10</f>
        <v>2.7533275806665234</v>
      </c>
      <c r="AF12" s="469">
        <f>SUM(AB12:AE12)</f>
        <v>11.4893246473384</v>
      </c>
      <c r="AG12" s="469">
        <f>AG11*AF10</f>
        <v>2.6776110721981943</v>
      </c>
      <c r="AH12" s="469">
        <f>AH11*AG10</f>
        <v>2.6039767677127439</v>
      </c>
      <c r="AI12" s="469">
        <f>AI11*AH10</f>
        <v>2.5323674066006436</v>
      </c>
      <c r="AJ12" s="469">
        <f>AJ11*AI10</f>
        <v>2.4627273029191259</v>
      </c>
      <c r="AK12" s="469">
        <f>SUM(AG12:AJ12)</f>
        <v>10.276682549430708</v>
      </c>
      <c r="AL12" s="469">
        <f>AL11*AK10</f>
        <v>2.3950023020888502</v>
      </c>
      <c r="AM12" s="469">
        <f>AM11*AL10</f>
        <v>2.3291397387814068</v>
      </c>
      <c r="AN12" s="469">
        <f>AN11*AM10</f>
        <v>2.2650883959649182</v>
      </c>
      <c r="AO12" s="469">
        <f>AO11*AN10</f>
        <v>2.2027984650758827</v>
      </c>
      <c r="AP12" s="469">
        <f>SUM(AL12:AO12)</f>
        <v>9.1920289019110584</v>
      </c>
      <c r="AQ12" s="469">
        <f>AQ11*AP10</f>
        <v>2.1422215072862958</v>
      </c>
      <c r="AR12" s="469">
        <f>AR11*AQ10</f>
        <v>2.0833104158359226</v>
      </c>
      <c r="AS12" s="469">
        <f>AS11*AR10</f>
        <v>2.0260193794004349</v>
      </c>
      <c r="AT12" s="469">
        <f>AT11*AS10</f>
        <v>1.9703038464669227</v>
      </c>
      <c r="AU12" s="469">
        <f>SUM(AQ12:AT12)</f>
        <v>8.2218551489895759</v>
      </c>
      <c r="AV12" s="469">
        <f>AV11*AU10</f>
        <v>1.9161204906890825</v>
      </c>
      <c r="AW12" s="469">
        <f>AW11*AV10</f>
        <v>1.8634271771951327</v>
      </c>
      <c r="AX12" s="469">
        <f>AX11*AW10</f>
        <v>1.8121829298222665</v>
      </c>
      <c r="AY12" s="469">
        <f>AY11*AX10</f>
        <v>1.762347899252154</v>
      </c>
      <c r="AZ12" s="469">
        <f>SUM(AV12:AY12)</f>
        <v>7.3540784969586355</v>
      </c>
    </row>
    <row r="13" spans="1:102">
      <c r="C13" s="466"/>
      <c r="D13" s="466"/>
      <c r="E13" s="466"/>
      <c r="F13" s="466"/>
      <c r="H13" s="466"/>
      <c r="I13" s="466"/>
      <c r="J13" s="466"/>
      <c r="K13" s="466"/>
      <c r="L13" s="483"/>
      <c r="M13" s="466"/>
      <c r="N13" s="466"/>
      <c r="O13" s="466"/>
      <c r="P13" s="466"/>
      <c r="R13" s="466"/>
      <c r="S13" s="466"/>
      <c r="T13" s="466"/>
      <c r="U13" s="466"/>
      <c r="W13" s="466"/>
      <c r="X13" s="466"/>
      <c r="Y13" s="466"/>
      <c r="Z13" s="466"/>
    </row>
    <row r="14" spans="1:102">
      <c r="B14" s="467" t="s">
        <v>268</v>
      </c>
      <c r="C14" s="466"/>
      <c r="D14" s="466"/>
      <c r="E14" s="466"/>
      <c r="F14" s="466"/>
      <c r="H14" s="466"/>
      <c r="I14" s="466"/>
      <c r="J14" s="466"/>
      <c r="K14" s="466"/>
      <c r="L14" s="480">
        <v>48</v>
      </c>
      <c r="M14" s="470">
        <f>L14-M16</f>
        <v>46.92</v>
      </c>
      <c r="N14" s="470">
        <f>M14-N16</f>
        <v>45.8643</v>
      </c>
      <c r="O14" s="470">
        <f>N14-O16</f>
        <v>44.832353249999997</v>
      </c>
      <c r="P14" s="470">
        <f>O14-P16</f>
        <v>43.823625301874998</v>
      </c>
      <c r="Q14" s="468">
        <v>49.1</v>
      </c>
      <c r="R14" s="470">
        <f>Q14-R16</f>
        <v>47.995249999999999</v>
      </c>
      <c r="S14" s="470">
        <f>R14-S16</f>
        <v>46.915356875000001</v>
      </c>
      <c r="T14" s="470">
        <f>S14-T16</f>
        <v>45.859761345312499</v>
      </c>
      <c r="U14" s="470">
        <f>T14-U16</f>
        <v>44.827916715042967</v>
      </c>
      <c r="V14" s="468">
        <v>49.3</v>
      </c>
      <c r="W14" s="470">
        <f>V14-W16</f>
        <v>48.190749999999994</v>
      </c>
      <c r="X14" s="470">
        <f>W14-X16</f>
        <v>47.106458124999996</v>
      </c>
      <c r="Y14" s="470">
        <f>X14-Y16</f>
        <v>46.046562817187493</v>
      </c>
      <c r="Z14" s="470">
        <f>Y14-Z16</f>
        <v>45.010515153800775</v>
      </c>
      <c r="AA14" s="468">
        <v>49.475000000000001</v>
      </c>
      <c r="AB14" s="469">
        <f>AA14-AB16</f>
        <v>48.238125000000004</v>
      </c>
      <c r="AC14" s="469">
        <f>AB14-AC16</f>
        <v>47.032171875000003</v>
      </c>
      <c r="AD14" s="469">
        <f>AC14-AD16</f>
        <v>45.856367578125003</v>
      </c>
      <c r="AE14" s="469">
        <f>AD14-AE16</f>
        <v>44.709958388671879</v>
      </c>
      <c r="AF14" s="469">
        <f>AE14</f>
        <v>44.709958388671879</v>
      </c>
      <c r="AG14" s="469">
        <f>AF14-AG16</f>
        <v>43.59220942895508</v>
      </c>
      <c r="AH14" s="469">
        <f>AG14-AH16</f>
        <v>42.5024041932312</v>
      </c>
      <c r="AI14" s="469">
        <f>AH14-AI16</f>
        <v>41.43984408840042</v>
      </c>
      <c r="AJ14" s="469">
        <f>AI14-AJ16</f>
        <v>40.403847986190407</v>
      </c>
      <c r="AK14" s="469">
        <f>AJ14</f>
        <v>40.403847986190407</v>
      </c>
      <c r="AL14" s="469">
        <f>AK14-AL16</f>
        <v>39.393751786535645</v>
      </c>
      <c r="AM14" s="469">
        <f>AL14-AM16</f>
        <v>38.408907991872255</v>
      </c>
      <c r="AN14" s="469">
        <f>AM14-AN16</f>
        <v>37.448685292075446</v>
      </c>
      <c r="AO14" s="469">
        <f>AN14-AO16</f>
        <v>36.512468159773562</v>
      </c>
      <c r="AP14" s="469">
        <f>AO14</f>
        <v>36.512468159773562</v>
      </c>
      <c r="AQ14" s="469">
        <f>AP14-AQ16</f>
        <v>35.599656455779225</v>
      </c>
      <c r="AR14" s="469">
        <f>AQ14-AR16</f>
        <v>34.709665044384742</v>
      </c>
      <c r="AS14" s="469">
        <f>AR14-AS16</f>
        <v>33.841923418275123</v>
      </c>
      <c r="AT14" s="469">
        <f>AS14-AT16</f>
        <v>32.995875332818244</v>
      </c>
      <c r="AU14" s="469">
        <f>AT14</f>
        <v>32.995875332818244</v>
      </c>
      <c r="AV14" s="469">
        <f>AU14-AV16</f>
        <v>32.170978449497788</v>
      </c>
      <c r="AW14" s="469">
        <f>AV14-AW16</f>
        <v>31.366703988260344</v>
      </c>
      <c r="AX14" s="469">
        <f>AW14-AX16</f>
        <v>30.582536388553834</v>
      </c>
      <c r="AY14" s="469">
        <f>AX14-AY16</f>
        <v>29.81797297883999</v>
      </c>
      <c r="AZ14" s="469">
        <f>AY14</f>
        <v>29.81797297883999</v>
      </c>
    </row>
    <row r="15" spans="1:102">
      <c r="B15" s="474" t="s">
        <v>260</v>
      </c>
      <c r="C15" s="466"/>
      <c r="D15" s="466"/>
      <c r="E15" s="466"/>
      <c r="F15" s="466"/>
      <c r="H15" s="466"/>
      <c r="I15" s="466"/>
      <c r="J15" s="466"/>
      <c r="K15" s="466"/>
      <c r="L15" s="484">
        <v>0.09</v>
      </c>
      <c r="M15" s="485">
        <f>L15/4</f>
        <v>2.2499999999999999E-2</v>
      </c>
      <c r="N15" s="486">
        <f>M15</f>
        <v>2.2499999999999999E-2</v>
      </c>
      <c r="O15" s="486">
        <f>N15</f>
        <v>2.2499999999999999E-2</v>
      </c>
      <c r="P15" s="486">
        <f>O15</f>
        <v>2.2499999999999999E-2</v>
      </c>
      <c r="Q15" s="487">
        <f>L15</f>
        <v>0.09</v>
      </c>
      <c r="R15" s="485">
        <f>Q15/4</f>
        <v>2.2499999999999999E-2</v>
      </c>
      <c r="S15" s="486">
        <f>R15</f>
        <v>2.2499999999999999E-2</v>
      </c>
      <c r="T15" s="486">
        <f>S15</f>
        <v>2.2499999999999999E-2</v>
      </c>
      <c r="U15" s="486">
        <f>T15</f>
        <v>2.2499999999999999E-2</v>
      </c>
      <c r="V15" s="487">
        <f>Q15</f>
        <v>0.09</v>
      </c>
      <c r="W15" s="485">
        <f>V15/4</f>
        <v>2.2499999999999999E-2</v>
      </c>
      <c r="X15" s="486">
        <f>W15</f>
        <v>2.2499999999999999E-2</v>
      </c>
      <c r="Y15" s="486">
        <f>X15</f>
        <v>2.2499999999999999E-2</v>
      </c>
      <c r="Z15" s="486">
        <f>Y15</f>
        <v>2.2499999999999999E-2</v>
      </c>
      <c r="AA15" s="484">
        <v>0.1</v>
      </c>
      <c r="AB15" s="488">
        <f>AA15/4</f>
        <v>2.5000000000000001E-2</v>
      </c>
      <c r="AC15" s="489">
        <f>AB15</f>
        <v>2.5000000000000001E-2</v>
      </c>
      <c r="AD15" s="489">
        <f>AC15</f>
        <v>2.5000000000000001E-2</v>
      </c>
      <c r="AE15" s="489">
        <f>AD15</f>
        <v>2.5000000000000001E-2</v>
      </c>
      <c r="AF15" s="487">
        <f>AA15</f>
        <v>0.1</v>
      </c>
      <c r="AG15" s="488">
        <f>AF15/4</f>
        <v>2.5000000000000001E-2</v>
      </c>
      <c r="AH15" s="489">
        <f>AG15</f>
        <v>2.5000000000000001E-2</v>
      </c>
      <c r="AI15" s="489">
        <f>AH15</f>
        <v>2.5000000000000001E-2</v>
      </c>
      <c r="AJ15" s="489">
        <f>AI15</f>
        <v>2.5000000000000001E-2</v>
      </c>
      <c r="AK15" s="487">
        <f>AF15</f>
        <v>0.1</v>
      </c>
      <c r="AL15" s="488">
        <f>AK15/4</f>
        <v>2.5000000000000001E-2</v>
      </c>
      <c r="AM15" s="489">
        <f>AL15</f>
        <v>2.5000000000000001E-2</v>
      </c>
      <c r="AN15" s="489">
        <f>AM15</f>
        <v>2.5000000000000001E-2</v>
      </c>
      <c r="AO15" s="489">
        <f>AN15</f>
        <v>2.5000000000000001E-2</v>
      </c>
      <c r="AP15" s="487">
        <f>AK15</f>
        <v>0.1</v>
      </c>
      <c r="AQ15" s="488">
        <f>AP15/4</f>
        <v>2.5000000000000001E-2</v>
      </c>
      <c r="AR15" s="489">
        <f>AQ15</f>
        <v>2.5000000000000001E-2</v>
      </c>
      <c r="AS15" s="489">
        <f>AR15</f>
        <v>2.5000000000000001E-2</v>
      </c>
      <c r="AT15" s="489">
        <f>AS15</f>
        <v>2.5000000000000001E-2</v>
      </c>
      <c r="AU15" s="487">
        <f>AP15</f>
        <v>0.1</v>
      </c>
      <c r="AV15" s="488">
        <f>AU15/4</f>
        <v>2.5000000000000001E-2</v>
      </c>
      <c r="AW15" s="489">
        <f>AV15</f>
        <v>2.5000000000000001E-2</v>
      </c>
      <c r="AX15" s="489">
        <f>AW15</f>
        <v>2.5000000000000001E-2</v>
      </c>
      <c r="AY15" s="489">
        <f>AX15</f>
        <v>2.5000000000000001E-2</v>
      </c>
      <c r="AZ15" s="487">
        <f>AU15</f>
        <v>0.1</v>
      </c>
    </row>
    <row r="16" spans="1:102">
      <c r="B16" s="465" t="s">
        <v>88</v>
      </c>
      <c r="C16" s="466"/>
      <c r="D16" s="466"/>
      <c r="E16" s="466"/>
      <c r="F16" s="466"/>
      <c r="H16" s="466"/>
      <c r="I16" s="466"/>
      <c r="J16" s="466"/>
      <c r="K16" s="466"/>
      <c r="L16" s="480">
        <v>3.9</v>
      </c>
      <c r="M16" s="470">
        <f>M15*L14</f>
        <v>1.08</v>
      </c>
      <c r="N16" s="470">
        <f>N15*M14</f>
        <v>1.0557000000000001</v>
      </c>
      <c r="O16" s="470">
        <f>O15*N14</f>
        <v>1.0319467499999999</v>
      </c>
      <c r="P16" s="470">
        <f>P15*O14</f>
        <v>1.008727948125</v>
      </c>
      <c r="Q16" s="829">
        <f>SUM(M16:P16)</f>
        <v>4.1763746981249996</v>
      </c>
      <c r="R16" s="470">
        <f>R15*Q14</f>
        <v>1.1047499999999999</v>
      </c>
      <c r="S16" s="470">
        <f>S15*R14</f>
        <v>1.0798931249999999</v>
      </c>
      <c r="T16" s="470">
        <f>T15*S14</f>
        <v>1.0555955296874999</v>
      </c>
      <c r="U16" s="470">
        <f>U15*T14</f>
        <v>1.0318446302695312</v>
      </c>
      <c r="V16" s="469">
        <f>SUM(R16:U16)</f>
        <v>4.2720832849570307</v>
      </c>
      <c r="W16" s="470">
        <f>W15*V14</f>
        <v>1.1092499999999998</v>
      </c>
      <c r="X16" s="470">
        <f>X15*W14</f>
        <v>1.0842918749999999</v>
      </c>
      <c r="Y16" s="470">
        <f>Y15*X14</f>
        <v>1.0598953078125</v>
      </c>
      <c r="Z16" s="470">
        <f>Z15*Y14</f>
        <v>1.0360476633867186</v>
      </c>
      <c r="AA16" s="469">
        <f>SUM(W16:Z16)</f>
        <v>4.2894848461992181</v>
      </c>
      <c r="AB16" s="469">
        <f>AB15*AA14</f>
        <v>1.2368750000000002</v>
      </c>
      <c r="AC16" s="469">
        <f>AC15*AB14</f>
        <v>1.2059531250000002</v>
      </c>
      <c r="AD16" s="469">
        <f>AD15*AC14</f>
        <v>1.1758042968750002</v>
      </c>
      <c r="AE16" s="469">
        <f>AE15*AD14</f>
        <v>1.1464091894531252</v>
      </c>
      <c r="AF16" s="469">
        <f>SUM(AB16:AE16)</f>
        <v>4.765041611328126</v>
      </c>
      <c r="AG16" s="469">
        <f>AG15*AF14</f>
        <v>1.1177489597167971</v>
      </c>
      <c r="AH16" s="469">
        <f>AH15*AG14</f>
        <v>1.089805235723877</v>
      </c>
      <c r="AI16" s="469">
        <f>AI15*AH14</f>
        <v>1.06256010483078</v>
      </c>
      <c r="AJ16" s="469">
        <f>AJ15*AI14</f>
        <v>1.0359961022100106</v>
      </c>
      <c r="AK16" s="469">
        <f>SUM(AG16:AJ16)</f>
        <v>4.3061104024814654</v>
      </c>
      <c r="AL16" s="469">
        <f>AL15*AK14</f>
        <v>1.0100961996547602</v>
      </c>
      <c r="AM16" s="469">
        <f>AM15*AL14</f>
        <v>0.98484379466339123</v>
      </c>
      <c r="AN16" s="469">
        <f>AN15*AM14</f>
        <v>0.96022269979680641</v>
      </c>
      <c r="AO16" s="469">
        <f>AO15*AN14</f>
        <v>0.93621713230188619</v>
      </c>
      <c r="AP16" s="469">
        <f>SUM(AL16:AO16)</f>
        <v>3.891379826416844</v>
      </c>
      <c r="AQ16" s="469">
        <f>AQ15*AP14</f>
        <v>0.91281170399433909</v>
      </c>
      <c r="AR16" s="469">
        <f>AR15*AQ14</f>
        <v>0.88999141139448068</v>
      </c>
      <c r="AS16" s="469">
        <f>AS15*AR14</f>
        <v>0.86774162610961858</v>
      </c>
      <c r="AT16" s="469">
        <f>AT15*AS14</f>
        <v>0.84604808545687815</v>
      </c>
      <c r="AU16" s="469">
        <f>SUM(AQ16:AT16)</f>
        <v>3.5165928269553164</v>
      </c>
      <c r="AV16" s="469">
        <f>AV15*AU14</f>
        <v>0.82489688332045619</v>
      </c>
      <c r="AW16" s="469">
        <f>AW15*AV14</f>
        <v>0.80427446123744473</v>
      </c>
      <c r="AX16" s="469">
        <f>AX15*AW14</f>
        <v>0.78416759970650862</v>
      </c>
      <c r="AY16" s="469">
        <f>AY15*AX14</f>
        <v>0.76456340971384584</v>
      </c>
      <c r="AZ16" s="469">
        <f>SUM(AV16:AY16)</f>
        <v>3.1779023539782552</v>
      </c>
    </row>
    <row r="17" spans="2:56">
      <c r="C17" s="466"/>
      <c r="D17" s="466"/>
      <c r="E17" s="466"/>
      <c r="F17" s="466"/>
      <c r="H17" s="466"/>
      <c r="I17" s="466"/>
      <c r="J17" s="466"/>
      <c r="K17" s="466"/>
      <c r="L17" s="483"/>
      <c r="M17" s="466"/>
      <c r="N17" s="466"/>
      <c r="O17" s="466"/>
      <c r="P17" s="466"/>
      <c r="R17" s="466"/>
      <c r="S17" s="466"/>
      <c r="T17" s="466"/>
      <c r="U17" s="466"/>
      <c r="W17" s="466"/>
      <c r="X17" s="466"/>
      <c r="Y17" s="466"/>
      <c r="Z17" s="466"/>
    </row>
    <row r="18" spans="2:56">
      <c r="B18" s="465" t="s">
        <v>812</v>
      </c>
      <c r="C18" s="466"/>
      <c r="D18" s="466"/>
      <c r="E18" s="466"/>
      <c r="F18" s="466"/>
      <c r="H18" s="466"/>
      <c r="I18" s="466"/>
      <c r="J18" s="466"/>
      <c r="K18" s="466"/>
      <c r="L18" s="483"/>
      <c r="M18" s="466"/>
      <c r="N18" s="466"/>
      <c r="O18" s="466"/>
      <c r="P18" s="466"/>
      <c r="R18" s="466"/>
      <c r="S18" s="466"/>
      <c r="T18" s="466"/>
      <c r="U18" s="466"/>
      <c r="W18" s="466"/>
      <c r="X18" s="466"/>
      <c r="Y18" s="466"/>
      <c r="Z18" s="466"/>
      <c r="AA18" s="468">
        <v>206.376</v>
      </c>
      <c r="AB18" s="569">
        <f>AA18-AB20</f>
        <v>202.76442</v>
      </c>
      <c r="AC18" s="569">
        <f>AB18-AC20</f>
        <v>199.21604264999999</v>
      </c>
      <c r="AD18" s="569">
        <f t="shared" ref="AD18:AE18" si="3">AC18-AD20</f>
        <v>195.72976190362499</v>
      </c>
      <c r="AE18" s="569">
        <f t="shared" si="3"/>
        <v>192.30449107031154</v>
      </c>
      <c r="AF18" s="569">
        <f>AE18</f>
        <v>192.30449107031154</v>
      </c>
      <c r="AG18" s="569">
        <f>AF18-AG20</f>
        <v>188.93916247658109</v>
      </c>
      <c r="AH18" s="569">
        <f t="shared" ref="AH18:AJ18" si="4">AG18-AH20</f>
        <v>185.63272713324091</v>
      </c>
      <c r="AI18" s="569">
        <f t="shared" si="4"/>
        <v>182.38415440840919</v>
      </c>
      <c r="AJ18" s="569">
        <f t="shared" si="4"/>
        <v>179.19243170626203</v>
      </c>
      <c r="AK18" s="569">
        <f>AJ18</f>
        <v>179.19243170626203</v>
      </c>
      <c r="AL18" s="569">
        <f>AK18-AL20</f>
        <v>176.05656415140245</v>
      </c>
      <c r="AM18" s="569">
        <f t="shared" ref="AM18:AO18" si="5">AL18-AM20</f>
        <v>172.9755742787529</v>
      </c>
      <c r="AN18" s="569">
        <f t="shared" si="5"/>
        <v>169.94850172887473</v>
      </c>
      <c r="AO18" s="569">
        <f t="shared" si="5"/>
        <v>166.97440294861943</v>
      </c>
      <c r="AP18" s="569">
        <f>AO18</f>
        <v>166.97440294861943</v>
      </c>
      <c r="AQ18" s="569">
        <f>AP18-AQ20</f>
        <v>164.05235089701858</v>
      </c>
      <c r="AR18" s="569">
        <f t="shared" ref="AR18:AT18" si="6">AQ18-AR20</f>
        <v>161.18143475632075</v>
      </c>
      <c r="AS18" s="569">
        <f t="shared" si="6"/>
        <v>158.36075964808515</v>
      </c>
      <c r="AT18" s="569">
        <f t="shared" si="6"/>
        <v>155.58944635424365</v>
      </c>
      <c r="AU18" s="569">
        <f>AT18</f>
        <v>155.58944635424365</v>
      </c>
      <c r="AV18" s="569">
        <f>AU18-AV20</f>
        <v>152.86663104304438</v>
      </c>
      <c r="AW18" s="569">
        <f t="shared" ref="AW18:AY18" si="7">AV18-AW20</f>
        <v>150.19146499979109</v>
      </c>
      <c r="AX18" s="569">
        <f t="shared" si="7"/>
        <v>147.56311436229475</v>
      </c>
      <c r="AY18" s="569">
        <f t="shared" si="7"/>
        <v>144.98075986095461</v>
      </c>
      <c r="AZ18" s="569">
        <f>AY18</f>
        <v>144.98075986095461</v>
      </c>
    </row>
    <row r="19" spans="2:56">
      <c r="B19" s="474" t="s">
        <v>260</v>
      </c>
      <c r="C19" s="466"/>
      <c r="D19" s="466"/>
      <c r="E19" s="466"/>
      <c r="F19" s="466"/>
      <c r="H19" s="466"/>
      <c r="I19" s="466"/>
      <c r="J19" s="466"/>
      <c r="K19" s="466"/>
      <c r="L19" s="483"/>
      <c r="M19" s="466"/>
      <c r="N19" s="466"/>
      <c r="O19" s="466"/>
      <c r="P19" s="466"/>
      <c r="R19" s="466"/>
      <c r="S19" s="466"/>
      <c r="T19" s="466"/>
      <c r="U19" s="466"/>
      <c r="W19" s="466"/>
      <c r="X19" s="466"/>
      <c r="Y19" s="466"/>
      <c r="Z19" s="466"/>
      <c r="AA19" s="872">
        <v>7.0000000000000007E-2</v>
      </c>
      <c r="AB19" s="874">
        <f>AA19/4</f>
        <v>1.7500000000000002E-2</v>
      </c>
      <c r="AC19" s="705">
        <f>AB19</f>
        <v>1.7500000000000002E-2</v>
      </c>
      <c r="AD19" s="705">
        <f t="shared" ref="AD19:AE19" si="8">AC19</f>
        <v>1.7500000000000002E-2</v>
      </c>
      <c r="AE19" s="705">
        <f t="shared" si="8"/>
        <v>1.7500000000000002E-2</v>
      </c>
      <c r="AF19" s="705">
        <f>AA19</f>
        <v>7.0000000000000007E-2</v>
      </c>
      <c r="AG19" s="873">
        <f>AF19/4</f>
        <v>1.7500000000000002E-2</v>
      </c>
      <c r="AH19" s="705">
        <f>AG19</f>
        <v>1.7500000000000002E-2</v>
      </c>
      <c r="AI19" s="705">
        <f>AH19</f>
        <v>1.7500000000000002E-2</v>
      </c>
      <c r="AJ19" s="705">
        <f>AI19</f>
        <v>1.7500000000000002E-2</v>
      </c>
      <c r="AK19" s="705">
        <f>AF19</f>
        <v>7.0000000000000007E-2</v>
      </c>
      <c r="AL19" s="874">
        <f>AK19/4</f>
        <v>1.7500000000000002E-2</v>
      </c>
      <c r="AM19" s="661">
        <f>AL19</f>
        <v>1.7500000000000002E-2</v>
      </c>
      <c r="AN19" s="661">
        <f t="shared" ref="AN19:AO19" si="9">AM19</f>
        <v>1.7500000000000002E-2</v>
      </c>
      <c r="AO19" s="661">
        <f t="shared" si="9"/>
        <v>1.7500000000000002E-2</v>
      </c>
      <c r="AP19" s="705">
        <f>AK19</f>
        <v>7.0000000000000007E-2</v>
      </c>
      <c r="AQ19" s="874">
        <f>AP19/4</f>
        <v>1.7500000000000002E-2</v>
      </c>
      <c r="AR19" s="661">
        <f>AQ19</f>
        <v>1.7500000000000002E-2</v>
      </c>
      <c r="AS19" s="661">
        <f t="shared" ref="AS19:AT19" si="10">AR19</f>
        <v>1.7500000000000002E-2</v>
      </c>
      <c r="AT19" s="661">
        <f t="shared" si="10"/>
        <v>1.7500000000000002E-2</v>
      </c>
      <c r="AU19" s="705">
        <f>AP19</f>
        <v>7.0000000000000007E-2</v>
      </c>
      <c r="AV19" s="874">
        <f>AU19/4</f>
        <v>1.7500000000000002E-2</v>
      </c>
      <c r="AW19" s="661">
        <f>AV19</f>
        <v>1.7500000000000002E-2</v>
      </c>
      <c r="AX19" s="661">
        <f t="shared" ref="AX19:AY19" si="11">AW19</f>
        <v>1.7500000000000002E-2</v>
      </c>
      <c r="AY19" s="661">
        <f t="shared" si="11"/>
        <v>1.7500000000000002E-2</v>
      </c>
      <c r="AZ19" s="705">
        <f>AU19</f>
        <v>7.0000000000000007E-2</v>
      </c>
    </row>
    <row r="20" spans="2:56">
      <c r="B20" s="465" t="s">
        <v>88</v>
      </c>
      <c r="C20" s="466"/>
      <c r="D20" s="466"/>
      <c r="E20" s="466"/>
      <c r="F20" s="466"/>
      <c r="H20" s="466"/>
      <c r="I20" s="466"/>
      <c r="J20" s="466"/>
      <c r="K20" s="466"/>
      <c r="L20" s="483"/>
      <c r="M20" s="466"/>
      <c r="N20" s="466"/>
      <c r="O20" s="466"/>
      <c r="P20" s="466"/>
      <c r="R20" s="466"/>
      <c r="S20" s="466"/>
      <c r="T20" s="466"/>
      <c r="U20" s="466"/>
      <c r="W20" s="466"/>
      <c r="X20" s="466"/>
      <c r="Y20" s="466"/>
      <c r="Z20" s="466"/>
      <c r="AA20" s="569">
        <f>AA19*AA18</f>
        <v>14.446320000000002</v>
      </c>
      <c r="AB20" s="569">
        <f>AB19*AA18</f>
        <v>3.6115800000000005</v>
      </c>
      <c r="AC20" s="569">
        <f t="shared" ref="AC20:AE20" si="12">AC19*AB18</f>
        <v>3.5483773500000004</v>
      </c>
      <c r="AD20" s="569">
        <f t="shared" si="12"/>
        <v>3.4862807463750003</v>
      </c>
      <c r="AE20" s="569">
        <f t="shared" si="12"/>
        <v>3.4252708333134376</v>
      </c>
      <c r="AF20" s="569">
        <f>SUM(AB20:AE20)</f>
        <v>14.071508929688438</v>
      </c>
      <c r="AG20" s="569">
        <f>AG19*AF18</f>
        <v>3.3653285937304522</v>
      </c>
      <c r="AH20" s="569">
        <f t="shared" ref="AH20:AJ20" si="13">AH19*AG18</f>
        <v>3.3064353433401692</v>
      </c>
      <c r="AI20" s="569">
        <f t="shared" si="13"/>
        <v>3.2485727248317162</v>
      </c>
      <c r="AJ20" s="569">
        <f t="shared" si="13"/>
        <v>3.1917227021471613</v>
      </c>
      <c r="AK20" s="569">
        <f>SUM(AG20:AJ20)</f>
        <v>13.1120593640495</v>
      </c>
      <c r="AL20" s="569">
        <f>AL19*AK18</f>
        <v>3.1358675548595856</v>
      </c>
      <c r="AM20" s="569">
        <f t="shared" ref="AM20:AO20" si="14">AM19*AL18</f>
        <v>3.080989872649543</v>
      </c>
      <c r="AN20" s="569">
        <f t="shared" si="14"/>
        <v>3.0270725498781759</v>
      </c>
      <c r="AO20" s="569">
        <f t="shared" si="14"/>
        <v>2.974098780255308</v>
      </c>
      <c r="AP20" s="569">
        <f>SUM(AL20:AO20)</f>
        <v>12.218028757642614</v>
      </c>
      <c r="AQ20" s="569">
        <f>AQ19*AP18</f>
        <v>2.9220520516008404</v>
      </c>
      <c r="AR20" s="569">
        <f t="shared" ref="AR20:AT20" si="15">AR19*AQ18</f>
        <v>2.8709161406978256</v>
      </c>
      <c r="AS20" s="569">
        <f t="shared" si="15"/>
        <v>2.8206751082356134</v>
      </c>
      <c r="AT20" s="569">
        <f t="shared" si="15"/>
        <v>2.7713132938414904</v>
      </c>
      <c r="AU20" s="569">
        <f>SUM(AQ20:AT20)</f>
        <v>11.384956594375771</v>
      </c>
      <c r="AV20" s="569">
        <f>AV19*AU18</f>
        <v>2.7228153111992639</v>
      </c>
      <c r="AW20" s="569">
        <f t="shared" ref="AW20:AY20" si="16">AW19*AV18</f>
        <v>2.6751660432532769</v>
      </c>
      <c r="AX20" s="569">
        <f t="shared" si="16"/>
        <v>2.6283506374963443</v>
      </c>
      <c r="AY20" s="569">
        <f t="shared" si="16"/>
        <v>2.5823545013401583</v>
      </c>
      <c r="AZ20" s="569">
        <f>SUM(AV20:AY20)</f>
        <v>10.608686493289042</v>
      </c>
    </row>
    <row r="21" spans="2:56">
      <c r="C21" s="466"/>
      <c r="D21" s="466"/>
      <c r="E21" s="466"/>
      <c r="F21" s="466"/>
      <c r="H21" s="466"/>
      <c r="I21" s="466"/>
      <c r="J21" s="466"/>
      <c r="K21" s="466"/>
      <c r="L21" s="483"/>
      <c r="M21" s="466"/>
      <c r="N21" s="466"/>
      <c r="O21" s="466"/>
      <c r="P21" s="466"/>
      <c r="R21" s="466"/>
      <c r="S21" s="466"/>
      <c r="T21" s="466"/>
      <c r="U21" s="466"/>
      <c r="W21" s="466"/>
      <c r="X21" s="466"/>
      <c r="Y21" s="466"/>
      <c r="Z21" s="466"/>
    </row>
    <row r="22" spans="2:56">
      <c r="B22" s="465" t="s">
        <v>261</v>
      </c>
      <c r="C22" s="466"/>
      <c r="D22" s="466"/>
      <c r="E22" s="466"/>
      <c r="F22" s="466"/>
      <c r="G22" s="469">
        <f>G8</f>
        <v>1.4550000000000001</v>
      </c>
      <c r="H22" s="490"/>
      <c r="I22" s="490"/>
      <c r="J22" s="490"/>
      <c r="K22" s="490"/>
      <c r="L22" s="469">
        <f>L8</f>
        <v>7.5030000000000001</v>
      </c>
      <c r="M22" s="491">
        <f t="shared" ref="M22:AZ22" si="17">M8</f>
        <v>1.875</v>
      </c>
      <c r="N22" s="491">
        <f t="shared" si="17"/>
        <v>1.875</v>
      </c>
      <c r="O22" s="491">
        <f t="shared" si="17"/>
        <v>1.875</v>
      </c>
      <c r="P22" s="491">
        <f t="shared" si="17"/>
        <v>1.875</v>
      </c>
      <c r="Q22" s="482">
        <f>Q8</f>
        <v>7.23</v>
      </c>
      <c r="R22" s="491">
        <f t="shared" si="17"/>
        <v>1.875</v>
      </c>
      <c r="S22" s="491">
        <f>S8</f>
        <v>1.875</v>
      </c>
      <c r="T22" s="491">
        <f t="shared" si="17"/>
        <v>1.875</v>
      </c>
      <c r="U22" s="491">
        <f t="shared" si="17"/>
        <v>1.875</v>
      </c>
      <c r="V22" s="482">
        <f>V8</f>
        <v>5.0359999999999996</v>
      </c>
      <c r="W22" s="491">
        <f t="shared" si="17"/>
        <v>0.7940625</v>
      </c>
      <c r="X22" s="491">
        <f>X8</f>
        <v>0.7940625</v>
      </c>
      <c r="Y22" s="491">
        <f t="shared" si="17"/>
        <v>0.7940625</v>
      </c>
      <c r="Z22" s="491">
        <f t="shared" si="17"/>
        <v>0.7940625</v>
      </c>
      <c r="AA22" s="482">
        <f>AA8</f>
        <v>0.54400000000000004</v>
      </c>
      <c r="AB22" s="482">
        <f t="shared" si="17"/>
        <v>5.2284375000000001E-2</v>
      </c>
      <c r="AC22" s="482">
        <f t="shared" si="17"/>
        <v>5.2284375000000001E-2</v>
      </c>
      <c r="AD22" s="482">
        <f t="shared" si="17"/>
        <v>5.2284375000000001E-2</v>
      </c>
      <c r="AE22" s="482">
        <f t="shared" si="17"/>
        <v>0</v>
      </c>
      <c r="AF22" s="482">
        <f t="shared" si="17"/>
        <v>0.15685312500000001</v>
      </c>
      <c r="AG22" s="482">
        <f t="shared" si="17"/>
        <v>0</v>
      </c>
      <c r="AH22" s="482">
        <f t="shared" si="17"/>
        <v>0</v>
      </c>
      <c r="AI22" s="482">
        <f t="shared" si="17"/>
        <v>0</v>
      </c>
      <c r="AJ22" s="482">
        <f t="shared" si="17"/>
        <v>0</v>
      </c>
      <c r="AK22" s="482">
        <f t="shared" si="17"/>
        <v>0</v>
      </c>
      <c r="AL22" s="482">
        <f t="shared" si="17"/>
        <v>0</v>
      </c>
      <c r="AM22" s="482">
        <f t="shared" si="17"/>
        <v>0</v>
      </c>
      <c r="AN22" s="482">
        <f t="shared" si="17"/>
        <v>0</v>
      </c>
      <c r="AO22" s="482">
        <f t="shared" si="17"/>
        <v>0</v>
      </c>
      <c r="AP22" s="482">
        <f t="shared" si="17"/>
        <v>0</v>
      </c>
      <c r="AQ22" s="482">
        <f t="shared" si="17"/>
        <v>0</v>
      </c>
      <c r="AR22" s="482">
        <f t="shared" si="17"/>
        <v>0</v>
      </c>
      <c r="AS22" s="482">
        <f t="shared" si="17"/>
        <v>0</v>
      </c>
      <c r="AT22" s="482">
        <f t="shared" si="17"/>
        <v>0</v>
      </c>
      <c r="AU22" s="482">
        <f t="shared" si="17"/>
        <v>0</v>
      </c>
      <c r="AV22" s="482">
        <f t="shared" si="17"/>
        <v>0</v>
      </c>
      <c r="AW22" s="482">
        <f t="shared" si="17"/>
        <v>0</v>
      </c>
      <c r="AX22" s="482">
        <f t="shared" si="17"/>
        <v>0</v>
      </c>
      <c r="AY22" s="482">
        <f t="shared" si="17"/>
        <v>0</v>
      </c>
      <c r="AZ22" s="482">
        <f t="shared" si="17"/>
        <v>0</v>
      </c>
    </row>
    <row r="23" spans="2:56">
      <c r="B23" s="467" t="s">
        <v>269</v>
      </c>
      <c r="C23" s="466"/>
      <c r="D23" s="466"/>
      <c r="E23" s="466"/>
      <c r="F23" s="466"/>
      <c r="G23" s="468">
        <v>9.1</v>
      </c>
      <c r="H23" s="490"/>
      <c r="I23" s="490"/>
      <c r="J23" s="490"/>
      <c r="K23" s="490"/>
      <c r="L23" s="468">
        <v>15.6</v>
      </c>
      <c r="M23" s="470">
        <f>M12+M16</f>
        <v>4.1737500000000001</v>
      </c>
      <c r="N23" s="470">
        <f>N12+N16</f>
        <v>4.064371875</v>
      </c>
      <c r="O23" s="470">
        <f>O12+O16</f>
        <v>3.9578801484374999</v>
      </c>
      <c r="P23" s="470">
        <f>P12+P16</f>
        <v>3.8541981781054684</v>
      </c>
      <c r="Q23" s="468">
        <v>16.2</v>
      </c>
      <c r="R23" s="470">
        <f>R12+R16</f>
        <v>4.16275</v>
      </c>
      <c r="S23" s="470">
        <f>S12+S16</f>
        <v>4.0537981250000001</v>
      </c>
      <c r="T23" s="470">
        <f>T12+T16</f>
        <v>3.9477181421874996</v>
      </c>
      <c r="U23" s="470">
        <f>U12+U16</f>
        <v>3.8444338709257808</v>
      </c>
      <c r="V23" s="468">
        <v>14.5</v>
      </c>
      <c r="W23" s="470">
        <f>W12+W16</f>
        <v>4.1397499999999994</v>
      </c>
      <c r="X23" s="470">
        <f>X12+X16</f>
        <v>4.0314531250000005</v>
      </c>
      <c r="Y23" s="470">
        <f>Y12+Y16</f>
        <v>3.9260096234374999</v>
      </c>
      <c r="Z23" s="470">
        <f>Z12+Z16</f>
        <v>3.8233438353320315</v>
      </c>
      <c r="AA23" s="468">
        <v>9.6999999999999993</v>
      </c>
      <c r="AB23" s="469">
        <f>AB12+AB16</f>
        <v>4.2304425000000005</v>
      </c>
      <c r="AC23" s="469">
        <f>AC12+AC16</f>
        <v>4.1171975187500003</v>
      </c>
      <c r="AD23" s="469">
        <f>AD12+AD16</f>
        <v>4.0069894697968751</v>
      </c>
      <c r="AE23" s="469">
        <f>AE12+AE16</f>
        <v>3.8997367701196488</v>
      </c>
      <c r="AF23" s="469">
        <f>AF12+AF16+AF20</f>
        <v>30.325875188354964</v>
      </c>
      <c r="AG23" s="469">
        <f>AG12+AG16</f>
        <v>3.7953600319149912</v>
      </c>
      <c r="AH23" s="469">
        <f>AH12+AH16</f>
        <v>3.6937820034366209</v>
      </c>
      <c r="AI23" s="469">
        <f>AI12+AI16</f>
        <v>3.5949275114314236</v>
      </c>
      <c r="AJ23" s="469">
        <f>AJ12+AJ16</f>
        <v>3.4987234051291365</v>
      </c>
      <c r="AK23" s="469">
        <f t="shared" ref="AK23:AZ23" si="18">AK12+AK16+AK20</f>
        <v>27.694852315961676</v>
      </c>
      <c r="AL23" s="469">
        <f t="shared" si="18"/>
        <v>6.540966056603196</v>
      </c>
      <c r="AM23" s="469">
        <f t="shared" si="18"/>
        <v>6.3949734060943406</v>
      </c>
      <c r="AN23" s="469">
        <f t="shared" si="18"/>
        <v>6.2523836456399007</v>
      </c>
      <c r="AO23" s="469">
        <f t="shared" si="18"/>
        <v>6.1131143776330772</v>
      </c>
      <c r="AP23" s="469">
        <f t="shared" si="18"/>
        <v>25.301437485970517</v>
      </c>
      <c r="AQ23" s="469">
        <f t="shared" si="18"/>
        <v>5.9770852628814755</v>
      </c>
      <c r="AR23" s="469">
        <f t="shared" si="18"/>
        <v>5.8442179679282287</v>
      </c>
      <c r="AS23" s="469">
        <f t="shared" si="18"/>
        <v>5.7144361137456663</v>
      </c>
      <c r="AT23" s="469">
        <f t="shared" si="18"/>
        <v>5.5876652257652912</v>
      </c>
      <c r="AU23" s="469">
        <f t="shared" si="18"/>
        <v>23.123404570320663</v>
      </c>
      <c r="AV23" s="469">
        <f t="shared" si="18"/>
        <v>5.4638326852088026</v>
      </c>
      <c r="AW23" s="469">
        <f t="shared" si="18"/>
        <v>5.3428676816858545</v>
      </c>
      <c r="AX23" s="469">
        <f t="shared" si="18"/>
        <v>5.2247011670251196</v>
      </c>
      <c r="AY23" s="469">
        <f t="shared" si="18"/>
        <v>5.1092658103061579</v>
      </c>
      <c r="AZ23" s="469">
        <f t="shared" si="18"/>
        <v>21.140667344225932</v>
      </c>
    </row>
    <row r="24" spans="2:56">
      <c r="B24" s="465" t="s">
        <v>262</v>
      </c>
      <c r="C24" s="466"/>
      <c r="D24" s="466"/>
      <c r="E24" s="466"/>
      <c r="F24" s="466"/>
      <c r="G24" s="468">
        <v>3.944</v>
      </c>
      <c r="H24" s="490"/>
      <c r="I24" s="490"/>
      <c r="J24" s="490"/>
      <c r="K24" s="490"/>
      <c r="L24" s="468">
        <v>21.623000000000001</v>
      </c>
      <c r="M24" s="470">
        <f>M5-L5</f>
        <v>5.7450000000000045</v>
      </c>
      <c r="N24" s="470">
        <f>N5-M5</f>
        <v>5.7450000000000045</v>
      </c>
      <c r="O24" s="470">
        <f>O5-N5</f>
        <v>5.7450000000000045</v>
      </c>
      <c r="P24" s="470">
        <f>P5-O5</f>
        <v>5.7450000000000045</v>
      </c>
      <c r="Q24" s="468">
        <v>22.98</v>
      </c>
      <c r="R24" s="470">
        <f>R5-Q5</f>
        <v>5.7450000000000045</v>
      </c>
      <c r="S24" s="470">
        <f>S5-R5</f>
        <v>5.7450000000000045</v>
      </c>
      <c r="T24" s="470">
        <f>T5-S5</f>
        <v>5.7449999999999974</v>
      </c>
      <c r="U24" s="470">
        <f>U5-T5</f>
        <v>5.7449999999999974</v>
      </c>
      <c r="V24" s="468">
        <v>17.821000000000002</v>
      </c>
      <c r="W24" s="470">
        <f>W5-V5</f>
        <v>4.4552499999999995</v>
      </c>
      <c r="X24" s="470">
        <f>X5-W5</f>
        <v>4.4552499999999995</v>
      </c>
      <c r="Y24" s="470">
        <f>Y5-X5</f>
        <v>4.4552499999999995</v>
      </c>
      <c r="Z24" s="470">
        <f>Z5-Y5</f>
        <v>4.4552500000000004</v>
      </c>
      <c r="AA24" s="468">
        <v>2.8180000000000001</v>
      </c>
      <c r="AB24" s="469">
        <f>AB5-AA5</f>
        <v>5.7450000000000001</v>
      </c>
      <c r="AC24" s="469">
        <f>AC5-AB5</f>
        <v>5.7450000000000001</v>
      </c>
      <c r="AD24" s="469">
        <f>AD5-AC5</f>
        <v>5.7449999999999992</v>
      </c>
      <c r="AE24" s="469">
        <f>AE5-AD5</f>
        <v>-16.882999999999999</v>
      </c>
      <c r="AF24" s="469">
        <f>AF5-AA5</f>
        <v>0.35199999999999998</v>
      </c>
      <c r="AG24" s="469">
        <f>AG5-AF5</f>
        <v>0</v>
      </c>
      <c r="AH24" s="469">
        <f>AH5-AG5</f>
        <v>0</v>
      </c>
      <c r="AI24" s="469">
        <f>AI5-AH5</f>
        <v>0</v>
      </c>
      <c r="AJ24" s="469">
        <f>AJ5-AI5</f>
        <v>0</v>
      </c>
      <c r="AK24" s="469">
        <f>AK5-AF5</f>
        <v>0</v>
      </c>
      <c r="AL24" s="469">
        <f>AL5-AK5</f>
        <v>0</v>
      </c>
      <c r="AM24" s="469">
        <f>AM5-AL5</f>
        <v>0</v>
      </c>
      <c r="AN24" s="469">
        <f>AN5-AM5</f>
        <v>0</v>
      </c>
      <c r="AO24" s="469">
        <f>AO5-AN5</f>
        <v>0</v>
      </c>
      <c r="AP24" s="469">
        <f>AP5-AK5</f>
        <v>0</v>
      </c>
      <c r="AQ24" s="469">
        <f>AQ5-AP5</f>
        <v>0</v>
      </c>
      <c r="AR24" s="469">
        <f>AR5-AQ5</f>
        <v>0</v>
      </c>
      <c r="AS24" s="469">
        <f>AS5-AR5</f>
        <v>0</v>
      </c>
      <c r="AT24" s="469">
        <f>AT5-AS5</f>
        <v>0</v>
      </c>
      <c r="AU24" s="469">
        <f>AU5-AP5</f>
        <v>0</v>
      </c>
      <c r="AV24" s="469">
        <f>AV5-AU5</f>
        <v>0</v>
      </c>
      <c r="AW24" s="469">
        <f>AW5-AV5</f>
        <v>0</v>
      </c>
      <c r="AX24" s="469">
        <f>AX5-AW5</f>
        <v>0</v>
      </c>
      <c r="AY24" s="469">
        <f>AY5-AX5</f>
        <v>0</v>
      </c>
      <c r="AZ24" s="469">
        <f>AZ5-AU5</f>
        <v>0</v>
      </c>
    </row>
    <row r="25" spans="2:56">
      <c r="B25" s="492" t="s">
        <v>263</v>
      </c>
      <c r="C25" s="493"/>
      <c r="D25" s="493"/>
      <c r="E25" s="493"/>
      <c r="F25" s="493"/>
      <c r="G25" s="494">
        <f>G24+G22+G23</f>
        <v>14.498999999999999</v>
      </c>
      <c r="H25" s="495"/>
      <c r="I25" s="495"/>
      <c r="J25" s="495"/>
      <c r="K25" s="495"/>
      <c r="L25" s="494">
        <f>L24+L22+L23</f>
        <v>44.725999999999999</v>
      </c>
      <c r="M25" s="496">
        <f t="shared" ref="M25:AZ25" si="19">M24+M22+M23</f>
        <v>11.793750000000005</v>
      </c>
      <c r="N25" s="496">
        <f t="shared" si="19"/>
        <v>11.684371875000004</v>
      </c>
      <c r="O25" s="496">
        <f t="shared" si="19"/>
        <v>11.577880148437504</v>
      </c>
      <c r="P25" s="496">
        <f t="shared" si="19"/>
        <v>11.474198178105473</v>
      </c>
      <c r="Q25" s="494">
        <f>Q24+Q22+Q23</f>
        <v>46.41</v>
      </c>
      <c r="R25" s="496">
        <f t="shared" si="19"/>
        <v>11.782750000000004</v>
      </c>
      <c r="S25" s="496">
        <f t="shared" si="19"/>
        <v>11.673798125000005</v>
      </c>
      <c r="T25" s="496">
        <f t="shared" si="19"/>
        <v>11.567718142187497</v>
      </c>
      <c r="U25" s="496">
        <f t="shared" si="19"/>
        <v>11.464433870925777</v>
      </c>
      <c r="V25" s="494">
        <f>V24+V22+V23</f>
        <v>37.356999999999999</v>
      </c>
      <c r="W25" s="496">
        <f t="shared" si="19"/>
        <v>9.3890624999999979</v>
      </c>
      <c r="X25" s="496">
        <f t="shared" si="19"/>
        <v>9.2807656250000008</v>
      </c>
      <c r="Y25" s="496">
        <f t="shared" si="19"/>
        <v>9.1753221234374998</v>
      </c>
      <c r="Z25" s="496">
        <f t="shared" si="19"/>
        <v>9.0726563353320309</v>
      </c>
      <c r="AA25" s="494">
        <f>AA24+AA22+AA23</f>
        <v>13.061999999999999</v>
      </c>
      <c r="AB25" s="494">
        <f t="shared" si="19"/>
        <v>10.027726875000001</v>
      </c>
      <c r="AC25" s="494">
        <f t="shared" si="19"/>
        <v>9.9144818937500006</v>
      </c>
      <c r="AD25" s="494">
        <f t="shared" si="19"/>
        <v>9.8042738447968745</v>
      </c>
      <c r="AE25" s="494">
        <f t="shared" si="19"/>
        <v>-12.98326322988035</v>
      </c>
      <c r="AF25" s="494">
        <f t="shared" si="19"/>
        <v>30.834728313354965</v>
      </c>
      <c r="AG25" s="494">
        <f t="shared" si="19"/>
        <v>3.7953600319149912</v>
      </c>
      <c r="AH25" s="494">
        <f t="shared" si="19"/>
        <v>3.6937820034366209</v>
      </c>
      <c r="AI25" s="494">
        <f t="shared" si="19"/>
        <v>3.5949275114314236</v>
      </c>
      <c r="AJ25" s="494">
        <f t="shared" si="19"/>
        <v>3.4987234051291365</v>
      </c>
      <c r="AK25" s="494">
        <f t="shared" si="19"/>
        <v>27.694852315961676</v>
      </c>
      <c r="AL25" s="494">
        <f t="shared" si="19"/>
        <v>6.540966056603196</v>
      </c>
      <c r="AM25" s="494">
        <f t="shared" si="19"/>
        <v>6.3949734060943406</v>
      </c>
      <c r="AN25" s="494">
        <f t="shared" si="19"/>
        <v>6.2523836456399007</v>
      </c>
      <c r="AO25" s="494">
        <f t="shared" si="19"/>
        <v>6.1131143776330772</v>
      </c>
      <c r="AP25" s="494">
        <f t="shared" si="19"/>
        <v>25.301437485970517</v>
      </c>
      <c r="AQ25" s="494">
        <f t="shared" si="19"/>
        <v>5.9770852628814755</v>
      </c>
      <c r="AR25" s="494">
        <f t="shared" si="19"/>
        <v>5.8442179679282287</v>
      </c>
      <c r="AS25" s="494">
        <f t="shared" si="19"/>
        <v>5.7144361137456663</v>
      </c>
      <c r="AT25" s="494">
        <f t="shared" si="19"/>
        <v>5.5876652257652912</v>
      </c>
      <c r="AU25" s="494">
        <f t="shared" si="19"/>
        <v>23.123404570320663</v>
      </c>
      <c r="AV25" s="494">
        <f t="shared" si="19"/>
        <v>5.4638326852088026</v>
      </c>
      <c r="AW25" s="494">
        <f t="shared" si="19"/>
        <v>5.3428676816858545</v>
      </c>
      <c r="AX25" s="494">
        <f t="shared" si="19"/>
        <v>5.2247011670251196</v>
      </c>
      <c r="AY25" s="494">
        <f t="shared" si="19"/>
        <v>5.1092658103061579</v>
      </c>
      <c r="AZ25" s="494">
        <f t="shared" si="19"/>
        <v>21.140667344225932</v>
      </c>
    </row>
    <row r="26" spans="2:56">
      <c r="C26" s="466"/>
      <c r="D26" s="466"/>
      <c r="E26" s="466"/>
      <c r="F26" s="466"/>
      <c r="H26" s="466"/>
      <c r="I26" s="466"/>
      <c r="J26" s="466"/>
      <c r="K26" s="466"/>
      <c r="M26" s="466"/>
      <c r="N26" s="466"/>
      <c r="O26" s="466"/>
      <c r="P26" s="466"/>
      <c r="R26" s="466"/>
      <c r="S26" s="466"/>
      <c r="T26" s="466"/>
      <c r="U26" s="466"/>
      <c r="W26" s="466"/>
      <c r="X26" s="466"/>
      <c r="Y26" s="466"/>
      <c r="Z26" s="466"/>
    </row>
    <row r="27" spans="2:56">
      <c r="B27" s="467" t="s">
        <v>270</v>
      </c>
      <c r="C27" s="466"/>
      <c r="D27" s="466"/>
      <c r="E27" s="466"/>
      <c r="F27" s="466"/>
      <c r="G27" s="483">
        <f>IS!Q30</f>
        <v>-17.338000000000001</v>
      </c>
      <c r="H27" s="466"/>
      <c r="I27" s="466"/>
      <c r="J27" s="466"/>
      <c r="K27" s="466"/>
      <c r="L27" s="483">
        <f>IS!V30</f>
        <v>-16.180000000000003</v>
      </c>
      <c r="M27" s="470">
        <f>IS!W30</f>
        <v>-3.9940000000000015</v>
      </c>
      <c r="N27" s="470">
        <f>IS!X30</f>
        <v>-4.03</v>
      </c>
      <c r="O27" s="470">
        <f>IS!Y30</f>
        <v>-4.1130000000000004</v>
      </c>
      <c r="P27" s="470">
        <f>IS!Z30</f>
        <v>-4.0199999999999996</v>
      </c>
      <c r="Q27" s="469">
        <f>IS!AA30</f>
        <v>-16.157</v>
      </c>
      <c r="R27" s="470">
        <f>IS!AB30</f>
        <v>-3.988999999999999</v>
      </c>
      <c r="S27" s="470">
        <f>IS!AC30</f>
        <v>-3.83</v>
      </c>
      <c r="T27" s="470">
        <f>IS!AD30</f>
        <v>-3.3569999999999993</v>
      </c>
      <c r="U27" s="490">
        <f>V27-R27-S27-T27</f>
        <v>-3.375</v>
      </c>
      <c r="V27" s="469">
        <f>IS!AF30</f>
        <v>-14.550999999999998</v>
      </c>
      <c r="W27" s="470">
        <f>AA27/4</f>
        <v>-2.85575</v>
      </c>
      <c r="X27" s="470">
        <f>AA27/4</f>
        <v>-2.85575</v>
      </c>
      <c r="Y27" s="470">
        <f>AA27/4</f>
        <v>-2.85575</v>
      </c>
      <c r="Z27" s="490">
        <f>AA27-W27-X27-Y27</f>
        <v>-2.8557499999999991</v>
      </c>
      <c r="AA27" s="469">
        <f>IS!AK30</f>
        <v>-11.423</v>
      </c>
      <c r="AF27" s="468">
        <v>-8</v>
      </c>
      <c r="AK27" s="469">
        <f>-AK25+AK28</f>
        <v>-17.694852315961676</v>
      </c>
      <c r="AL27" s="469">
        <f t="shared" ref="AL27:AZ27" si="20">-AL25+AL28</f>
        <v>-6.540966056603196</v>
      </c>
      <c r="AM27" s="469">
        <f t="shared" si="20"/>
        <v>-6.3949734060943406</v>
      </c>
      <c r="AN27" s="469">
        <f t="shared" si="20"/>
        <v>-6.2523836456399007</v>
      </c>
      <c r="AO27" s="469">
        <f t="shared" si="20"/>
        <v>-6.1131143776330772</v>
      </c>
      <c r="AP27" s="469">
        <f t="shared" si="20"/>
        <v>-17.301437485970517</v>
      </c>
      <c r="AQ27" s="469">
        <f t="shared" si="20"/>
        <v>-5.9770852628814755</v>
      </c>
      <c r="AR27" s="469">
        <f t="shared" si="20"/>
        <v>-5.8442179679282287</v>
      </c>
      <c r="AS27" s="469">
        <f t="shared" si="20"/>
        <v>-5.7144361137456663</v>
      </c>
      <c r="AT27" s="469">
        <f t="shared" si="20"/>
        <v>-5.5876652257652912</v>
      </c>
      <c r="AU27" s="469">
        <f t="shared" si="20"/>
        <v>-16.72340457032066</v>
      </c>
      <c r="AV27" s="469">
        <f t="shared" si="20"/>
        <v>-5.4638326852088026</v>
      </c>
      <c r="AW27" s="469">
        <f t="shared" si="20"/>
        <v>-5.3428676816858545</v>
      </c>
      <c r="AX27" s="469">
        <f t="shared" si="20"/>
        <v>-5.2247011670251196</v>
      </c>
      <c r="AY27" s="469">
        <f t="shared" si="20"/>
        <v>-5.1092658103061579</v>
      </c>
      <c r="AZ27" s="469">
        <f t="shared" si="20"/>
        <v>-16.020667344225931</v>
      </c>
      <c r="BA27" s="469"/>
      <c r="BB27" s="469"/>
      <c r="BC27" s="469"/>
      <c r="BD27" s="469"/>
    </row>
    <row r="28" spans="2:56">
      <c r="B28" s="467" t="s">
        <v>271</v>
      </c>
      <c r="C28" s="466"/>
      <c r="D28" s="466"/>
      <c r="E28" s="466"/>
      <c r="F28" s="466"/>
      <c r="H28" s="466"/>
      <c r="I28" s="466"/>
      <c r="J28" s="466"/>
      <c r="K28" s="466"/>
      <c r="L28" s="469">
        <f>L27+L25</f>
        <v>28.545999999999996</v>
      </c>
      <c r="M28" s="470">
        <f>M27+M25</f>
        <v>7.7997500000000031</v>
      </c>
      <c r="N28" s="470">
        <f>N27+N25</f>
        <v>7.6543718750000034</v>
      </c>
      <c r="O28" s="470">
        <f>O27+O25</f>
        <v>7.464880148437504</v>
      </c>
      <c r="P28" s="470">
        <f>P27+P25</f>
        <v>7.4541981781054734</v>
      </c>
      <c r="Q28" s="469">
        <f>SUM(M28:P28)</f>
        <v>30.373200201542986</v>
      </c>
      <c r="R28" s="470">
        <f>R27+R25</f>
        <v>7.7937500000000046</v>
      </c>
      <c r="S28" s="470">
        <f>S27+S25</f>
        <v>7.8437981250000046</v>
      </c>
      <c r="T28" s="470">
        <f>T27+T25</f>
        <v>8.2107181421874973</v>
      </c>
      <c r="U28" s="490">
        <f>V28-R28-S28-T28</f>
        <v>-1.0422662671875056</v>
      </c>
      <c r="V28" s="469">
        <f>V27+V25</f>
        <v>22.806000000000001</v>
      </c>
      <c r="W28" s="470">
        <f>W27+W25</f>
        <v>6.5333124999999974</v>
      </c>
      <c r="X28" s="470">
        <f>X27+X25</f>
        <v>6.4250156250000003</v>
      </c>
      <c r="Y28" s="470">
        <f>Y27+Y25</f>
        <v>6.3195721234374993</v>
      </c>
      <c r="Z28" s="490">
        <f>AA28-W28-X28-Y28</f>
        <v>-17.638900248437498</v>
      </c>
      <c r="AA28" s="469">
        <f>AA27+AA25</f>
        <v>1.6389999999999993</v>
      </c>
      <c r="AF28" s="469">
        <f>AF27+AF25</f>
        <v>22.834728313354965</v>
      </c>
      <c r="AK28" s="465">
        <v>10</v>
      </c>
      <c r="AP28" s="465">
        <f>AK28*0.8</f>
        <v>8</v>
      </c>
      <c r="AQ28" s="465">
        <f t="shared" ref="AQ28:AZ28" si="21">AL28*0.8</f>
        <v>0</v>
      </c>
      <c r="AR28" s="465">
        <f t="shared" si="21"/>
        <v>0</v>
      </c>
      <c r="AS28" s="465">
        <f t="shared" si="21"/>
        <v>0</v>
      </c>
      <c r="AT28" s="465">
        <f t="shared" si="21"/>
        <v>0</v>
      </c>
      <c r="AU28" s="465">
        <f t="shared" si="21"/>
        <v>6.4</v>
      </c>
      <c r="AV28" s="465">
        <f t="shared" si="21"/>
        <v>0</v>
      </c>
      <c r="AW28" s="465">
        <f t="shared" si="21"/>
        <v>0</v>
      </c>
      <c r="AX28" s="465">
        <f t="shared" si="21"/>
        <v>0</v>
      </c>
      <c r="AY28" s="465">
        <f t="shared" si="21"/>
        <v>0</v>
      </c>
      <c r="AZ28" s="465">
        <f t="shared" si="21"/>
        <v>5.120000000000001</v>
      </c>
    </row>
    <row r="29" spans="2:56">
      <c r="C29" s="466"/>
      <c r="D29" s="466"/>
      <c r="E29" s="466"/>
      <c r="F29" s="466"/>
      <c r="H29" s="466"/>
      <c r="I29" s="466"/>
      <c r="J29" s="466"/>
      <c r="K29" s="466"/>
      <c r="M29" s="466"/>
      <c r="N29" s="466"/>
      <c r="O29" s="466"/>
      <c r="P29" s="466"/>
      <c r="R29" s="466"/>
      <c r="S29" s="466"/>
      <c r="T29" s="466"/>
      <c r="U29" s="466"/>
      <c r="W29" s="466"/>
      <c r="X29" s="466"/>
      <c r="Y29" s="466"/>
      <c r="Z29" s="466"/>
    </row>
    <row r="30" spans="2:56">
      <c r="C30" s="466"/>
      <c r="D30" s="466"/>
      <c r="E30" s="466"/>
      <c r="F30" s="466"/>
      <c r="H30" s="466"/>
      <c r="I30" s="466"/>
      <c r="J30" s="466"/>
      <c r="K30" s="466"/>
      <c r="M30" s="466"/>
      <c r="N30" s="466"/>
      <c r="O30" s="466"/>
      <c r="P30" s="466"/>
      <c r="R30" s="466"/>
      <c r="S30" s="466"/>
      <c r="T30" s="466"/>
      <c r="U30" s="466"/>
      <c r="W30" s="466"/>
      <c r="X30" s="466"/>
      <c r="Y30" s="466"/>
      <c r="Z30" s="466"/>
    </row>
    <row r="31" spans="2:56">
      <c r="B31" s="492" t="s">
        <v>264</v>
      </c>
      <c r="C31" s="493"/>
      <c r="D31" s="493"/>
      <c r="E31" s="493"/>
      <c r="F31" s="493"/>
      <c r="G31" s="497">
        <f>G4</f>
        <v>400</v>
      </c>
      <c r="H31" s="493"/>
      <c r="I31" s="493"/>
      <c r="J31" s="493"/>
      <c r="K31" s="493"/>
      <c r="L31" s="497">
        <f>L10+L4+L14</f>
        <v>560.5</v>
      </c>
      <c r="M31" s="493"/>
      <c r="N31" s="493"/>
      <c r="O31" s="493"/>
      <c r="P31" s="493"/>
      <c r="Q31" s="497">
        <f>Q10+Q4+Q14</f>
        <v>560.29999999999995</v>
      </c>
      <c r="R31" s="493"/>
      <c r="S31" s="493"/>
      <c r="T31" s="493"/>
      <c r="U31" s="493"/>
      <c r="V31" s="497">
        <f>V10+V4+V14</f>
        <v>328.90000000000003</v>
      </c>
      <c r="W31" s="493"/>
      <c r="X31" s="493"/>
      <c r="Y31" s="493"/>
      <c r="Z31" s="493"/>
      <c r="AA31" s="497">
        <f>AA10+AA4+AA14+AA18</f>
        <v>375.86199999999997</v>
      </c>
      <c r="AB31" s="498"/>
      <c r="AC31" s="498"/>
      <c r="AD31" s="498"/>
      <c r="AE31" s="498"/>
      <c r="AF31" s="497">
        <f t="shared" ref="AF31:AZ31" si="22">AF10+AF4+AF14+AF18</f>
        <v>334.38212481164504</v>
      </c>
      <c r="AG31" s="497">
        <f t="shared" si="22"/>
        <v>327.22143618599955</v>
      </c>
      <c r="AH31" s="497">
        <f t="shared" si="22"/>
        <v>320.22121883922279</v>
      </c>
      <c r="AI31" s="497">
        <f t="shared" si="22"/>
        <v>313.37771860295965</v>
      </c>
      <c r="AJ31" s="497">
        <f t="shared" si="22"/>
        <v>306.68727249568337</v>
      </c>
      <c r="AK31" s="497">
        <f t="shared" si="22"/>
        <v>306.68727249568337</v>
      </c>
      <c r="AL31" s="497">
        <f t="shared" si="22"/>
        <v>300.14630643908015</v>
      </c>
      <c r="AM31" s="497">
        <f t="shared" si="22"/>
        <v>293.75133303298583</v>
      </c>
      <c r="AN31" s="497">
        <f t="shared" si="22"/>
        <v>287.49894938734587</v>
      </c>
      <c r="AO31" s="497">
        <f t="shared" si="22"/>
        <v>281.38583500971282</v>
      </c>
      <c r="AP31" s="497">
        <f t="shared" si="22"/>
        <v>281.38583500971282</v>
      </c>
      <c r="AQ31" s="497">
        <f t="shared" si="22"/>
        <v>275.40874974683135</v>
      </c>
      <c r="AR31" s="497">
        <f t="shared" si="22"/>
        <v>269.56453177890313</v>
      </c>
      <c r="AS31" s="497">
        <f t="shared" si="22"/>
        <v>263.85009566515748</v>
      </c>
      <c r="AT31" s="497">
        <f t="shared" si="22"/>
        <v>258.26243043939218</v>
      </c>
      <c r="AU31" s="497">
        <f t="shared" si="22"/>
        <v>258.26243043939218</v>
      </c>
      <c r="AV31" s="497">
        <f t="shared" si="22"/>
        <v>252.79859775418336</v>
      </c>
      <c r="AW31" s="497">
        <f t="shared" si="22"/>
        <v>247.45573007249749</v>
      </c>
      <c r="AX31" s="497">
        <f t="shared" si="22"/>
        <v>242.23102890547239</v>
      </c>
      <c r="AY31" s="497">
        <f t="shared" si="22"/>
        <v>237.12176309516622</v>
      </c>
      <c r="AZ31" s="497">
        <f t="shared" si="22"/>
        <v>237.12176309516622</v>
      </c>
    </row>
    <row r="33" spans="2:27">
      <c r="AA33" s="840"/>
    </row>
    <row r="38" spans="2:27">
      <c r="B38" s="499"/>
    </row>
    <row r="39" spans="2:27">
      <c r="B39" s="499"/>
    </row>
    <row r="40" spans="2:27">
      <c r="B40" s="499"/>
    </row>
    <row r="41" spans="2:27">
      <c r="B41" s="499"/>
    </row>
  </sheetData>
  <phoneticPr fontId="9" type="noConversion"/>
  <pageMargins left="0.75" right="0.75" top="1" bottom="1" header="0.5" footer="0.5"/>
  <pageSetup orientation="portrait" r:id="rId1"/>
  <headerFooter alignWithMargins="0"/>
  <ignoredErrors>
    <ignoredError sqref="AF12:AU12 AF10:AU10 Q12:AA12 Q16:AU16 AF14:AU14 AF18:AU18 AF20:AU20 AF24:AU24 AF23"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tint="0.79998168889431442"/>
  </sheetPr>
  <dimension ref="A1"/>
  <sheetViews>
    <sheetView zoomScaleNormal="100" workbookViewId="0"/>
  </sheetViews>
  <sheetFormatPr defaultRowHeight="13.5"/>
  <sheetData/>
  <phoneticPr fontId="63"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CY116"/>
  <sheetViews>
    <sheetView zoomScale="85" zoomScaleNormal="85" workbookViewId="0">
      <pane xSplit="7" ySplit="2" topLeftCell="AA3" activePane="bottomRight" state="frozen"/>
      <selection pane="topRight" activeCell="H1" sqref="H1"/>
      <selection pane="bottomLeft" activeCell="A3" sqref="A3"/>
      <selection pane="bottomRight" activeCell="AK25" sqref="AK25"/>
    </sheetView>
  </sheetViews>
  <sheetFormatPr defaultRowHeight="12.75" outlineLevelRow="1" outlineLevelCol="1"/>
  <cols>
    <col min="1" max="1" width="2.375" style="125" customWidth="1"/>
    <col min="2" max="2" width="40.75" style="125" bestFit="1" customWidth="1"/>
    <col min="3" max="6" width="9" style="125" hidden="1" customWidth="1" outlineLevel="1"/>
    <col min="7" max="7" width="9" style="125" collapsed="1"/>
    <col min="8" max="11" width="9" style="125" hidden="1" customWidth="1" outlineLevel="1"/>
    <col min="12" max="12" width="9.125" style="125" bestFit="1" customWidth="1" collapsed="1"/>
    <col min="13" max="16" width="9" style="125" hidden="1" customWidth="1" outlineLevel="1"/>
    <col min="17" max="17" width="9.5" style="125" bestFit="1" customWidth="1" collapsed="1"/>
    <col min="18" max="21" width="9" style="125" hidden="1" customWidth="1" outlineLevel="1"/>
    <col min="22" max="22" width="9.5" style="125" bestFit="1" customWidth="1" collapsed="1"/>
    <col min="23" max="26" width="9" style="125" hidden="1" customWidth="1" outlineLevel="1"/>
    <col min="27" max="27" width="9.5" style="125" bestFit="1" customWidth="1" collapsed="1"/>
    <col min="28" max="31" width="9" style="125" customWidth="1" outlineLevel="1"/>
    <col min="32" max="32" width="9.5" style="125" bestFit="1" customWidth="1"/>
    <col min="33" max="36" width="9" style="125" customWidth="1" outlineLevel="1"/>
    <col min="37" max="37" width="9.5" style="125" bestFit="1" customWidth="1"/>
    <col min="38" max="41" width="9" style="125" hidden="1" customWidth="1" outlineLevel="1"/>
    <col min="42" max="42" width="9.5" style="125" bestFit="1" customWidth="1" collapsed="1"/>
    <col min="43" max="46" width="0" style="125" hidden="1" customWidth="1" outlineLevel="1"/>
    <col min="47" max="47" width="9.5" style="125" bestFit="1" customWidth="1" collapsed="1"/>
    <col min="48" max="51" width="0" style="125" hidden="1" customWidth="1" outlineLevel="1"/>
    <col min="52" max="52" width="11" style="125" bestFit="1" customWidth="1" collapsed="1"/>
    <col min="53" max="56" width="0" style="125" hidden="1" customWidth="1" outlineLevel="1"/>
    <col min="57" max="57" width="9" style="125" collapsed="1"/>
    <col min="58" max="61" width="0" style="125" hidden="1" customWidth="1" outlineLevel="1"/>
    <col min="62" max="62" width="9" style="125" collapsed="1"/>
    <col min="63" max="66" width="0" style="125" hidden="1" customWidth="1" outlineLevel="1"/>
    <col min="67" max="67" width="9" style="125" collapsed="1"/>
    <col min="68" max="71" width="0" style="125" hidden="1" customWidth="1" outlineLevel="1"/>
    <col min="72" max="72" width="9" style="125" collapsed="1"/>
    <col min="73" max="76" width="0" style="125" hidden="1" customWidth="1" outlineLevel="1"/>
    <col min="77" max="77" width="9" style="125" collapsed="1"/>
    <col min="78" max="81" width="9" style="125" hidden="1" customWidth="1" outlineLevel="1"/>
    <col min="82" max="82" width="9" style="125" collapsed="1"/>
    <col min="83" max="86" width="0" style="125" hidden="1" customWidth="1" outlineLevel="1"/>
    <col min="87" max="87" width="9" style="125" collapsed="1"/>
    <col min="88" max="91" width="0" style="125" hidden="1" customWidth="1" outlineLevel="1"/>
    <col min="92" max="92" width="9" style="125" collapsed="1"/>
    <col min="93" max="96" width="0" style="125" hidden="1" customWidth="1" outlineLevel="1"/>
    <col min="97" max="97" width="9" style="125" collapsed="1"/>
    <col min="98" max="101" width="0" style="125" hidden="1" customWidth="1" outlineLevel="1"/>
    <col min="102" max="102" width="9" style="125" collapsed="1"/>
    <col min="103" max="16384" width="9" style="125"/>
  </cols>
  <sheetData>
    <row r="1" spans="1:103">
      <c r="V1" s="500">
        <v>2014</v>
      </c>
      <c r="W1" s="500"/>
      <c r="X1" s="500"/>
      <c r="Y1" s="500"/>
      <c r="Z1" s="500"/>
      <c r="AA1" s="500">
        <f>V1+1</f>
        <v>2015</v>
      </c>
      <c r="AB1" s="500"/>
      <c r="AC1" s="500"/>
      <c r="AD1" s="500"/>
      <c r="AE1" s="500"/>
      <c r="AF1" s="500">
        <f>AA1+1</f>
        <v>2016</v>
      </c>
      <c r="AG1" s="500"/>
      <c r="AH1" s="500"/>
      <c r="AI1" s="500"/>
      <c r="AJ1" s="500"/>
      <c r="AK1" s="500">
        <f>AF1+1</f>
        <v>2017</v>
      </c>
      <c r="AL1" s="500"/>
      <c r="AM1" s="500"/>
      <c r="AN1" s="500"/>
      <c r="AO1" s="500"/>
      <c r="AP1" s="500">
        <f>AK1+1</f>
        <v>2018</v>
      </c>
      <c r="AQ1" s="500"/>
      <c r="AR1" s="500"/>
      <c r="AS1" s="500"/>
      <c r="AT1" s="500"/>
      <c r="AU1" s="500">
        <f>AP1+1</f>
        <v>2019</v>
      </c>
      <c r="AV1" s="500"/>
      <c r="AW1" s="500"/>
      <c r="AX1" s="500"/>
      <c r="AY1" s="500"/>
      <c r="AZ1" s="500">
        <f>AU1+1</f>
        <v>2020</v>
      </c>
      <c r="BA1" s="500"/>
      <c r="BB1" s="500"/>
      <c r="BC1" s="500"/>
      <c r="BD1" s="500"/>
      <c r="BE1" s="500">
        <f>AZ1+1</f>
        <v>2021</v>
      </c>
      <c r="BF1" s="500"/>
      <c r="BG1" s="500"/>
      <c r="BH1" s="500"/>
      <c r="BI1" s="500"/>
      <c r="BJ1" s="500">
        <f>BE1+1</f>
        <v>2022</v>
      </c>
      <c r="BK1" s="500"/>
      <c r="BL1" s="500"/>
      <c r="BM1" s="500"/>
      <c r="BN1" s="500"/>
      <c r="BO1" s="500">
        <f>BJ1+1</f>
        <v>2023</v>
      </c>
      <c r="BP1" s="500"/>
      <c r="BQ1" s="500"/>
      <c r="BR1" s="500"/>
      <c r="BS1" s="500"/>
      <c r="BT1" s="500">
        <f>BO1+1</f>
        <v>2024</v>
      </c>
      <c r="BU1" s="500"/>
      <c r="BV1" s="500"/>
      <c r="BW1" s="500"/>
      <c r="BX1" s="500"/>
      <c r="BY1" s="500">
        <f>BT1+1</f>
        <v>2025</v>
      </c>
      <c r="BZ1" s="500"/>
      <c r="CA1" s="500"/>
      <c r="CB1" s="500"/>
      <c r="CC1" s="500"/>
      <c r="CD1" s="500">
        <f>BY1+1</f>
        <v>2026</v>
      </c>
      <c r="CE1" s="500"/>
      <c r="CF1" s="500"/>
      <c r="CG1" s="500"/>
      <c r="CH1" s="500"/>
      <c r="CI1" s="500">
        <f>CD1+1</f>
        <v>2027</v>
      </c>
      <c r="CJ1" s="500"/>
      <c r="CK1" s="500"/>
      <c r="CL1" s="500"/>
      <c r="CM1" s="500"/>
      <c r="CN1" s="501">
        <f>CI1+1</f>
        <v>2028</v>
      </c>
      <c r="CO1" s="501"/>
      <c r="CP1" s="501"/>
      <c r="CQ1" s="501"/>
      <c r="CR1" s="501"/>
      <c r="CS1" s="501">
        <f>CN1+1</f>
        <v>2029</v>
      </c>
      <c r="CT1" s="501"/>
      <c r="CU1" s="501"/>
      <c r="CV1" s="501"/>
      <c r="CW1" s="501"/>
      <c r="CX1" s="501">
        <f>CS1+1</f>
        <v>2030</v>
      </c>
      <c r="CY1" s="501">
        <f>CX1+1</f>
        <v>2031</v>
      </c>
    </row>
    <row r="2" spans="1:103" s="147" customFormat="1" ht="12.75" customHeight="1" thickBot="1">
      <c r="A2" s="144"/>
      <c r="B2" s="213"/>
      <c r="C2" s="502" t="s">
        <v>102</v>
      </c>
      <c r="D2" s="502" t="s">
        <v>103</v>
      </c>
      <c r="E2" s="502" t="s">
        <v>104</v>
      </c>
      <c r="F2" s="502" t="s">
        <v>105</v>
      </c>
      <c r="G2" s="214">
        <v>2011</v>
      </c>
      <c r="H2" s="503" t="s">
        <v>181</v>
      </c>
      <c r="I2" s="502" t="s">
        <v>185</v>
      </c>
      <c r="J2" s="502" t="s">
        <v>189</v>
      </c>
      <c r="K2" s="502" t="s">
        <v>220</v>
      </c>
      <c r="L2" s="215">
        <v>2012</v>
      </c>
      <c r="M2" s="502" t="s">
        <v>231</v>
      </c>
      <c r="N2" s="502" t="s">
        <v>273</v>
      </c>
      <c r="O2" s="502" t="s">
        <v>495</v>
      </c>
      <c r="P2" s="502" t="s">
        <v>496</v>
      </c>
      <c r="Q2" s="214">
        <v>2013</v>
      </c>
      <c r="R2" s="502" t="s">
        <v>497</v>
      </c>
      <c r="S2" s="502" t="s">
        <v>498</v>
      </c>
      <c r="T2" s="502" t="s">
        <v>499</v>
      </c>
      <c r="U2" s="502" t="s">
        <v>500</v>
      </c>
      <c r="V2" s="214">
        <v>2014</v>
      </c>
      <c r="W2" s="502" t="s">
        <v>501</v>
      </c>
      <c r="X2" s="502" t="s">
        <v>112</v>
      </c>
      <c r="Y2" s="502" t="s">
        <v>113</v>
      </c>
      <c r="Z2" s="502" t="s">
        <v>114</v>
      </c>
      <c r="AA2" s="214" t="s">
        <v>115</v>
      </c>
      <c r="AB2" s="502" t="s">
        <v>813</v>
      </c>
      <c r="AC2" s="502" t="s">
        <v>814</v>
      </c>
      <c r="AD2" s="502" t="s">
        <v>816</v>
      </c>
      <c r="AE2" s="502" t="s">
        <v>820</v>
      </c>
      <c r="AF2" s="214" t="s">
        <v>821</v>
      </c>
      <c r="AG2" s="897" t="s">
        <v>823</v>
      </c>
      <c r="AH2" s="897" t="s">
        <v>851</v>
      </c>
      <c r="AI2" s="897" t="s">
        <v>871</v>
      </c>
      <c r="AJ2" s="897" t="s">
        <v>894</v>
      </c>
      <c r="AK2" s="214" t="s">
        <v>895</v>
      </c>
      <c r="AL2" s="216" t="s">
        <v>126</v>
      </c>
      <c r="AM2" s="216" t="s">
        <v>127</v>
      </c>
      <c r="AN2" s="216" t="s">
        <v>128</v>
      </c>
      <c r="AO2" s="216" t="s">
        <v>129</v>
      </c>
      <c r="AP2" s="214" t="s">
        <v>130</v>
      </c>
      <c r="AQ2" s="216" t="s">
        <v>131</v>
      </c>
      <c r="AR2" s="216" t="s">
        <v>132</v>
      </c>
      <c r="AS2" s="216" t="s">
        <v>133</v>
      </c>
      <c r="AT2" s="216" t="s">
        <v>134</v>
      </c>
      <c r="AU2" s="214" t="s">
        <v>135</v>
      </c>
      <c r="AV2" s="216" t="s">
        <v>136</v>
      </c>
      <c r="AW2" s="216" t="s">
        <v>137</v>
      </c>
      <c r="AX2" s="216" t="s">
        <v>138</v>
      </c>
      <c r="AY2" s="216" t="s">
        <v>139</v>
      </c>
      <c r="AZ2" s="215" t="s">
        <v>140</v>
      </c>
      <c r="BA2" s="216" t="s">
        <v>141</v>
      </c>
      <c r="BB2" s="216" t="s">
        <v>142</v>
      </c>
      <c r="BC2" s="216" t="s">
        <v>143</v>
      </c>
      <c r="BD2" s="216" t="s">
        <v>144</v>
      </c>
      <c r="BE2" s="215" t="s">
        <v>145</v>
      </c>
      <c r="BF2" s="216" t="s">
        <v>146</v>
      </c>
      <c r="BG2" s="216" t="s">
        <v>147</v>
      </c>
      <c r="BH2" s="216" t="s">
        <v>148</v>
      </c>
      <c r="BI2" s="216" t="s">
        <v>149</v>
      </c>
      <c r="BJ2" s="215" t="s">
        <v>150</v>
      </c>
      <c r="BK2" s="216" t="s">
        <v>151</v>
      </c>
      <c r="BL2" s="216" t="s">
        <v>152</v>
      </c>
      <c r="BM2" s="216" t="s">
        <v>153</v>
      </c>
      <c r="BN2" s="216" t="s">
        <v>154</v>
      </c>
      <c r="BO2" s="215" t="s">
        <v>155</v>
      </c>
      <c r="BP2" s="216" t="s">
        <v>156</v>
      </c>
      <c r="BQ2" s="216" t="s">
        <v>157</v>
      </c>
      <c r="BR2" s="216" t="s">
        <v>158</v>
      </c>
      <c r="BS2" s="216" t="s">
        <v>159</v>
      </c>
      <c r="BT2" s="215" t="s">
        <v>160</v>
      </c>
      <c r="BU2" s="216" t="s">
        <v>161</v>
      </c>
      <c r="BV2" s="216" t="s">
        <v>162</v>
      </c>
      <c r="BW2" s="216" t="s">
        <v>163</v>
      </c>
      <c r="BX2" s="216" t="s">
        <v>164</v>
      </c>
      <c r="BY2" s="215" t="s">
        <v>165</v>
      </c>
      <c r="BZ2" s="216" t="s">
        <v>166</v>
      </c>
      <c r="CA2" s="216" t="s">
        <v>167</v>
      </c>
      <c r="CB2" s="216" t="s">
        <v>168</v>
      </c>
      <c r="CC2" s="216" t="s">
        <v>169</v>
      </c>
      <c r="CD2" s="215" t="s">
        <v>170</v>
      </c>
      <c r="CE2" s="215"/>
      <c r="CF2" s="215"/>
      <c r="CG2" s="215"/>
      <c r="CH2" s="215"/>
      <c r="CI2" s="217" t="s">
        <v>171</v>
      </c>
      <c r="CJ2" s="217"/>
      <c r="CK2" s="217"/>
      <c r="CL2" s="217"/>
      <c r="CM2" s="217"/>
      <c r="CN2" s="217" t="s">
        <v>172</v>
      </c>
      <c r="CO2" s="217"/>
      <c r="CP2" s="217"/>
      <c r="CQ2" s="217"/>
      <c r="CR2" s="217"/>
      <c r="CS2" s="217" t="s">
        <v>173</v>
      </c>
      <c r="CT2" s="217"/>
      <c r="CU2" s="217"/>
      <c r="CV2" s="217"/>
      <c r="CW2" s="217"/>
      <c r="CX2" s="217" t="s">
        <v>671</v>
      </c>
      <c r="CY2" s="217" t="s">
        <v>230</v>
      </c>
    </row>
    <row r="3" spans="1:103" s="147" customFormat="1" ht="12.75" customHeight="1">
      <c r="A3" s="144"/>
      <c r="B3" s="209" t="s">
        <v>649</v>
      </c>
      <c r="C3" s="349"/>
      <c r="D3" s="349"/>
      <c r="E3" s="349"/>
      <c r="F3" s="349"/>
      <c r="G3" s="210"/>
      <c r="H3" s="504"/>
      <c r="I3" s="349"/>
      <c r="J3" s="349"/>
      <c r="K3" s="349"/>
      <c r="L3" s="211"/>
      <c r="M3" s="349"/>
      <c r="N3" s="349"/>
      <c r="O3" s="349"/>
      <c r="P3" s="349"/>
      <c r="Q3" s="210"/>
      <c r="R3" s="349"/>
      <c r="S3" s="349"/>
      <c r="T3" s="349"/>
      <c r="U3" s="349"/>
      <c r="V3" s="210"/>
      <c r="W3" s="349"/>
      <c r="X3" s="349"/>
      <c r="Y3" s="349"/>
      <c r="Z3" s="349"/>
      <c r="AA3" s="210"/>
      <c r="AB3" s="349"/>
      <c r="AC3" s="349"/>
      <c r="AD3" s="349"/>
      <c r="AE3" s="349"/>
      <c r="AF3" s="210"/>
      <c r="AG3" s="898"/>
      <c r="AH3" s="898"/>
      <c r="AI3" s="898"/>
      <c r="AJ3" s="898"/>
      <c r="AK3" s="210"/>
      <c r="AL3" s="212"/>
      <c r="AM3" s="212"/>
      <c r="AN3" s="212"/>
      <c r="AO3" s="212"/>
      <c r="AP3" s="210"/>
      <c r="AQ3" s="212"/>
      <c r="AR3" s="212"/>
      <c r="AS3" s="212"/>
      <c r="AT3" s="212"/>
      <c r="AU3" s="210"/>
      <c r="AV3" s="212"/>
      <c r="AW3" s="212"/>
      <c r="AX3" s="212"/>
      <c r="AY3" s="212"/>
      <c r="AZ3" s="211"/>
      <c r="BA3" s="212"/>
      <c r="BB3" s="212"/>
      <c r="BC3" s="212"/>
      <c r="BD3" s="212"/>
      <c r="BE3" s="211"/>
      <c r="BF3" s="212"/>
      <c r="BG3" s="212"/>
      <c r="BH3" s="212"/>
      <c r="BI3" s="212"/>
      <c r="BJ3" s="211"/>
      <c r="BK3" s="212"/>
      <c r="BL3" s="212"/>
      <c r="BM3" s="212"/>
      <c r="BN3" s="212"/>
      <c r="BO3" s="211"/>
      <c r="BP3" s="212"/>
      <c r="BQ3" s="212"/>
      <c r="BR3" s="212"/>
      <c r="BS3" s="212"/>
      <c r="BT3" s="211"/>
      <c r="BU3" s="212"/>
      <c r="BV3" s="212"/>
      <c r="BW3" s="212"/>
      <c r="BX3" s="212"/>
      <c r="BY3" s="211"/>
      <c r="BZ3" s="212"/>
      <c r="CA3" s="212"/>
      <c r="CB3" s="212"/>
      <c r="CC3" s="212"/>
      <c r="CD3" s="211"/>
      <c r="CE3" s="211"/>
      <c r="CF3" s="211"/>
      <c r="CG3" s="211"/>
      <c r="CH3" s="211"/>
      <c r="CI3" s="146"/>
      <c r="CJ3" s="146"/>
      <c r="CK3" s="146"/>
      <c r="CL3" s="146"/>
      <c r="CM3" s="146"/>
    </row>
    <row r="4" spans="1:103">
      <c r="C4" s="427"/>
      <c r="D4" s="427"/>
      <c r="E4" s="427"/>
      <c r="F4" s="427"/>
      <c r="H4" s="427"/>
      <c r="I4" s="427"/>
      <c r="J4" s="427"/>
      <c r="K4" s="427"/>
      <c r="M4" s="427"/>
      <c r="N4" s="432"/>
      <c r="O4" s="432"/>
      <c r="P4" s="432"/>
      <c r="R4" s="427"/>
      <c r="S4" s="427"/>
      <c r="T4" s="427"/>
      <c r="U4" s="427"/>
      <c r="W4" s="427"/>
      <c r="X4" s="598"/>
      <c r="Y4" s="598"/>
      <c r="Z4" s="598"/>
      <c r="AB4" s="888"/>
      <c r="AC4" s="432"/>
      <c r="AD4" s="427"/>
      <c r="AE4" s="432"/>
      <c r="AF4" s="177"/>
      <c r="AG4" s="899"/>
      <c r="AH4" s="899"/>
      <c r="AI4" s="899"/>
      <c r="AJ4" s="899"/>
      <c r="AK4" s="264"/>
    </row>
    <row r="5" spans="1:103">
      <c r="B5" s="184" t="s">
        <v>563</v>
      </c>
      <c r="C5" s="427"/>
      <c r="D5" s="427"/>
      <c r="E5" s="427"/>
      <c r="F5" s="432">
        <f>G5</f>
        <v>24.799355304004521</v>
      </c>
      <c r="G5" s="177">
        <f>'Wet AMD'!J36</f>
        <v>24.799355304004521</v>
      </c>
      <c r="H5" s="432">
        <f>'Wet AMD'!K36</f>
        <v>124.4726754685724</v>
      </c>
      <c r="I5" s="432">
        <f>'Wet AMD'!L36</f>
        <v>194.12913452507794</v>
      </c>
      <c r="J5" s="432">
        <f>'Wet AMD'!M36</f>
        <v>243.80234997411969</v>
      </c>
      <c r="K5" s="432">
        <f>L5-H5-I5-J5</f>
        <v>269.67468338693493</v>
      </c>
      <c r="L5" s="177">
        <f>'Wet AMD'!O36</f>
        <v>832.07884335470499</v>
      </c>
      <c r="M5" s="432">
        <f>'Wet AMD'!P36</f>
        <v>304.96769741601054</v>
      </c>
      <c r="N5" s="432">
        <f>'Wet AMD'!Q36</f>
        <v>322.87316862673998</v>
      </c>
      <c r="O5" s="432">
        <f>'Wet AMD'!R36</f>
        <v>353.56889399558628</v>
      </c>
      <c r="P5" s="432">
        <f>Q5-M5-N5-O5</f>
        <v>382.26451559212245</v>
      </c>
      <c r="Q5" s="177">
        <f>'Wet AMD'!T36</f>
        <v>1363.6742756304591</v>
      </c>
      <c r="R5" s="440">
        <f>359-R6</f>
        <v>344</v>
      </c>
      <c r="S5" s="440">
        <f>414.8-S6</f>
        <v>397.8</v>
      </c>
      <c r="T5" s="440">
        <f>445.644-T6-T7</f>
        <v>409.64400000000001</v>
      </c>
      <c r="U5" s="432">
        <f>V5-R5-S5-T5</f>
        <v>422.26157612022871</v>
      </c>
      <c r="V5" s="177">
        <f>'Wet AMD'!Y36</f>
        <v>1573.7055761202287</v>
      </c>
      <c r="W5" s="432">
        <f>U5*1.01</f>
        <v>426.484191881431</v>
      </c>
      <c r="X5" s="432">
        <f>W5*1.07</f>
        <v>456.33808531313122</v>
      </c>
      <c r="Y5" s="432">
        <f>X5*1.05</f>
        <v>479.15498957878782</v>
      </c>
      <c r="Z5" s="432">
        <f>Y5*1.02</f>
        <v>488.73808937036358</v>
      </c>
      <c r="AA5" s="177">
        <f>SUM(W5:Z5)</f>
        <v>1850.7153561437135</v>
      </c>
      <c r="AB5" s="432">
        <f>Z5*1.02</f>
        <v>498.51285115777085</v>
      </c>
      <c r="AC5" s="432">
        <f>AB5*1.06</f>
        <v>528.42362222723716</v>
      </c>
      <c r="AD5" s="432">
        <f>AC5*1.025</f>
        <v>541.6342127829181</v>
      </c>
      <c r="AE5" s="432">
        <f>AD5*1</f>
        <v>541.6342127829181</v>
      </c>
      <c r="AF5" s="177">
        <f>SUM(AB5:AE5)</f>
        <v>2110.2048989508439</v>
      </c>
      <c r="AG5" s="900">
        <f>AE5*1.01475</f>
        <v>549.62331742146614</v>
      </c>
      <c r="AH5" s="900">
        <f t="shared" ref="AH5:AI5" si="0">($AK$5/$AF$5)*AC5</f>
        <v>554.31859586926885</v>
      </c>
      <c r="AI5" s="900">
        <f t="shared" si="0"/>
        <v>568.17656076600053</v>
      </c>
      <c r="AJ5" s="900">
        <f>AK5-SUM(AG5:AI5)</f>
        <v>541.49531491931612</v>
      </c>
      <c r="AK5" s="177">
        <f>'Wet AMD'!AJ36</f>
        <v>2213.6137889760516</v>
      </c>
      <c r="AL5" s="177">
        <f>$AP$5/4</f>
        <v>0</v>
      </c>
      <c r="AM5" s="177">
        <f>$AP$5/4</f>
        <v>0</v>
      </c>
      <c r="AN5" s="177">
        <f>$AP$5/4</f>
        <v>0</v>
      </c>
      <c r="AO5" s="177">
        <f>$AP$5/4</f>
        <v>0</v>
      </c>
      <c r="AP5" s="1036"/>
      <c r="AQ5" s="1036">
        <f>$AU$5/4</f>
        <v>0</v>
      </c>
      <c r="AR5" s="1036">
        <f>$AU$5/4</f>
        <v>0</v>
      </c>
      <c r="AS5" s="1036">
        <f>$AU$5/4</f>
        <v>0</v>
      </c>
      <c r="AT5" s="1036">
        <f>$AU$5/4</f>
        <v>0</v>
      </c>
      <c r="AU5" s="1036"/>
      <c r="AV5" s="1036">
        <f>$AZ$5/4</f>
        <v>0</v>
      </c>
      <c r="AW5" s="1036">
        <f>$AZ$5/4</f>
        <v>0</v>
      </c>
      <c r="AX5" s="1036">
        <f>$AZ$5/4</f>
        <v>0</v>
      </c>
      <c r="AY5" s="1036">
        <f>$AZ$5/4</f>
        <v>0</v>
      </c>
      <c r="AZ5" s="1036"/>
      <c r="BA5" s="1037"/>
      <c r="BB5" s="1037"/>
      <c r="BC5" s="1037"/>
      <c r="BD5" s="1037"/>
      <c r="BE5" s="1038"/>
      <c r="BF5" s="1038"/>
      <c r="BG5" s="1038"/>
      <c r="BH5" s="1038"/>
      <c r="BI5" s="1038"/>
      <c r="BJ5" s="1039"/>
      <c r="BK5" s="1038"/>
      <c r="BL5" s="1038"/>
      <c r="BM5" s="1038"/>
      <c r="BN5" s="1038"/>
      <c r="BO5" s="1039"/>
      <c r="BP5" s="1038"/>
      <c r="BQ5" s="1038"/>
      <c r="BR5" s="1038"/>
      <c r="BS5" s="1038"/>
      <c r="BT5" s="1040"/>
      <c r="BU5" s="1038"/>
      <c r="BV5" s="1038"/>
      <c r="BW5" s="1038"/>
      <c r="BX5" s="1038"/>
      <c r="BY5" s="1038"/>
      <c r="BZ5" s="1038"/>
      <c r="CA5" s="1038"/>
      <c r="CB5" s="1038"/>
      <c r="CC5" s="1038"/>
      <c r="CD5" s="1038"/>
      <c r="CE5" s="1038"/>
      <c r="CF5" s="1038"/>
      <c r="CG5" s="1038"/>
      <c r="CH5" s="1038"/>
      <c r="CI5" s="1038"/>
      <c r="CJ5" s="1038"/>
      <c r="CK5" s="1038"/>
      <c r="CL5" s="1038"/>
      <c r="CM5" s="1038"/>
      <c r="CN5" s="1038"/>
      <c r="CO5" s="1038"/>
      <c r="CP5" s="1038"/>
      <c r="CQ5" s="1038"/>
      <c r="CR5" s="1038"/>
      <c r="CS5" s="1038"/>
      <c r="CT5" s="1038"/>
      <c r="CU5" s="1038"/>
      <c r="CV5" s="1038"/>
      <c r="CW5" s="1038"/>
      <c r="CX5" s="1038"/>
    </row>
    <row r="6" spans="1:103">
      <c r="B6" s="184" t="s">
        <v>648</v>
      </c>
      <c r="C6" s="427"/>
      <c r="D6" s="427"/>
      <c r="E6" s="427"/>
      <c r="F6" s="392">
        <v>0</v>
      </c>
      <c r="G6" s="177">
        <f>F6</f>
        <v>0</v>
      </c>
      <c r="H6" s="432">
        <f>'Wet AMD'!K38</f>
        <v>0</v>
      </c>
      <c r="I6" s="432">
        <f>'Wet AMD'!L38</f>
        <v>0</v>
      </c>
      <c r="J6" s="432">
        <f>'Wet AMD'!M38</f>
        <v>0</v>
      </c>
      <c r="K6" s="432">
        <f>L6-H6-I6-J6</f>
        <v>5.9211566452950137</v>
      </c>
      <c r="L6" s="177">
        <f>'Wet AMD'!O38</f>
        <v>5.9211566452950137</v>
      </c>
      <c r="M6" s="432">
        <f>'Wet AMD'!P38</f>
        <v>8.7323025839894513</v>
      </c>
      <c r="N6" s="432">
        <f>'Wet AMD'!Q38</f>
        <v>7.01983137325999</v>
      </c>
      <c r="O6" s="432">
        <f>'Wet AMD'!R38</f>
        <v>9.5491060044137157</v>
      </c>
      <c r="P6" s="432">
        <f>'Wet AMD'!S38</f>
        <v>19.723484407877947</v>
      </c>
      <c r="Q6" s="177">
        <f>'Wet AMD'!T38</f>
        <v>45.024724369541104</v>
      </c>
      <c r="R6" s="440">
        <v>15</v>
      </c>
      <c r="S6" s="432">
        <f>'Wet AMD'!V38</f>
        <v>17</v>
      </c>
      <c r="T6" s="432">
        <f>'Wet AMD'!W38</f>
        <v>18</v>
      </c>
      <c r="U6" s="432">
        <f>'Wet AMD'!X38</f>
        <v>27</v>
      </c>
      <c r="V6" s="177">
        <f>'Wet AMD'!Y38</f>
        <v>75.641536940829056</v>
      </c>
      <c r="W6" s="432">
        <v>25</v>
      </c>
      <c r="X6" s="432">
        <f>'Wet AMD'!AA38</f>
        <v>30</v>
      </c>
      <c r="Y6" s="432">
        <f>'Wet AMD'!AB38</f>
        <v>40</v>
      </c>
      <c r="Z6" s="432">
        <f>AA6-W6-X6-Y6</f>
        <v>40</v>
      </c>
      <c r="AA6" s="177">
        <f>'Wet AMD'!AD38</f>
        <v>135</v>
      </c>
      <c r="AB6" s="432">
        <f>'Wet AMD'!AE38</f>
        <v>45.5625</v>
      </c>
      <c r="AC6" s="432">
        <f>AB6*1.1</f>
        <v>50.118750000000006</v>
      </c>
      <c r="AD6" s="432">
        <f>AC6*1.0325</f>
        <v>51.747609375000003</v>
      </c>
      <c r="AE6" s="432">
        <f>AD6*1.015</f>
        <v>52.523823515624997</v>
      </c>
      <c r="AF6" s="177">
        <f>SUM(AB6:AE6)</f>
        <v>199.952682890625</v>
      </c>
      <c r="AG6" s="900">
        <f>AE6*0.9</f>
        <v>47.271441164062502</v>
      </c>
      <c r="AH6" s="900">
        <f t="shared" ref="AH6:AI6" si="1">($AK$6/$AF$6)*AC6</f>
        <v>107.78506518311693</v>
      </c>
      <c r="AI6" s="900">
        <f t="shared" si="1"/>
        <v>111.28807980156823</v>
      </c>
      <c r="AJ6" s="900">
        <f>AK6-SUM(AG6:AI6)</f>
        <v>163.67238272827183</v>
      </c>
      <c r="AK6" s="177">
        <f>AK8-AK5-AK7</f>
        <v>430.01696887701951</v>
      </c>
      <c r="AL6" s="177"/>
      <c r="AM6" s="177"/>
      <c r="AN6" s="177"/>
      <c r="AO6" s="177"/>
      <c r="AP6" s="1036"/>
      <c r="AQ6" s="1036"/>
      <c r="AR6" s="1036"/>
      <c r="AS6" s="1036"/>
      <c r="AT6" s="1036"/>
      <c r="AU6" s="1036"/>
      <c r="AV6" s="1036"/>
      <c r="AW6" s="1036"/>
      <c r="AX6" s="1036"/>
      <c r="AY6" s="1036"/>
      <c r="AZ6" s="1036"/>
      <c r="BA6" s="1041"/>
      <c r="BB6" s="1041"/>
      <c r="BC6" s="1041"/>
      <c r="BD6" s="1041"/>
      <c r="BE6" s="1038"/>
      <c r="BF6" s="1038"/>
      <c r="BG6" s="1038"/>
      <c r="BH6" s="1038"/>
      <c r="BI6" s="1038"/>
      <c r="BJ6" s="1039"/>
      <c r="BK6" s="1038"/>
      <c r="BL6" s="1038"/>
      <c r="BM6" s="1038"/>
      <c r="BN6" s="1038"/>
      <c r="BO6" s="1040"/>
      <c r="BP6" s="1038"/>
      <c r="BQ6" s="1038"/>
      <c r="BR6" s="1038"/>
      <c r="BS6" s="1038"/>
      <c r="BT6" s="1040"/>
      <c r="BU6" s="1038"/>
      <c r="BV6" s="1038"/>
      <c r="BW6" s="1038"/>
      <c r="BX6" s="1038"/>
      <c r="BY6" s="1038"/>
      <c r="BZ6" s="1038"/>
      <c r="CA6" s="1038"/>
      <c r="CB6" s="1038"/>
      <c r="CC6" s="1038"/>
      <c r="CD6" s="1038"/>
      <c r="CE6" s="1038"/>
      <c r="CF6" s="1038"/>
      <c r="CG6" s="1038"/>
      <c r="CH6" s="1038"/>
      <c r="CI6" s="1038"/>
      <c r="CJ6" s="1038"/>
      <c r="CK6" s="1038"/>
      <c r="CL6" s="1038"/>
      <c r="CM6" s="1038"/>
      <c r="CN6" s="1038"/>
      <c r="CO6" s="1038"/>
      <c r="CP6" s="1038"/>
      <c r="CQ6" s="1038"/>
      <c r="CR6" s="1038"/>
      <c r="CS6" s="1038"/>
      <c r="CT6" s="1038"/>
      <c r="CU6" s="1038"/>
      <c r="CV6" s="1038"/>
      <c r="CW6" s="1038"/>
      <c r="CX6" s="1038"/>
    </row>
    <row r="7" spans="1:103">
      <c r="B7" s="184" t="s">
        <v>199</v>
      </c>
      <c r="C7" s="427"/>
      <c r="D7" s="427"/>
      <c r="E7" s="427"/>
      <c r="F7" s="392">
        <v>0</v>
      </c>
      <c r="G7" s="177">
        <f>F7</f>
        <v>0</v>
      </c>
      <c r="H7" s="440">
        <v>0</v>
      </c>
      <c r="I7" s="440">
        <v>0</v>
      </c>
      <c r="J7" s="440">
        <v>0</v>
      </c>
      <c r="K7" s="440">
        <v>0</v>
      </c>
      <c r="L7" s="177">
        <f>SUM(H7:K7)</f>
        <v>0</v>
      </c>
      <c r="M7" s="440">
        <v>0</v>
      </c>
      <c r="N7" s="440">
        <v>0</v>
      </c>
      <c r="O7" s="440">
        <v>0</v>
      </c>
      <c r="P7" s="440">
        <v>0</v>
      </c>
      <c r="Q7" s="177">
        <f>SUM(M7:P7)</f>
        <v>0</v>
      </c>
      <c r="R7" s="440">
        <v>0</v>
      </c>
      <c r="S7" s="440">
        <v>0</v>
      </c>
      <c r="T7" s="440">
        <v>18</v>
      </c>
      <c r="U7" s="432">
        <f>V7-T7-S7-R7</f>
        <v>58.933169647270063</v>
      </c>
      <c r="V7" s="177">
        <f>DME!M30</f>
        <v>76.933169647270063</v>
      </c>
      <c r="W7" s="432">
        <f>541-W6-W5</f>
        <v>89.515808118568998</v>
      </c>
      <c r="X7" s="432">
        <f>655-X6-X5</f>
        <v>168.66191468686878</v>
      </c>
      <c r="Y7" s="432">
        <f>734-Y6-Y5</f>
        <v>214.84501042121218</v>
      </c>
      <c r="Z7" s="432">
        <f>746-Z6-Z5</f>
        <v>217.26191062963642</v>
      </c>
      <c r="AA7" s="177">
        <f>SUM(W7:Z7)</f>
        <v>690.28464385628638</v>
      </c>
      <c r="AB7" s="432">
        <f>781-AB6-AB5</f>
        <v>236.92464884222915</v>
      </c>
      <c r="AC7" s="432">
        <f>AB7*1.0655</f>
        <v>252.44321334139514</v>
      </c>
      <c r="AD7" s="432">
        <f>AC7*1.03075</f>
        <v>260.20584215164303</v>
      </c>
      <c r="AE7" s="432">
        <f>AD7*1.015</f>
        <v>264.10892978391763</v>
      </c>
      <c r="AF7" s="177">
        <f>SUM(AB7:AE7)</f>
        <v>1013.682634119185</v>
      </c>
      <c r="AG7" s="900">
        <f>AE7*0.975</f>
        <v>257.50620653931969</v>
      </c>
      <c r="AH7" s="900">
        <f t="shared" ref="AH7:AI7" si="2">($AK$7/$AF$7)*AC7</f>
        <v>263.53840542095179</v>
      </c>
      <c r="AI7" s="900">
        <f t="shared" si="2"/>
        <v>271.64221138764606</v>
      </c>
      <c r="AJ7" s="900">
        <f>AK7-SUM(AG7:AI7)</f>
        <v>265.5484187990113</v>
      </c>
      <c r="AK7" s="177">
        <f>DME!P30</f>
        <v>1058.2352421469288</v>
      </c>
      <c r="AL7" s="177">
        <f>$AP$7/4</f>
        <v>0</v>
      </c>
      <c r="AM7" s="177">
        <f>$AP$7/4</f>
        <v>0</v>
      </c>
      <c r="AN7" s="177">
        <f>$AP$7/4</f>
        <v>0</v>
      </c>
      <c r="AO7" s="177">
        <f>$AP$7/4</f>
        <v>0</v>
      </c>
      <c r="AP7" s="1036"/>
      <c r="AQ7" s="1036">
        <f>$AU$7/4</f>
        <v>0</v>
      </c>
      <c r="AR7" s="1036">
        <f>$AU$7/4</f>
        <v>0</v>
      </c>
      <c r="AS7" s="1036">
        <f>$AU$7/4</f>
        <v>0</v>
      </c>
      <c r="AT7" s="1036">
        <f>$AU$7/4</f>
        <v>0</v>
      </c>
      <c r="AU7" s="1036"/>
      <c r="AV7" s="1036">
        <f>$AZ$7/4</f>
        <v>0</v>
      </c>
      <c r="AW7" s="1036">
        <f>$AZ$7/4</f>
        <v>0</v>
      </c>
      <c r="AX7" s="1036">
        <f>$AZ$7/4</f>
        <v>0</v>
      </c>
      <c r="AY7" s="1036">
        <f>$AZ$7/4</f>
        <v>0</v>
      </c>
      <c r="AZ7" s="1036"/>
      <c r="BA7" s="1042"/>
      <c r="BB7" s="1042"/>
      <c r="BC7" s="1042"/>
      <c r="BD7" s="1042"/>
      <c r="BE7" s="1038"/>
      <c r="BF7" s="1038"/>
      <c r="BG7" s="1038"/>
      <c r="BH7" s="1038"/>
      <c r="BI7" s="1038"/>
      <c r="BJ7" s="1039"/>
      <c r="BK7" s="1038"/>
      <c r="BL7" s="1038"/>
      <c r="BM7" s="1038"/>
      <c r="BN7" s="1038"/>
      <c r="BO7" s="1040"/>
      <c r="BP7" s="1038"/>
      <c r="BQ7" s="1038"/>
      <c r="BR7" s="1038"/>
      <c r="BS7" s="1038"/>
      <c r="BT7" s="1040"/>
      <c r="BU7" s="1038"/>
      <c r="BV7" s="1038"/>
      <c r="BW7" s="1038"/>
      <c r="BX7" s="1038"/>
      <c r="BY7" s="1038"/>
      <c r="BZ7" s="1038"/>
      <c r="CA7" s="1038"/>
      <c r="CB7" s="1038"/>
      <c r="CC7" s="1038"/>
      <c r="CD7" s="1038"/>
      <c r="CE7" s="1038"/>
      <c r="CF7" s="1038"/>
      <c r="CG7" s="1038"/>
      <c r="CH7" s="1038"/>
      <c r="CI7" s="1038"/>
      <c r="CJ7" s="1038"/>
      <c r="CK7" s="1038"/>
      <c r="CL7" s="1038"/>
      <c r="CM7" s="1038"/>
      <c r="CN7" s="1038"/>
      <c r="CO7" s="1038"/>
      <c r="CP7" s="1038"/>
      <c r="CQ7" s="1038"/>
      <c r="CR7" s="1038"/>
      <c r="CS7" s="1038"/>
      <c r="CT7" s="1038"/>
      <c r="CU7" s="1038"/>
      <c r="CV7" s="1038"/>
      <c r="CW7" s="1038"/>
      <c r="CX7" s="1038"/>
    </row>
    <row r="8" spans="1:103">
      <c r="B8" s="206" t="s">
        <v>200</v>
      </c>
      <c r="C8" s="505"/>
      <c r="D8" s="505"/>
      <c r="E8" s="505"/>
      <c r="F8" s="506">
        <f t="shared" ref="F8:O8" si="3">F7+F6+F5</f>
        <v>24.799355304004521</v>
      </c>
      <c r="G8" s="507">
        <f t="shared" si="3"/>
        <v>24.799355304004521</v>
      </c>
      <c r="H8" s="508">
        <f t="shared" si="3"/>
        <v>124.4726754685724</v>
      </c>
      <c r="I8" s="508">
        <f t="shared" si="3"/>
        <v>194.12913452507794</v>
      </c>
      <c r="J8" s="508">
        <f t="shared" si="3"/>
        <v>243.80234997411969</v>
      </c>
      <c r="K8" s="508">
        <f t="shared" si="3"/>
        <v>275.59584003222994</v>
      </c>
      <c r="L8" s="507">
        <f t="shared" si="3"/>
        <v>838</v>
      </c>
      <c r="M8" s="509">
        <f t="shared" si="3"/>
        <v>313.7</v>
      </c>
      <c r="N8" s="509">
        <f t="shared" si="3"/>
        <v>329.89299999999997</v>
      </c>
      <c r="O8" s="509">
        <f t="shared" si="3"/>
        <v>363.11799999999999</v>
      </c>
      <c r="P8" s="509">
        <f>Q8-M8-N8-O8</f>
        <v>401.988</v>
      </c>
      <c r="Q8" s="507">
        <f>Q7+Q6+Q5</f>
        <v>1408.6990000000001</v>
      </c>
      <c r="R8" s="509">
        <f>R7+R6+R5</f>
        <v>359</v>
      </c>
      <c r="S8" s="509">
        <f>S7+S6+S5</f>
        <v>414.8</v>
      </c>
      <c r="T8" s="509">
        <f>T7+T6+T5</f>
        <v>445.64400000000001</v>
      </c>
      <c r="U8" s="509">
        <f>V8-R8-S8-T8</f>
        <v>506.83628270832787</v>
      </c>
      <c r="V8" s="507">
        <f t="shared" ref="V8:AB8" si="4">V7+V6+V5</f>
        <v>1726.2802827083278</v>
      </c>
      <c r="W8" s="509">
        <f t="shared" si="4"/>
        <v>541</v>
      </c>
      <c r="X8" s="509">
        <f t="shared" si="4"/>
        <v>655</v>
      </c>
      <c r="Y8" s="509">
        <f t="shared" si="4"/>
        <v>734</v>
      </c>
      <c r="Z8" s="509">
        <f t="shared" si="4"/>
        <v>746</v>
      </c>
      <c r="AA8" s="507">
        <f t="shared" si="4"/>
        <v>2676</v>
      </c>
      <c r="AB8" s="509">
        <f t="shared" si="4"/>
        <v>781</v>
      </c>
      <c r="AC8" s="509">
        <f t="shared" ref="AC8:AE8" si="5">AC7+AC6+AC5</f>
        <v>830.98558556863236</v>
      </c>
      <c r="AD8" s="509">
        <f t="shared" si="5"/>
        <v>853.58766430956121</v>
      </c>
      <c r="AE8" s="509">
        <f t="shared" si="5"/>
        <v>858.26696608246073</v>
      </c>
      <c r="AF8" s="507">
        <f>AF7+AF6+AF5</f>
        <v>3323.8402159606539</v>
      </c>
      <c r="AG8" s="980">
        <v>854.4</v>
      </c>
      <c r="AH8" s="980">
        <v>919.46600000000001</v>
      </c>
      <c r="AI8" s="980">
        <v>953</v>
      </c>
      <c r="AJ8" s="980">
        <v>975</v>
      </c>
      <c r="AK8" s="312">
        <f>SUM(AG8:AJ8)</f>
        <v>3701.866</v>
      </c>
      <c r="AL8" s="510"/>
      <c r="AM8" s="510"/>
      <c r="AN8" s="510"/>
      <c r="AO8" s="510"/>
      <c r="AP8" s="507">
        <f>'Historical Eye Sales'!BK5</f>
        <v>3948.2325990669938</v>
      </c>
      <c r="AQ8" s="510"/>
      <c r="AR8" s="510"/>
      <c r="AS8" s="510"/>
      <c r="AT8" s="510"/>
      <c r="AU8" s="507">
        <f>'Historical Eye Sales'!BL5</f>
        <v>3881.7246444619586</v>
      </c>
      <c r="AV8" s="510"/>
      <c r="AW8" s="510"/>
      <c r="AX8" s="510"/>
      <c r="AY8" s="510"/>
      <c r="AZ8" s="507">
        <f>'Historical Eye Sales'!BM5</f>
        <v>3789.8893730272107</v>
      </c>
      <c r="BA8" s="510"/>
      <c r="BB8" s="510"/>
      <c r="BC8" s="510"/>
      <c r="BD8" s="510"/>
      <c r="BE8" s="507">
        <f>'Historical Eye Sales'!BN5</f>
        <v>3790.1208027266271</v>
      </c>
      <c r="BF8" s="507"/>
      <c r="BG8" s="507"/>
      <c r="BH8" s="507"/>
      <c r="BI8" s="507"/>
      <c r="BJ8" s="507">
        <f>'Historical Eye Sales'!BO5</f>
        <v>3808.8473736544433</v>
      </c>
      <c r="BK8" s="507"/>
      <c r="BL8" s="507"/>
      <c r="BM8" s="507"/>
      <c r="BN8" s="507"/>
      <c r="BO8" s="507">
        <f>'Historical Eye Sales'!BP5</f>
        <v>3756.2333464040989</v>
      </c>
      <c r="BP8" s="507"/>
      <c r="BQ8" s="507"/>
      <c r="BR8" s="507"/>
      <c r="BS8" s="507"/>
      <c r="BT8" s="507">
        <f>'Historical Eye Sales'!BQ5</f>
        <v>3781.3084826025879</v>
      </c>
      <c r="BU8" s="507"/>
      <c r="BV8" s="507"/>
      <c r="BW8" s="507"/>
      <c r="BX8" s="507"/>
      <c r="BY8" s="507">
        <f>'Historical Eye Sales'!BR5</f>
        <v>3793.7733006183239</v>
      </c>
      <c r="BZ8" s="507"/>
      <c r="CA8" s="507"/>
      <c r="CB8" s="507"/>
      <c r="CC8" s="507"/>
      <c r="CD8" s="507">
        <f>'Historical Eye Sales'!BS5</f>
        <v>3501.9729302713736</v>
      </c>
      <c r="CE8" s="507"/>
      <c r="CF8" s="507"/>
      <c r="CG8" s="507"/>
      <c r="CH8" s="507"/>
      <c r="CI8" s="507">
        <f>'Historical Eye Sales'!BT5</f>
        <v>3226.3745929237066</v>
      </c>
      <c r="CJ8" s="507"/>
      <c r="CK8" s="507"/>
      <c r="CL8" s="507"/>
      <c r="CM8" s="507"/>
      <c r="CN8" s="507">
        <f>'Historical Eye Sales'!BU5</f>
        <v>2900.1526360904463</v>
      </c>
      <c r="CO8" s="507"/>
      <c r="CP8" s="507"/>
      <c r="CQ8" s="507"/>
      <c r="CR8" s="507"/>
      <c r="CS8" s="507">
        <f>'Historical Eye Sales'!BV5</f>
        <v>2517.8903922137602</v>
      </c>
      <c r="CT8" s="507"/>
      <c r="CU8" s="507"/>
      <c r="CV8" s="507"/>
      <c r="CW8" s="507"/>
      <c r="CX8" s="507">
        <f>'Historical Eye Sales'!BW5</f>
        <v>2807.7853754296857</v>
      </c>
    </row>
    <row r="9" spans="1:103">
      <c r="C9" s="427"/>
      <c r="D9" s="427"/>
      <c r="E9" s="427"/>
      <c r="F9" s="427"/>
      <c r="H9" s="427"/>
      <c r="I9" s="427"/>
      <c r="J9" s="427"/>
      <c r="K9" s="427"/>
      <c r="L9" s="181"/>
      <c r="M9" s="437"/>
      <c r="N9" s="437"/>
      <c r="O9" s="437"/>
      <c r="P9" s="437"/>
      <c r="Q9" s="181"/>
      <c r="R9" s="437"/>
      <c r="S9" s="437"/>
      <c r="T9" s="437"/>
      <c r="U9" s="437"/>
      <c r="V9" s="181"/>
      <c r="W9" s="437"/>
      <c r="X9" s="437"/>
      <c r="Y9" s="437"/>
      <c r="Z9" s="437"/>
      <c r="AA9" s="181"/>
      <c r="AB9" s="437"/>
      <c r="AC9" s="437"/>
      <c r="AD9" s="437"/>
      <c r="AE9" s="437"/>
      <c r="AF9" s="181"/>
      <c r="AG9" s="901"/>
      <c r="AH9" s="901"/>
      <c r="AI9" s="901"/>
      <c r="AJ9" s="901"/>
      <c r="AK9" s="185"/>
      <c r="AL9" s="181"/>
      <c r="AM9" s="181"/>
      <c r="AN9" s="181"/>
      <c r="AO9" s="181"/>
      <c r="AP9" s="1011"/>
      <c r="AQ9" s="1011"/>
      <c r="AR9" s="1011"/>
      <c r="AS9" s="1011"/>
      <c r="AT9" s="1011"/>
      <c r="AU9" s="1011"/>
      <c r="AV9" s="1011"/>
      <c r="AW9" s="1011"/>
      <c r="AX9" s="1011"/>
      <c r="AY9" s="1011"/>
      <c r="AZ9" s="1034"/>
      <c r="BA9" s="1035"/>
      <c r="BB9" s="1035"/>
      <c r="BC9" s="1035"/>
      <c r="BD9" s="1035"/>
      <c r="BE9" s="1019"/>
      <c r="BF9" s="1019"/>
      <c r="BG9" s="1019"/>
      <c r="BH9" s="1019"/>
      <c r="BI9" s="1019"/>
      <c r="BJ9" s="1019"/>
      <c r="BK9" s="1019"/>
      <c r="BL9" s="1019"/>
      <c r="BM9" s="1019"/>
      <c r="BN9" s="1019"/>
      <c r="BO9" s="1019"/>
      <c r="BP9" s="1019"/>
      <c r="BQ9" s="1019"/>
      <c r="BR9" s="1019"/>
      <c r="BS9" s="1019"/>
      <c r="BT9" s="1019"/>
      <c r="BU9" s="1019"/>
      <c r="BV9" s="1019"/>
      <c r="BW9" s="1019"/>
      <c r="BX9" s="1019"/>
      <c r="BY9" s="1019"/>
      <c r="BZ9" s="1019"/>
      <c r="CA9" s="1019"/>
      <c r="CB9" s="1019"/>
      <c r="CC9" s="1019"/>
      <c r="CD9" s="1019"/>
      <c r="CE9" s="1019"/>
      <c r="CF9" s="1019"/>
      <c r="CG9" s="1019"/>
      <c r="CH9" s="1019"/>
      <c r="CI9" s="1019"/>
      <c r="CJ9" s="1019"/>
      <c r="CK9" s="1019"/>
      <c r="CL9" s="1019"/>
      <c r="CM9" s="1019"/>
      <c r="CN9" s="1019"/>
      <c r="CO9" s="1019"/>
      <c r="CP9" s="1019"/>
      <c r="CQ9" s="1019"/>
      <c r="CR9" s="1019"/>
      <c r="CS9" s="1019"/>
      <c r="CT9" s="1019"/>
      <c r="CU9" s="1019"/>
      <c r="CV9" s="1019"/>
      <c r="CW9" s="1019"/>
      <c r="CX9" s="1019"/>
    </row>
    <row r="10" spans="1:103">
      <c r="B10" s="176" t="s">
        <v>647</v>
      </c>
      <c r="C10" s="427"/>
      <c r="D10" s="427"/>
      <c r="E10" s="427"/>
      <c r="F10" s="427"/>
      <c r="H10" s="427"/>
      <c r="I10" s="427"/>
      <c r="J10" s="427"/>
      <c r="K10" s="427"/>
      <c r="M10" s="511">
        <f t="shared" ref="M10:V10" si="6">M11/M8</f>
        <v>8.6509403889065986E-2</v>
      </c>
      <c r="N10" s="511">
        <f t="shared" si="6"/>
        <v>8.059279827095453E-2</v>
      </c>
      <c r="O10" s="511">
        <f t="shared" si="6"/>
        <v>7.5898192873941797E-2</v>
      </c>
      <c r="P10" s="511">
        <f t="shared" si="6"/>
        <v>8.3291043513736729E-2</v>
      </c>
      <c r="Q10" s="185">
        <f t="shared" si="6"/>
        <v>8.147020761709918E-2</v>
      </c>
      <c r="R10" s="511">
        <f t="shared" si="6"/>
        <v>7.4328690807799441E-2</v>
      </c>
      <c r="S10" s="511">
        <f t="shared" si="6"/>
        <v>7.0294117647058826E-2</v>
      </c>
      <c r="T10" s="511">
        <f t="shared" si="6"/>
        <v>7.282494547217061E-2</v>
      </c>
      <c r="U10" s="511">
        <f t="shared" si="6"/>
        <v>7.2790763523989929E-2</v>
      </c>
      <c r="V10" s="772">
        <f t="shared" si="6"/>
        <v>7.2519509869853449E-2</v>
      </c>
      <c r="W10" s="598">
        <f>AA10</f>
        <v>7.2519509869853449E-2</v>
      </c>
      <c r="X10" s="598">
        <f>W10</f>
        <v>7.2519509869853449E-2</v>
      </c>
      <c r="Y10" s="598">
        <f>X10</f>
        <v>7.2519509869853449E-2</v>
      </c>
      <c r="Z10" s="598">
        <f>Y10</f>
        <v>7.2519509869853449E-2</v>
      </c>
      <c r="AA10" s="189">
        <f>V10</f>
        <v>7.2519509869853449E-2</v>
      </c>
      <c r="AB10" s="541">
        <f t="shared" ref="AB10:AH10" si="7">AB11/AB8</f>
        <v>9.5546017925736221E-2</v>
      </c>
      <c r="AC10" s="541">
        <f t="shared" si="7"/>
        <v>4.3728171259595001E-2</v>
      </c>
      <c r="AD10" s="541">
        <f t="shared" si="7"/>
        <v>3.2982622848436415E-2</v>
      </c>
      <c r="AE10" s="541">
        <f t="shared" si="7"/>
        <v>4.5059779215927943E-2</v>
      </c>
      <c r="AF10" s="818">
        <f t="shared" si="7"/>
        <v>5.3488070559558003E-2</v>
      </c>
      <c r="AG10" s="910">
        <f t="shared" si="7"/>
        <v>6.3777387640449434E-2</v>
      </c>
      <c r="AH10" s="910">
        <f t="shared" si="7"/>
        <v>3.7780233309333902E-2</v>
      </c>
      <c r="AI10" s="910">
        <f t="shared" ref="AI10:AJ10" si="8">AH10</f>
        <v>3.7780233309333902E-2</v>
      </c>
      <c r="AJ10" s="910">
        <f t="shared" si="8"/>
        <v>3.7780233309333902E-2</v>
      </c>
      <c r="AK10" s="187">
        <f>AK11/AK8</f>
        <v>4.7044566172843638E-2</v>
      </c>
      <c r="AP10" s="189">
        <f>AK10</f>
        <v>4.7044566172843638E-2</v>
      </c>
      <c r="AU10" s="189">
        <f>AP10</f>
        <v>4.7044566172843638E-2</v>
      </c>
      <c r="AZ10" s="189">
        <f>AU10</f>
        <v>4.7044566172843638E-2</v>
      </c>
      <c r="BE10" s="189">
        <f t="shared" ref="BE10:CX10" si="9">AZ10</f>
        <v>4.7044566172843638E-2</v>
      </c>
      <c r="BF10" s="189">
        <f t="shared" si="9"/>
        <v>0</v>
      </c>
      <c r="BG10" s="189">
        <f t="shared" si="9"/>
        <v>0</v>
      </c>
      <c r="BH10" s="189">
        <f t="shared" si="9"/>
        <v>0</v>
      </c>
      <c r="BI10" s="189">
        <f t="shared" si="9"/>
        <v>0</v>
      </c>
      <c r="BJ10" s="189">
        <f t="shared" si="9"/>
        <v>4.7044566172843638E-2</v>
      </c>
      <c r="BK10" s="189">
        <f t="shared" si="9"/>
        <v>0</v>
      </c>
      <c r="BL10" s="189">
        <f t="shared" si="9"/>
        <v>0</v>
      </c>
      <c r="BM10" s="189">
        <f t="shared" si="9"/>
        <v>0</v>
      </c>
      <c r="BN10" s="189">
        <f t="shared" si="9"/>
        <v>0</v>
      </c>
      <c r="BO10" s="189">
        <f t="shared" si="9"/>
        <v>4.7044566172843638E-2</v>
      </c>
      <c r="BP10" s="189">
        <f t="shared" si="9"/>
        <v>0</v>
      </c>
      <c r="BQ10" s="189">
        <f t="shared" si="9"/>
        <v>0</v>
      </c>
      <c r="BR10" s="189">
        <f t="shared" si="9"/>
        <v>0</v>
      </c>
      <c r="BS10" s="189">
        <f t="shared" si="9"/>
        <v>0</v>
      </c>
      <c r="BT10" s="189">
        <f t="shared" si="9"/>
        <v>4.7044566172843638E-2</v>
      </c>
      <c r="BU10" s="189">
        <f t="shared" si="9"/>
        <v>0</v>
      </c>
      <c r="BV10" s="189">
        <f t="shared" si="9"/>
        <v>0</v>
      </c>
      <c r="BW10" s="189">
        <f t="shared" si="9"/>
        <v>0</v>
      </c>
      <c r="BX10" s="189">
        <f t="shared" si="9"/>
        <v>0</v>
      </c>
      <c r="BY10" s="189">
        <f t="shared" si="9"/>
        <v>4.7044566172843638E-2</v>
      </c>
      <c r="BZ10" s="189">
        <f t="shared" si="9"/>
        <v>0</v>
      </c>
      <c r="CA10" s="189">
        <f t="shared" si="9"/>
        <v>0</v>
      </c>
      <c r="CB10" s="189">
        <f t="shared" si="9"/>
        <v>0</v>
      </c>
      <c r="CC10" s="189">
        <f t="shared" si="9"/>
        <v>0</v>
      </c>
      <c r="CD10" s="189">
        <f t="shared" si="9"/>
        <v>4.7044566172843638E-2</v>
      </c>
      <c r="CE10" s="189">
        <f t="shared" si="9"/>
        <v>0</v>
      </c>
      <c r="CF10" s="189">
        <f t="shared" si="9"/>
        <v>0</v>
      </c>
      <c r="CG10" s="189">
        <f t="shared" si="9"/>
        <v>0</v>
      </c>
      <c r="CH10" s="189">
        <f t="shared" si="9"/>
        <v>0</v>
      </c>
      <c r="CI10" s="189">
        <f t="shared" si="9"/>
        <v>4.7044566172843638E-2</v>
      </c>
      <c r="CJ10" s="189">
        <f t="shared" si="9"/>
        <v>0</v>
      </c>
      <c r="CK10" s="189">
        <f t="shared" si="9"/>
        <v>0</v>
      </c>
      <c r="CL10" s="189">
        <f t="shared" si="9"/>
        <v>0</v>
      </c>
      <c r="CM10" s="189">
        <f t="shared" si="9"/>
        <v>0</v>
      </c>
      <c r="CN10" s="189">
        <f t="shared" si="9"/>
        <v>4.7044566172843638E-2</v>
      </c>
      <c r="CO10" s="189">
        <f t="shared" si="9"/>
        <v>0</v>
      </c>
      <c r="CP10" s="189">
        <f t="shared" si="9"/>
        <v>0</v>
      </c>
      <c r="CQ10" s="189">
        <f t="shared" si="9"/>
        <v>0</v>
      </c>
      <c r="CR10" s="189">
        <f t="shared" si="9"/>
        <v>0</v>
      </c>
      <c r="CS10" s="189">
        <f t="shared" si="9"/>
        <v>4.7044566172843638E-2</v>
      </c>
      <c r="CT10" s="189">
        <f t="shared" si="9"/>
        <v>0</v>
      </c>
      <c r="CU10" s="189">
        <f t="shared" si="9"/>
        <v>0</v>
      </c>
      <c r="CV10" s="189">
        <f t="shared" si="9"/>
        <v>0</v>
      </c>
      <c r="CW10" s="189">
        <f t="shared" si="9"/>
        <v>0</v>
      </c>
      <c r="CX10" s="189">
        <f t="shared" si="9"/>
        <v>4.7044566172843638E-2</v>
      </c>
    </row>
    <row r="11" spans="1:103">
      <c r="B11" s="176" t="s">
        <v>6</v>
      </c>
      <c r="C11" s="427"/>
      <c r="D11" s="427"/>
      <c r="E11" s="427"/>
      <c r="F11" s="427"/>
      <c r="H11" s="392">
        <f>IS!R13-REVS!R6*0.08</f>
        <v>11.866999999999999</v>
      </c>
      <c r="I11" s="392">
        <f>IS!S13-REVS!S6*0.08</f>
        <v>20.971999999999998</v>
      </c>
      <c r="J11" s="392">
        <f>IS!T13-REVS!T6*0.08</f>
        <v>19.595000000000002</v>
      </c>
      <c r="K11" s="392">
        <f>IS!U13-REVS!U6*0.08</f>
        <v>29.347000000000001</v>
      </c>
      <c r="L11" s="179"/>
      <c r="M11" s="392">
        <f>IS!W13-REVS!W6*0.08</f>
        <v>27.137999999999998</v>
      </c>
      <c r="N11" s="392">
        <f>IS!X13-REVS!X6*0.08</f>
        <v>26.587</v>
      </c>
      <c r="O11" s="392">
        <f>IS!Y13-REVS!Y6*0.08</f>
        <v>27.56</v>
      </c>
      <c r="P11" s="392">
        <f>IS!Z13-REVS!Z6*0.08</f>
        <v>33.481999999999999</v>
      </c>
      <c r="Q11" s="179">
        <f>SUM(M11:P11)</f>
        <v>114.767</v>
      </c>
      <c r="R11" s="392">
        <f>IS!AB13-REVS!AB6*0.08</f>
        <v>26.684000000000001</v>
      </c>
      <c r="S11" s="392">
        <f>IS!AC13-REVS!AC6*0.08</f>
        <v>29.158000000000001</v>
      </c>
      <c r="T11" s="392">
        <f>IS!AD13-REVS!AD6*0.08</f>
        <v>32.454000000000001</v>
      </c>
      <c r="U11" s="392">
        <f>IS!AE13-REVS!AE6*0.08</f>
        <v>36.893000000000001</v>
      </c>
      <c r="V11" s="179">
        <f>SUM(R11:U11)</f>
        <v>125.18899999999999</v>
      </c>
      <c r="W11" s="392">
        <f>IS!AG13-REVS!AG6*0.08</f>
        <v>40.202159999999999</v>
      </c>
      <c r="X11" s="392">
        <f>IS!AH13-REVS!AH6*0.08</f>
        <v>58.576480000000004</v>
      </c>
      <c r="Y11" s="392">
        <f>IS!AI13-REVS!AI6*0.08</f>
        <v>64.343040000000002</v>
      </c>
      <c r="Z11" s="392">
        <f>IS!AJ13-REVS!AJ6*0.08</f>
        <v>67.187080000000009</v>
      </c>
      <c r="AA11" s="179">
        <f>AA8*AA10</f>
        <v>194.06220841172782</v>
      </c>
      <c r="AB11" s="392">
        <f>IS!AL13-REVS!AL6*0.08</f>
        <v>74.621439999999993</v>
      </c>
      <c r="AC11" s="392">
        <f>IS!AM13-REVS!AM6*0.08</f>
        <v>36.337479999999992</v>
      </c>
      <c r="AD11" s="392">
        <f>IS!AN13-REVS!AN6*0.08</f>
        <v>28.153560000000006</v>
      </c>
      <c r="AE11" s="392">
        <f>IS!AO13-REVS!AO6*0.08</f>
        <v>38.673319999999997</v>
      </c>
      <c r="AF11" s="183">
        <f>SUM(AB11:AE11)</f>
        <v>177.78579999999997</v>
      </c>
      <c r="AG11" s="392">
        <f>IS!AQ13-REVS!AQ6*0.08</f>
        <v>54.491399999999999</v>
      </c>
      <c r="AH11" s="975">
        <f>IS!AR13-REVS!AR6*0.08</f>
        <v>34.737640000000006</v>
      </c>
      <c r="AI11" s="975">
        <f>IS!AS13-REVS!AS6*0.08</f>
        <v>38.736640000000001</v>
      </c>
      <c r="AJ11" s="975">
        <f>IS!AT13-REVS!AT6*0.08</f>
        <v>46.186999999999998</v>
      </c>
      <c r="AK11" s="183">
        <f>SUM(AG11:AJ11)</f>
        <v>174.15267999999998</v>
      </c>
      <c r="AL11" s="179"/>
      <c r="AM11" s="179"/>
      <c r="AN11" s="179"/>
      <c r="AO11" s="179"/>
      <c r="AP11" s="179">
        <f>AP8*AP10</f>
        <v>185.74288977258561</v>
      </c>
      <c r="AQ11" s="179"/>
      <c r="AR11" s="179"/>
      <c r="AS11" s="179"/>
      <c r="AT11" s="179"/>
      <c r="AU11" s="179">
        <f>AU8*AU10</f>
        <v>182.61405190114857</v>
      </c>
      <c r="AV11" s="179"/>
      <c r="AW11" s="179"/>
      <c r="AX11" s="179"/>
      <c r="AY11" s="179"/>
      <c r="AZ11" s="179">
        <f>AZ8*AZ10</f>
        <v>178.29370139713549</v>
      </c>
      <c r="BA11" s="179"/>
      <c r="BB11" s="179"/>
      <c r="BC11" s="179"/>
      <c r="BD11" s="179"/>
      <c r="BE11" s="179">
        <f t="shared" ref="BE11:CX11" si="10">BE8*BE10</f>
        <v>178.30458890694405</v>
      </c>
      <c r="BF11" s="179">
        <f t="shared" si="10"/>
        <v>0</v>
      </c>
      <c r="BG11" s="179">
        <f t="shared" si="10"/>
        <v>0</v>
      </c>
      <c r="BH11" s="179">
        <f t="shared" si="10"/>
        <v>0</v>
      </c>
      <c r="BI11" s="179">
        <f t="shared" si="10"/>
        <v>0</v>
      </c>
      <c r="BJ11" s="179">
        <f t="shared" si="10"/>
        <v>179.18557231214817</v>
      </c>
      <c r="BK11" s="179">
        <f t="shared" si="10"/>
        <v>0</v>
      </c>
      <c r="BL11" s="179">
        <f t="shared" si="10"/>
        <v>0</v>
      </c>
      <c r="BM11" s="179">
        <f t="shared" si="10"/>
        <v>0</v>
      </c>
      <c r="BN11" s="179">
        <f t="shared" si="10"/>
        <v>0</v>
      </c>
      <c r="BO11" s="179">
        <f t="shared" si="10"/>
        <v>176.71036822554953</v>
      </c>
      <c r="BP11" s="179">
        <f t="shared" si="10"/>
        <v>0</v>
      </c>
      <c r="BQ11" s="179">
        <f t="shared" si="10"/>
        <v>0</v>
      </c>
      <c r="BR11" s="179">
        <f t="shared" si="10"/>
        <v>0</v>
      </c>
      <c r="BS11" s="179">
        <f t="shared" si="10"/>
        <v>0</v>
      </c>
      <c r="BT11" s="179">
        <f t="shared" si="10"/>
        <v>177.8900171297324</v>
      </c>
      <c r="BU11" s="179">
        <f t="shared" si="10"/>
        <v>0</v>
      </c>
      <c r="BV11" s="179">
        <f t="shared" si="10"/>
        <v>0</v>
      </c>
      <c r="BW11" s="179">
        <f t="shared" si="10"/>
        <v>0</v>
      </c>
      <c r="BX11" s="179">
        <f t="shared" si="10"/>
        <v>0</v>
      </c>
      <c r="BY11" s="179">
        <f t="shared" si="10"/>
        <v>178.47641908570617</v>
      </c>
      <c r="BZ11" s="179">
        <f t="shared" si="10"/>
        <v>0</v>
      </c>
      <c r="CA11" s="179">
        <f t="shared" si="10"/>
        <v>0</v>
      </c>
      <c r="CB11" s="179">
        <f t="shared" si="10"/>
        <v>0</v>
      </c>
      <c r="CC11" s="179">
        <f t="shared" si="10"/>
        <v>0</v>
      </c>
      <c r="CD11" s="179">
        <f t="shared" si="10"/>
        <v>164.74879725365878</v>
      </c>
      <c r="CE11" s="179">
        <f t="shared" si="10"/>
        <v>0</v>
      </c>
      <c r="CF11" s="179">
        <f t="shared" si="10"/>
        <v>0</v>
      </c>
      <c r="CG11" s="179">
        <f t="shared" si="10"/>
        <v>0</v>
      </c>
      <c r="CH11" s="179">
        <f t="shared" si="10"/>
        <v>0</v>
      </c>
      <c r="CI11" s="179">
        <f t="shared" si="10"/>
        <v>151.78339303518078</v>
      </c>
      <c r="CJ11" s="179">
        <f t="shared" si="10"/>
        <v>0</v>
      </c>
      <c r="CK11" s="179">
        <f t="shared" si="10"/>
        <v>0</v>
      </c>
      <c r="CL11" s="179">
        <f t="shared" si="10"/>
        <v>0</v>
      </c>
      <c r="CM11" s="179">
        <f t="shared" si="10"/>
        <v>0</v>
      </c>
      <c r="CN11" s="179">
        <f t="shared" si="10"/>
        <v>136.43642259990392</v>
      </c>
      <c r="CO11" s="179">
        <f t="shared" si="10"/>
        <v>0</v>
      </c>
      <c r="CP11" s="179">
        <f t="shared" si="10"/>
        <v>0</v>
      </c>
      <c r="CQ11" s="179">
        <f t="shared" si="10"/>
        <v>0</v>
      </c>
      <c r="CR11" s="179">
        <f t="shared" si="10"/>
        <v>0</v>
      </c>
      <c r="CS11" s="179">
        <f t="shared" si="10"/>
        <v>118.45306117246746</v>
      </c>
      <c r="CT11" s="179">
        <f t="shared" si="10"/>
        <v>0</v>
      </c>
      <c r="CU11" s="179">
        <f t="shared" si="10"/>
        <v>0</v>
      </c>
      <c r="CV11" s="179">
        <f t="shared" si="10"/>
        <v>0</v>
      </c>
      <c r="CW11" s="179">
        <f t="shared" si="10"/>
        <v>0</v>
      </c>
      <c r="CX11" s="179">
        <f t="shared" si="10"/>
        <v>132.09104489354448</v>
      </c>
    </row>
    <row r="12" spans="1:103">
      <c r="C12" s="427"/>
      <c r="D12" s="427"/>
      <c r="E12" s="427"/>
      <c r="F12" s="427"/>
      <c r="H12" s="427"/>
      <c r="I12" s="427"/>
      <c r="J12" s="427"/>
      <c r="K12" s="427"/>
      <c r="M12" s="427"/>
      <c r="N12" s="427"/>
      <c r="O12" s="427"/>
      <c r="P12" s="427"/>
      <c r="R12" s="427"/>
      <c r="S12" s="427"/>
      <c r="T12" s="427"/>
      <c r="U12" s="427"/>
      <c r="W12" s="427"/>
      <c r="X12" s="427"/>
      <c r="Y12" s="427"/>
      <c r="Z12" s="427"/>
      <c r="AB12" s="427"/>
      <c r="AC12" s="513"/>
      <c r="AD12" s="427"/>
      <c r="AE12" s="427"/>
      <c r="AG12" s="899"/>
      <c r="AH12" s="899"/>
      <c r="AI12" s="899"/>
      <c r="AJ12" s="899"/>
    </row>
    <row r="13" spans="1:103">
      <c r="B13" s="176" t="s">
        <v>2</v>
      </c>
      <c r="C13" s="427"/>
      <c r="D13" s="427"/>
      <c r="E13" s="427"/>
      <c r="F13" s="427"/>
      <c r="H13" s="513">
        <f>IS!R19</f>
        <v>21</v>
      </c>
      <c r="I13" s="513">
        <f>IS!S19</f>
        <v>23</v>
      </c>
      <c r="J13" s="513">
        <f>IS!T19</f>
        <v>25</v>
      </c>
      <c r="K13" s="513">
        <f>IS!U19</f>
        <v>29.006</v>
      </c>
      <c r="L13" s="178">
        <f>IS!V19</f>
        <v>98.006</v>
      </c>
      <c r="M13" s="513">
        <f>IS!W19</f>
        <v>31.473000000000006</v>
      </c>
      <c r="N13" s="513">
        <f>IS!X19</f>
        <v>35.918999999999997</v>
      </c>
      <c r="O13" s="513">
        <f>IS!Y19</f>
        <v>60.192999999999998</v>
      </c>
      <c r="P13" s="513">
        <f>IS!Z19</f>
        <v>41.012999999999991</v>
      </c>
      <c r="Q13" s="178">
        <f>IS!AA19</f>
        <v>168.59799999999996</v>
      </c>
      <c r="R13" s="513">
        <f>IS!AB19</f>
        <v>46.262999999999991</v>
      </c>
      <c r="S13" s="513">
        <f>IS!AC19</f>
        <v>51.247</v>
      </c>
      <c r="T13" s="513">
        <f>IS!AD19</f>
        <v>57.22999999999999</v>
      </c>
      <c r="U13" s="513">
        <f>IS!AE19</f>
        <v>89.211999999999989</v>
      </c>
      <c r="V13" s="178">
        <f>IS!AF19</f>
        <v>243.95199999999997</v>
      </c>
      <c r="W13" s="513">
        <f>IS!AG19</f>
        <v>73.358000000000018</v>
      </c>
      <c r="X13" s="513">
        <f>IS!AH19</f>
        <v>70.082999999999998</v>
      </c>
      <c r="Y13" s="513">
        <f>IS!AI19</f>
        <v>70.170999999999992</v>
      </c>
      <c r="Z13" s="513">
        <f>IS!AJ19</f>
        <v>79.537000000000035</v>
      </c>
      <c r="AA13" s="178">
        <f>IS!AK19</f>
        <v>293.14900000000006</v>
      </c>
      <c r="AB13" s="513">
        <f>IS!AL19</f>
        <v>96.321000000000026</v>
      </c>
      <c r="AC13" s="513">
        <f>IS!AM19</f>
        <v>98.423000000000002</v>
      </c>
      <c r="AD13" s="513">
        <f>IS!AN19</f>
        <v>94.973000000000013</v>
      </c>
      <c r="AE13" s="513">
        <f>IS!AO19</f>
        <v>94.647999999999996</v>
      </c>
      <c r="AF13" s="178">
        <f>IS!AP19</f>
        <v>384.36500000000001</v>
      </c>
      <c r="AG13" s="906">
        <f>IS!AQ19</f>
        <v>99.474999999999994</v>
      </c>
      <c r="AH13" s="906">
        <f>IS!AR19</f>
        <v>100.09600000000006</v>
      </c>
      <c r="AI13" s="906">
        <f>IS!AS19</f>
        <v>88.755000000000052</v>
      </c>
      <c r="AJ13" s="906">
        <f>IS!AT19</f>
        <v>115.25724999999989</v>
      </c>
      <c r="AK13" s="178">
        <f>IS!AU19</f>
        <v>403.58325000000002</v>
      </c>
      <c r="AP13" s="178">
        <f>IS!AZ19</f>
        <v>461.65491500000002</v>
      </c>
      <c r="AU13" s="178">
        <f>IS!BE19</f>
        <v>468.57973872499997</v>
      </c>
      <c r="AZ13" s="178">
        <f>IS!BJ19</f>
        <v>475.60843480587494</v>
      </c>
      <c r="BE13" s="178">
        <f>IS!BO19</f>
        <v>482.74256132796302</v>
      </c>
      <c r="BF13" s="178"/>
      <c r="BG13" s="178"/>
      <c r="BH13" s="178"/>
      <c r="BI13" s="178"/>
      <c r="BJ13" s="178">
        <f>IS!BT19</f>
        <v>482.74256132796302</v>
      </c>
      <c r="BK13" s="178"/>
      <c r="BL13" s="178"/>
      <c r="BM13" s="178"/>
      <c r="BN13" s="178"/>
      <c r="BO13" s="178">
        <f>IS!BY19</f>
        <v>482.74256132796302</v>
      </c>
      <c r="BP13" s="178"/>
      <c r="BQ13" s="178"/>
      <c r="BR13" s="178"/>
      <c r="BS13" s="178"/>
      <c r="BT13" s="178">
        <f>IS!CD19</f>
        <v>477.9151357146834</v>
      </c>
      <c r="BU13" s="178"/>
      <c r="BV13" s="178"/>
      <c r="BW13" s="178"/>
      <c r="BX13" s="178"/>
      <c r="BY13" s="178">
        <f>IS!CI19</f>
        <v>465.96725732181631</v>
      </c>
      <c r="BZ13" s="178"/>
      <c r="CA13" s="178"/>
      <c r="CB13" s="178"/>
      <c r="CC13" s="178"/>
      <c r="CD13" s="178">
        <f>IS!CN19</f>
        <v>454.31807588877086</v>
      </c>
      <c r="CE13" s="178"/>
      <c r="CF13" s="178"/>
      <c r="CG13" s="178"/>
      <c r="CH13" s="178"/>
      <c r="CI13" s="178">
        <f>IS!CS19</f>
        <v>442.9601239915516</v>
      </c>
      <c r="CJ13" s="178"/>
      <c r="CK13" s="178"/>
      <c r="CL13" s="178"/>
      <c r="CM13" s="178"/>
      <c r="CN13" s="178">
        <f>IS!CX19</f>
        <v>431.8861208917628</v>
      </c>
      <c r="CO13" s="178"/>
      <c r="CP13" s="178"/>
      <c r="CQ13" s="178"/>
      <c r="CR13" s="178"/>
      <c r="CS13" s="178">
        <f>IS!DC19</f>
        <v>421.08896786946872</v>
      </c>
      <c r="CT13" s="178"/>
      <c r="CU13" s="178"/>
      <c r="CV13" s="178"/>
      <c r="CW13" s="178"/>
      <c r="CX13" s="178">
        <f>IS!DH19</f>
        <v>410.56174367273201</v>
      </c>
    </row>
    <row r="14" spans="1:103">
      <c r="B14" s="176" t="s">
        <v>4</v>
      </c>
      <c r="C14" s="427"/>
      <c r="D14" s="427"/>
      <c r="E14" s="427"/>
      <c r="F14" s="427"/>
      <c r="H14" s="513">
        <f>L14/4</f>
        <v>31.724999999999998</v>
      </c>
      <c r="I14" s="513">
        <f>H14</f>
        <v>31.724999999999998</v>
      </c>
      <c r="J14" s="513">
        <f>I14</f>
        <v>31.724999999999998</v>
      </c>
      <c r="K14" s="513">
        <f>L14-H14-I14-J14</f>
        <v>31.725000000000005</v>
      </c>
      <c r="L14" s="514">
        <f>IS!V23*0.75</f>
        <v>126.89999999999999</v>
      </c>
      <c r="M14" s="513">
        <f>Q14/4</f>
        <v>46.099724999999978</v>
      </c>
      <c r="N14" s="513">
        <f>M14</f>
        <v>46.099724999999978</v>
      </c>
      <c r="O14" s="513">
        <f>N14</f>
        <v>46.099724999999978</v>
      </c>
      <c r="P14" s="513">
        <f>Q14-M14-N14-O14</f>
        <v>46.099724999999978</v>
      </c>
      <c r="Q14" s="514">
        <f>IS!AA23*0.7</f>
        <v>184.39889999999991</v>
      </c>
      <c r="R14" s="513">
        <f>V14/4</f>
        <v>82.853062500000007</v>
      </c>
      <c r="S14" s="513">
        <f>R14</f>
        <v>82.853062500000007</v>
      </c>
      <c r="T14" s="513">
        <f>S14</f>
        <v>82.853062500000007</v>
      </c>
      <c r="U14" s="513">
        <f>T14</f>
        <v>82.853062500000007</v>
      </c>
      <c r="V14" s="514">
        <f>IS!AF23*0.65</f>
        <v>331.41225000000003</v>
      </c>
      <c r="W14" s="513">
        <f>IS!AG23*0.5</f>
        <v>54.753999999999991</v>
      </c>
      <c r="X14" s="513">
        <f>IS!AH23*0.5</f>
        <v>55.189499999999981</v>
      </c>
      <c r="Y14" s="513">
        <f>IS!AI23*0.5</f>
        <v>67.650499999999965</v>
      </c>
      <c r="Z14" s="513">
        <f>IS!AJ23*0.5</f>
        <v>107.31699999999999</v>
      </c>
      <c r="AA14" s="514">
        <f>IS!AK23*0.5</f>
        <v>284.91099999999994</v>
      </c>
      <c r="AB14" s="513">
        <f>IS!AL23*0.5</f>
        <v>82.246999999999986</v>
      </c>
      <c r="AC14" s="513">
        <f>IS!AM23*0.5</f>
        <v>110.98549999999997</v>
      </c>
      <c r="AD14" s="513">
        <f>IS!AN23*0.5</f>
        <v>130.10400000000001</v>
      </c>
      <c r="AE14" s="513">
        <f>IS!AO23*0.5</f>
        <v>130.91999999999999</v>
      </c>
      <c r="AF14" s="514">
        <f>IS!AP23*0.5</f>
        <v>454.25649999999996</v>
      </c>
      <c r="AG14" s="906">
        <f>IS!AQ23*0.3</f>
        <v>57.461700000000015</v>
      </c>
      <c r="AH14" s="906">
        <f>IS!AR23*0.3</f>
        <v>59.092499999999994</v>
      </c>
      <c r="AI14" s="906">
        <f>IS!AS23*0.3</f>
        <v>68.256900000000016</v>
      </c>
      <c r="AJ14" s="906">
        <f>IS!AT23*0.3</f>
        <v>80.288099999999986</v>
      </c>
      <c r="AK14" s="514">
        <f>IS!AU23*0.3</f>
        <v>265.0992</v>
      </c>
      <c r="AP14" s="514">
        <f>IS!AZ23*0.15</f>
        <v>192</v>
      </c>
      <c r="AU14" s="178">
        <f>AP14*0.95</f>
        <v>182.39999999999998</v>
      </c>
      <c r="AZ14" s="178">
        <f>AU14*0.95</f>
        <v>173.27999999999997</v>
      </c>
      <c r="BE14" s="178">
        <f>AZ14*0.95</f>
        <v>164.61599999999996</v>
      </c>
      <c r="BF14" s="178"/>
      <c r="BG14" s="178"/>
      <c r="BH14" s="178"/>
      <c r="BI14" s="178"/>
      <c r="BJ14" s="178">
        <f>BE14*0.95</f>
        <v>156.38519999999994</v>
      </c>
      <c r="BK14" s="178"/>
      <c r="BL14" s="178"/>
      <c r="BM14" s="178"/>
      <c r="BN14" s="178"/>
      <c r="BO14" s="178">
        <f>BJ14*0.95</f>
        <v>148.56593999999993</v>
      </c>
      <c r="BP14" s="178"/>
      <c r="BQ14" s="178"/>
      <c r="BR14" s="178"/>
      <c r="BS14" s="178"/>
      <c r="BT14" s="178">
        <f>BO14*0.95</f>
        <v>141.13764299999991</v>
      </c>
      <c r="BU14" s="178"/>
      <c r="BV14" s="178"/>
      <c r="BW14" s="178"/>
      <c r="BX14" s="178"/>
      <c r="BY14" s="178">
        <f>BT14*0.95</f>
        <v>134.0807608499999</v>
      </c>
      <c r="BZ14" s="178"/>
      <c r="CA14" s="178"/>
      <c r="CB14" s="178"/>
      <c r="CC14" s="178"/>
      <c r="CD14" s="178">
        <f>BY14*0.95</f>
        <v>127.3767228074999</v>
      </c>
      <c r="CE14" s="178"/>
      <c r="CF14" s="178"/>
      <c r="CG14" s="178"/>
      <c r="CH14" s="178"/>
      <c r="CI14" s="178">
        <f>CD14*0.99</f>
        <v>126.1029555794249</v>
      </c>
      <c r="CJ14" s="178"/>
      <c r="CK14" s="178"/>
      <c r="CL14" s="178"/>
      <c r="CM14" s="178"/>
      <c r="CN14" s="178">
        <f>CI14*0.99</f>
        <v>124.84192602363065</v>
      </c>
      <c r="CO14" s="178"/>
      <c r="CP14" s="178"/>
      <c r="CQ14" s="178"/>
      <c r="CR14" s="178"/>
      <c r="CS14" s="178">
        <f>CN14*0.99</f>
        <v>123.59350676339434</v>
      </c>
      <c r="CT14" s="178"/>
      <c r="CU14" s="178"/>
      <c r="CV14" s="178"/>
      <c r="CW14" s="178"/>
      <c r="CX14" s="178">
        <f>CS14*0.99</f>
        <v>122.3575716957604</v>
      </c>
    </row>
    <row r="15" spans="1:103">
      <c r="C15" s="427"/>
      <c r="D15" s="427"/>
      <c r="E15" s="427"/>
      <c r="F15" s="427"/>
      <c r="H15" s="427"/>
      <c r="I15" s="427"/>
      <c r="J15" s="427"/>
      <c r="K15" s="427"/>
      <c r="L15" s="185"/>
      <c r="M15" s="427"/>
      <c r="N15" s="427"/>
      <c r="O15" s="427"/>
      <c r="P15" s="427"/>
      <c r="R15" s="427"/>
      <c r="S15" s="427"/>
      <c r="T15" s="427"/>
      <c r="U15" s="427"/>
      <c r="W15" s="427"/>
      <c r="X15" s="427"/>
      <c r="Y15" s="427"/>
      <c r="Z15" s="427"/>
      <c r="AB15" s="427"/>
      <c r="AC15" s="427"/>
      <c r="AD15" s="427"/>
      <c r="AE15" s="427"/>
      <c r="AG15" s="899"/>
      <c r="AH15" s="899"/>
      <c r="AI15" s="899"/>
      <c r="AJ15" s="899"/>
    </row>
    <row r="16" spans="1:103">
      <c r="B16" s="176" t="s">
        <v>8</v>
      </c>
      <c r="C16" s="427"/>
      <c r="D16" s="427"/>
      <c r="E16" s="427"/>
      <c r="F16" s="427"/>
      <c r="H16" s="432">
        <f>H8-H13-H14</f>
        <v>71.74767546857241</v>
      </c>
      <c r="I16" s="432">
        <f>I8-I13-I14</f>
        <v>139.40413452507795</v>
      </c>
      <c r="J16" s="432">
        <f>J8-J13-J14</f>
        <v>187.0773499741197</v>
      </c>
      <c r="K16" s="432">
        <f>K8-K13-K14</f>
        <v>214.86484003222995</v>
      </c>
      <c r="L16" s="177">
        <f>L8-L13-L14</f>
        <v>613.09400000000005</v>
      </c>
      <c r="M16" s="432">
        <f t="shared" ref="M16:AK16" si="11">M8-M13-M14-M11</f>
        <v>208.98927499999999</v>
      </c>
      <c r="N16" s="432">
        <f t="shared" si="11"/>
        <v>221.28727500000002</v>
      </c>
      <c r="O16" s="432">
        <f t="shared" si="11"/>
        <v>229.26527500000003</v>
      </c>
      <c r="P16" s="432">
        <f t="shared" si="11"/>
        <v>281.39327500000002</v>
      </c>
      <c r="Q16" s="177">
        <f t="shared" si="11"/>
        <v>940.93510000000015</v>
      </c>
      <c r="R16" s="432">
        <f t="shared" si="11"/>
        <v>203.1999375</v>
      </c>
      <c r="S16" s="432">
        <f t="shared" si="11"/>
        <v>251.54193749999996</v>
      </c>
      <c r="T16" s="432">
        <f t="shared" si="11"/>
        <v>273.10693749999996</v>
      </c>
      <c r="U16" s="432">
        <f t="shared" si="11"/>
        <v>297.87822020832789</v>
      </c>
      <c r="V16" s="177">
        <f t="shared" si="11"/>
        <v>1025.7270327083277</v>
      </c>
      <c r="W16" s="432">
        <f t="shared" si="11"/>
        <v>372.68584000000004</v>
      </c>
      <c r="X16" s="432">
        <f t="shared" si="11"/>
        <v>471.15102000000007</v>
      </c>
      <c r="Y16" s="432">
        <f t="shared" si="11"/>
        <v>531.83546000000001</v>
      </c>
      <c r="Z16" s="432">
        <f t="shared" si="11"/>
        <v>491.95891999999992</v>
      </c>
      <c r="AA16" s="177">
        <f t="shared" si="11"/>
        <v>1903.8777915882722</v>
      </c>
      <c r="AB16" s="432">
        <f t="shared" si="11"/>
        <v>527.81056000000001</v>
      </c>
      <c r="AC16" s="432">
        <f t="shared" si="11"/>
        <v>585.23960556863233</v>
      </c>
      <c r="AD16" s="432">
        <f t="shared" si="11"/>
        <v>600.35710430956124</v>
      </c>
      <c r="AE16" s="432">
        <f t="shared" si="11"/>
        <v>594.02564608246075</v>
      </c>
      <c r="AF16" s="177">
        <f t="shared" si="11"/>
        <v>2307.4329159606541</v>
      </c>
      <c r="AG16" s="906">
        <f t="shared" si="11"/>
        <v>642.97189999999989</v>
      </c>
      <c r="AH16" s="906">
        <f t="shared" si="11"/>
        <v>725.53985999999986</v>
      </c>
      <c r="AI16" s="906">
        <f t="shared" si="11"/>
        <v>757.25145999999995</v>
      </c>
      <c r="AJ16" s="906">
        <f t="shared" si="11"/>
        <v>733.26765000000012</v>
      </c>
      <c r="AK16" s="177">
        <f t="shared" si="11"/>
        <v>2859.0308699999996</v>
      </c>
      <c r="AP16" s="177">
        <f>AP8-AP13-AP14-AP11</f>
        <v>3108.8347942944083</v>
      </c>
      <c r="AU16" s="177">
        <f>AU8-AU13-AU14-AU11</f>
        <v>3048.1308538358098</v>
      </c>
      <c r="AZ16" s="177">
        <f>AZ8-AZ13-AZ14-AZ11</f>
        <v>2962.7072368242002</v>
      </c>
      <c r="BE16" s="177">
        <f t="shared" ref="BE16:CX16" si="12">BE8-BE13-BE14-BE11</f>
        <v>2964.4576524917202</v>
      </c>
      <c r="BF16" s="177">
        <f t="shared" si="12"/>
        <v>0</v>
      </c>
      <c r="BG16" s="177">
        <f t="shared" si="12"/>
        <v>0</v>
      </c>
      <c r="BH16" s="177">
        <f t="shared" si="12"/>
        <v>0</v>
      </c>
      <c r="BI16" s="177">
        <f t="shared" si="12"/>
        <v>0</v>
      </c>
      <c r="BJ16" s="177">
        <f t="shared" si="12"/>
        <v>2990.5340400143323</v>
      </c>
      <c r="BK16" s="177">
        <f t="shared" si="12"/>
        <v>0</v>
      </c>
      <c r="BL16" s="177">
        <f t="shared" si="12"/>
        <v>0</v>
      </c>
      <c r="BM16" s="177">
        <f t="shared" si="12"/>
        <v>0</v>
      </c>
      <c r="BN16" s="177">
        <f t="shared" si="12"/>
        <v>0</v>
      </c>
      <c r="BO16" s="177">
        <f t="shared" si="12"/>
        <v>2948.2144768505864</v>
      </c>
      <c r="BP16" s="177">
        <f t="shared" si="12"/>
        <v>0</v>
      </c>
      <c r="BQ16" s="177">
        <f t="shared" si="12"/>
        <v>0</v>
      </c>
      <c r="BR16" s="177">
        <f t="shared" si="12"/>
        <v>0</v>
      </c>
      <c r="BS16" s="177">
        <f t="shared" si="12"/>
        <v>0</v>
      </c>
      <c r="BT16" s="177">
        <f t="shared" si="12"/>
        <v>2984.3656867581722</v>
      </c>
      <c r="BU16" s="177">
        <f t="shared" si="12"/>
        <v>0</v>
      </c>
      <c r="BV16" s="177">
        <f t="shared" si="12"/>
        <v>0</v>
      </c>
      <c r="BW16" s="177">
        <f t="shared" si="12"/>
        <v>0</v>
      </c>
      <c r="BX16" s="177">
        <f t="shared" si="12"/>
        <v>0</v>
      </c>
      <c r="BY16" s="177">
        <f t="shared" si="12"/>
        <v>3015.2488633608014</v>
      </c>
      <c r="BZ16" s="177">
        <f t="shared" si="12"/>
        <v>0</v>
      </c>
      <c r="CA16" s="177">
        <f t="shared" si="12"/>
        <v>0</v>
      </c>
      <c r="CB16" s="177">
        <f t="shared" si="12"/>
        <v>0</v>
      </c>
      <c r="CC16" s="177">
        <f t="shared" si="12"/>
        <v>0</v>
      </c>
      <c r="CD16" s="177">
        <f t="shared" si="12"/>
        <v>2755.5293343214444</v>
      </c>
      <c r="CE16" s="177">
        <f t="shared" si="12"/>
        <v>0</v>
      </c>
      <c r="CF16" s="177">
        <f t="shared" si="12"/>
        <v>0</v>
      </c>
      <c r="CG16" s="177">
        <f t="shared" si="12"/>
        <v>0</v>
      </c>
      <c r="CH16" s="177">
        <f t="shared" si="12"/>
        <v>0</v>
      </c>
      <c r="CI16" s="177">
        <f t="shared" si="12"/>
        <v>2505.5281203175496</v>
      </c>
      <c r="CJ16" s="177">
        <f t="shared" si="12"/>
        <v>0</v>
      </c>
      <c r="CK16" s="177">
        <f t="shared" si="12"/>
        <v>0</v>
      </c>
      <c r="CL16" s="177">
        <f t="shared" si="12"/>
        <v>0</v>
      </c>
      <c r="CM16" s="177">
        <f t="shared" si="12"/>
        <v>0</v>
      </c>
      <c r="CN16" s="177">
        <f t="shared" si="12"/>
        <v>2206.9881665751491</v>
      </c>
      <c r="CO16" s="177">
        <f t="shared" si="12"/>
        <v>0</v>
      </c>
      <c r="CP16" s="177">
        <f t="shared" si="12"/>
        <v>0</v>
      </c>
      <c r="CQ16" s="177">
        <f t="shared" si="12"/>
        <v>0</v>
      </c>
      <c r="CR16" s="177">
        <f t="shared" si="12"/>
        <v>0</v>
      </c>
      <c r="CS16" s="177">
        <f t="shared" si="12"/>
        <v>1854.7548564084295</v>
      </c>
      <c r="CT16" s="177">
        <f t="shared" si="12"/>
        <v>0</v>
      </c>
      <c r="CU16" s="177">
        <f t="shared" si="12"/>
        <v>0</v>
      </c>
      <c r="CV16" s="177">
        <f t="shared" si="12"/>
        <v>0</v>
      </c>
      <c r="CW16" s="177">
        <f t="shared" si="12"/>
        <v>0</v>
      </c>
      <c r="CX16" s="177">
        <f t="shared" si="12"/>
        <v>2142.7750151676487</v>
      </c>
    </row>
    <row r="17" spans="2:102">
      <c r="C17" s="427"/>
      <c r="D17" s="427"/>
      <c r="E17" s="427"/>
      <c r="F17" s="427"/>
      <c r="H17" s="427"/>
      <c r="I17" s="427"/>
      <c r="J17" s="427"/>
      <c r="K17" s="427"/>
      <c r="M17" s="427"/>
      <c r="N17" s="427"/>
      <c r="O17" s="427"/>
      <c r="P17" s="427"/>
      <c r="R17" s="427"/>
      <c r="S17" s="427"/>
      <c r="T17" s="427"/>
      <c r="U17" s="427"/>
      <c r="W17" s="427"/>
      <c r="X17" s="427"/>
      <c r="Y17" s="427"/>
      <c r="Z17" s="427"/>
      <c r="AB17" s="432"/>
      <c r="AC17" s="427"/>
      <c r="AD17" s="427"/>
      <c r="AE17" s="427"/>
      <c r="AG17" s="899"/>
      <c r="AH17" s="899"/>
      <c r="AI17" s="899"/>
      <c r="AJ17" s="899"/>
    </row>
    <row r="18" spans="2:102">
      <c r="B18" s="125" t="s">
        <v>14</v>
      </c>
      <c r="C18" s="427"/>
      <c r="D18" s="427"/>
      <c r="E18" s="427"/>
      <c r="F18" s="427"/>
      <c r="H18" s="513">
        <f t="shared" ref="H18:V18" si="13">H19*H16</f>
        <v>27.264116678057515</v>
      </c>
      <c r="I18" s="513">
        <f t="shared" si="13"/>
        <v>52.973571119529623</v>
      </c>
      <c r="J18" s="513">
        <f t="shared" si="13"/>
        <v>71.089392990165493</v>
      </c>
      <c r="K18" s="513">
        <f t="shared" si="13"/>
        <v>81.648639212247389</v>
      </c>
      <c r="L18" s="178">
        <f t="shared" si="13"/>
        <v>232.97572000000002</v>
      </c>
      <c r="M18" s="513">
        <f t="shared" si="13"/>
        <v>79.415924500000003</v>
      </c>
      <c r="N18" s="513">
        <f t="shared" si="13"/>
        <v>84.08916450000001</v>
      </c>
      <c r="O18" s="513">
        <f t="shared" si="13"/>
        <v>87.12080450000002</v>
      </c>
      <c r="P18" s="513">
        <f t="shared" si="13"/>
        <v>106.9294445</v>
      </c>
      <c r="Q18" s="178">
        <f t="shared" si="13"/>
        <v>357.55533800000006</v>
      </c>
      <c r="R18" s="513">
        <f>R19*R16</f>
        <v>77.215976249999997</v>
      </c>
      <c r="S18" s="513">
        <f t="shared" si="13"/>
        <v>95.585936249999989</v>
      </c>
      <c r="T18" s="513">
        <f t="shared" si="13"/>
        <v>103.78063624999999</v>
      </c>
      <c r="U18" s="513">
        <f t="shared" si="13"/>
        <v>113.19372367916461</v>
      </c>
      <c r="V18" s="178">
        <f t="shared" si="13"/>
        <v>389.77627242916452</v>
      </c>
      <c r="W18" s="513">
        <f t="shared" ref="W18:AB18" si="14">W19*W16</f>
        <v>141.62061920000002</v>
      </c>
      <c r="X18" s="513">
        <f t="shared" si="14"/>
        <v>179.03738760000002</v>
      </c>
      <c r="Y18" s="513">
        <f t="shared" si="14"/>
        <v>202.09747480000001</v>
      </c>
      <c r="Z18" s="513">
        <f t="shared" si="14"/>
        <v>186.94438959999997</v>
      </c>
      <c r="AA18" s="178">
        <f t="shared" si="14"/>
        <v>723.47356080354348</v>
      </c>
      <c r="AB18" s="513">
        <f t="shared" si="14"/>
        <v>200.56801280000002</v>
      </c>
      <c r="AC18" s="513">
        <f t="shared" ref="AC18:AJ18" si="15">AC19*AC16</f>
        <v>222.39105011608029</v>
      </c>
      <c r="AD18" s="513">
        <f t="shared" si="15"/>
        <v>228.13569963763328</v>
      </c>
      <c r="AE18" s="513">
        <f t="shared" si="15"/>
        <v>225.7297455113351</v>
      </c>
      <c r="AF18" s="178">
        <f>AF19*AF16</f>
        <v>876.82450806504858</v>
      </c>
      <c r="AG18" s="906">
        <f t="shared" si="15"/>
        <v>244.32932199999996</v>
      </c>
      <c r="AH18" s="906">
        <f t="shared" si="15"/>
        <v>275.70514679999997</v>
      </c>
      <c r="AI18" s="906">
        <f t="shared" si="15"/>
        <v>287.75555479999997</v>
      </c>
      <c r="AJ18" s="906">
        <f t="shared" si="15"/>
        <v>278.64170700000005</v>
      </c>
      <c r="AK18" s="178">
        <f>AK19*AK16</f>
        <v>1086.4317305999998</v>
      </c>
      <c r="AP18" s="178">
        <f>AP19*AP16</f>
        <v>652.85530680182569</v>
      </c>
      <c r="AU18" s="178">
        <f>AU19*AU16</f>
        <v>640.10747930552009</v>
      </c>
      <c r="AZ18" s="178">
        <f>AZ19*AZ16</f>
        <v>622.16851973308201</v>
      </c>
      <c r="BE18" s="178">
        <f t="shared" ref="BE18:CX18" si="16">BE19*BE16</f>
        <v>622.53610702326125</v>
      </c>
      <c r="BF18" s="178">
        <f t="shared" si="16"/>
        <v>0</v>
      </c>
      <c r="BG18" s="178">
        <f t="shared" si="16"/>
        <v>0</v>
      </c>
      <c r="BH18" s="178">
        <f t="shared" si="16"/>
        <v>0</v>
      </c>
      <c r="BI18" s="178">
        <f t="shared" si="16"/>
        <v>0</v>
      </c>
      <c r="BJ18" s="178">
        <f t="shared" si="16"/>
        <v>628.01214840300975</v>
      </c>
      <c r="BK18" s="178">
        <f t="shared" si="16"/>
        <v>0</v>
      </c>
      <c r="BL18" s="178">
        <f t="shared" si="16"/>
        <v>0</v>
      </c>
      <c r="BM18" s="178">
        <f t="shared" si="16"/>
        <v>0</v>
      </c>
      <c r="BN18" s="178">
        <f t="shared" si="16"/>
        <v>0</v>
      </c>
      <c r="BO18" s="178">
        <f t="shared" si="16"/>
        <v>619.12504013862315</v>
      </c>
      <c r="BP18" s="178">
        <f t="shared" si="16"/>
        <v>0</v>
      </c>
      <c r="BQ18" s="178">
        <f t="shared" si="16"/>
        <v>0</v>
      </c>
      <c r="BR18" s="178">
        <f t="shared" si="16"/>
        <v>0</v>
      </c>
      <c r="BS18" s="178">
        <f t="shared" si="16"/>
        <v>0</v>
      </c>
      <c r="BT18" s="178">
        <f t="shared" si="16"/>
        <v>626.71679421921613</v>
      </c>
      <c r="BU18" s="178">
        <f t="shared" si="16"/>
        <v>0</v>
      </c>
      <c r="BV18" s="178">
        <f t="shared" si="16"/>
        <v>0</v>
      </c>
      <c r="BW18" s="178">
        <f t="shared" si="16"/>
        <v>0</v>
      </c>
      <c r="BX18" s="178">
        <f t="shared" si="16"/>
        <v>0</v>
      </c>
      <c r="BY18" s="178">
        <f t="shared" si="16"/>
        <v>633.20226130576827</v>
      </c>
      <c r="BZ18" s="178">
        <f t="shared" si="16"/>
        <v>0</v>
      </c>
      <c r="CA18" s="178">
        <f t="shared" si="16"/>
        <v>0</v>
      </c>
      <c r="CB18" s="178">
        <f t="shared" si="16"/>
        <v>0</v>
      </c>
      <c r="CC18" s="178">
        <f t="shared" si="16"/>
        <v>0</v>
      </c>
      <c r="CD18" s="178">
        <f t="shared" si="16"/>
        <v>578.66116020750326</v>
      </c>
      <c r="CE18" s="178">
        <f t="shared" si="16"/>
        <v>0</v>
      </c>
      <c r="CF18" s="178">
        <f t="shared" si="16"/>
        <v>0</v>
      </c>
      <c r="CG18" s="178">
        <f t="shared" si="16"/>
        <v>0</v>
      </c>
      <c r="CH18" s="178">
        <f t="shared" si="16"/>
        <v>0</v>
      </c>
      <c r="CI18" s="178">
        <f t="shared" si="16"/>
        <v>526.1609052666854</v>
      </c>
      <c r="CJ18" s="178">
        <f t="shared" si="16"/>
        <v>0</v>
      </c>
      <c r="CK18" s="178">
        <f t="shared" si="16"/>
        <v>0</v>
      </c>
      <c r="CL18" s="178">
        <f t="shared" si="16"/>
        <v>0</v>
      </c>
      <c r="CM18" s="178">
        <f t="shared" si="16"/>
        <v>0</v>
      </c>
      <c r="CN18" s="178">
        <f t="shared" si="16"/>
        <v>463.46751498078129</v>
      </c>
      <c r="CO18" s="178">
        <f t="shared" si="16"/>
        <v>0</v>
      </c>
      <c r="CP18" s="178">
        <f t="shared" si="16"/>
        <v>0</v>
      </c>
      <c r="CQ18" s="178">
        <f t="shared" si="16"/>
        <v>0</v>
      </c>
      <c r="CR18" s="178">
        <f t="shared" si="16"/>
        <v>0</v>
      </c>
      <c r="CS18" s="178">
        <f t="shared" si="16"/>
        <v>389.4985198457702</v>
      </c>
      <c r="CT18" s="178">
        <f t="shared" si="16"/>
        <v>0</v>
      </c>
      <c r="CU18" s="178">
        <f t="shared" si="16"/>
        <v>0</v>
      </c>
      <c r="CV18" s="178">
        <f t="shared" si="16"/>
        <v>0</v>
      </c>
      <c r="CW18" s="178">
        <f t="shared" si="16"/>
        <v>0</v>
      </c>
      <c r="CX18" s="178">
        <f t="shared" si="16"/>
        <v>449.98275318520621</v>
      </c>
    </row>
    <row r="19" spans="2:102" s="188" customFormat="1">
      <c r="B19" s="186" t="s">
        <v>182</v>
      </c>
      <c r="C19" s="515"/>
      <c r="D19" s="515"/>
      <c r="E19" s="515"/>
      <c r="F19" s="515"/>
      <c r="H19" s="516">
        <f>L19</f>
        <v>0.38</v>
      </c>
      <c r="I19" s="516">
        <f>H19</f>
        <v>0.38</v>
      </c>
      <c r="J19" s="516">
        <f>I19</f>
        <v>0.38</v>
      </c>
      <c r="K19" s="516">
        <f>J19</f>
        <v>0.38</v>
      </c>
      <c r="L19" s="517">
        <v>0.38</v>
      </c>
      <c r="M19" s="516">
        <f>Q19</f>
        <v>0.38</v>
      </c>
      <c r="N19" s="516">
        <f>M19</f>
        <v>0.38</v>
      </c>
      <c r="O19" s="516">
        <f>N19</f>
        <v>0.38</v>
      </c>
      <c r="P19" s="516">
        <f>O19</f>
        <v>0.38</v>
      </c>
      <c r="Q19" s="208">
        <f>L19</f>
        <v>0.38</v>
      </c>
      <c r="R19" s="516">
        <f>V19</f>
        <v>0.38</v>
      </c>
      <c r="S19" s="516">
        <f>R19</f>
        <v>0.38</v>
      </c>
      <c r="T19" s="516">
        <f>S19</f>
        <v>0.38</v>
      </c>
      <c r="U19" s="516">
        <f>T19</f>
        <v>0.38</v>
      </c>
      <c r="V19" s="208">
        <f>Q19</f>
        <v>0.38</v>
      </c>
      <c r="W19" s="516">
        <f>AA19</f>
        <v>0.38</v>
      </c>
      <c r="X19" s="516">
        <f>W19</f>
        <v>0.38</v>
      </c>
      <c r="Y19" s="516">
        <f t="shared" ref="Y19:Z19" si="17">X19</f>
        <v>0.38</v>
      </c>
      <c r="Z19" s="516">
        <f t="shared" si="17"/>
        <v>0.38</v>
      </c>
      <c r="AA19" s="208">
        <f>V19</f>
        <v>0.38</v>
      </c>
      <c r="AB19" s="516">
        <f>AF19</f>
        <v>0.38</v>
      </c>
      <c r="AC19" s="516">
        <f>AB19</f>
        <v>0.38</v>
      </c>
      <c r="AD19" s="516">
        <f t="shared" ref="AD19:AE19" si="18">AC19</f>
        <v>0.38</v>
      </c>
      <c r="AE19" s="516">
        <f t="shared" si="18"/>
        <v>0.38</v>
      </c>
      <c r="AF19" s="208">
        <f>AA19</f>
        <v>0.38</v>
      </c>
      <c r="AG19" s="911">
        <f>AK19</f>
        <v>0.38</v>
      </c>
      <c r="AH19" s="911">
        <f>AG19</f>
        <v>0.38</v>
      </c>
      <c r="AI19" s="912">
        <f t="shared" ref="AI19:AJ19" si="19">AH19</f>
        <v>0.38</v>
      </c>
      <c r="AJ19" s="912">
        <f t="shared" si="19"/>
        <v>0.38</v>
      </c>
      <c r="AK19" s="208">
        <f>AF19</f>
        <v>0.38</v>
      </c>
      <c r="AL19" s="208"/>
      <c r="AM19" s="208"/>
      <c r="AN19" s="208"/>
      <c r="AO19" s="208"/>
      <c r="AP19" s="517">
        <v>0.21</v>
      </c>
      <c r="AQ19" s="208"/>
      <c r="AR19" s="208"/>
      <c r="AS19" s="208"/>
      <c r="AT19" s="208"/>
      <c r="AU19" s="208">
        <f>AP19</f>
        <v>0.21</v>
      </c>
      <c r="AV19" s="208"/>
      <c r="AW19" s="208"/>
      <c r="AX19" s="208"/>
      <c r="AY19" s="208"/>
      <c r="AZ19" s="208">
        <f>AU19</f>
        <v>0.21</v>
      </c>
      <c r="BE19" s="208">
        <f t="shared" ref="BE19:CX19" si="20">AZ19</f>
        <v>0.21</v>
      </c>
      <c r="BF19" s="208">
        <f t="shared" si="20"/>
        <v>0</v>
      </c>
      <c r="BG19" s="208">
        <f t="shared" si="20"/>
        <v>0</v>
      </c>
      <c r="BH19" s="208">
        <f t="shared" si="20"/>
        <v>0</v>
      </c>
      <c r="BI19" s="208">
        <f t="shared" si="20"/>
        <v>0</v>
      </c>
      <c r="BJ19" s="208">
        <f t="shared" si="20"/>
        <v>0.21</v>
      </c>
      <c r="BK19" s="208">
        <f t="shared" si="20"/>
        <v>0</v>
      </c>
      <c r="BL19" s="208">
        <f t="shared" si="20"/>
        <v>0</v>
      </c>
      <c r="BM19" s="208">
        <f t="shared" si="20"/>
        <v>0</v>
      </c>
      <c r="BN19" s="208">
        <f t="shared" si="20"/>
        <v>0</v>
      </c>
      <c r="BO19" s="208">
        <f t="shared" si="20"/>
        <v>0.21</v>
      </c>
      <c r="BP19" s="208">
        <f t="shared" si="20"/>
        <v>0</v>
      </c>
      <c r="BQ19" s="208">
        <f t="shared" si="20"/>
        <v>0</v>
      </c>
      <c r="BR19" s="208">
        <f t="shared" si="20"/>
        <v>0</v>
      </c>
      <c r="BS19" s="208">
        <f t="shared" si="20"/>
        <v>0</v>
      </c>
      <c r="BT19" s="208">
        <f t="shared" si="20"/>
        <v>0.21</v>
      </c>
      <c r="BU19" s="208">
        <f t="shared" si="20"/>
        <v>0</v>
      </c>
      <c r="BV19" s="208">
        <f t="shared" si="20"/>
        <v>0</v>
      </c>
      <c r="BW19" s="208">
        <f t="shared" si="20"/>
        <v>0</v>
      </c>
      <c r="BX19" s="208">
        <f t="shared" si="20"/>
        <v>0</v>
      </c>
      <c r="BY19" s="208">
        <f t="shared" si="20"/>
        <v>0.21</v>
      </c>
      <c r="BZ19" s="208">
        <f t="shared" si="20"/>
        <v>0</v>
      </c>
      <c r="CA19" s="208">
        <f t="shared" si="20"/>
        <v>0</v>
      </c>
      <c r="CB19" s="208">
        <f t="shared" si="20"/>
        <v>0</v>
      </c>
      <c r="CC19" s="208">
        <f t="shared" si="20"/>
        <v>0</v>
      </c>
      <c r="CD19" s="208">
        <f t="shared" si="20"/>
        <v>0.21</v>
      </c>
      <c r="CE19" s="208">
        <f t="shared" si="20"/>
        <v>0</v>
      </c>
      <c r="CF19" s="208">
        <f t="shared" si="20"/>
        <v>0</v>
      </c>
      <c r="CG19" s="208">
        <f t="shared" si="20"/>
        <v>0</v>
      </c>
      <c r="CH19" s="208">
        <f t="shared" si="20"/>
        <v>0</v>
      </c>
      <c r="CI19" s="208">
        <f t="shared" si="20"/>
        <v>0.21</v>
      </c>
      <c r="CJ19" s="208">
        <f t="shared" si="20"/>
        <v>0</v>
      </c>
      <c r="CK19" s="208">
        <f t="shared" si="20"/>
        <v>0</v>
      </c>
      <c r="CL19" s="208">
        <f t="shared" si="20"/>
        <v>0</v>
      </c>
      <c r="CM19" s="208">
        <f t="shared" si="20"/>
        <v>0</v>
      </c>
      <c r="CN19" s="208">
        <f t="shared" si="20"/>
        <v>0.21</v>
      </c>
      <c r="CO19" s="208">
        <f t="shared" si="20"/>
        <v>0</v>
      </c>
      <c r="CP19" s="208">
        <f t="shared" si="20"/>
        <v>0</v>
      </c>
      <c r="CQ19" s="208">
        <f t="shared" si="20"/>
        <v>0</v>
      </c>
      <c r="CR19" s="208">
        <f t="shared" si="20"/>
        <v>0</v>
      </c>
      <c r="CS19" s="208">
        <f t="shared" si="20"/>
        <v>0.21</v>
      </c>
      <c r="CT19" s="208">
        <f t="shared" si="20"/>
        <v>0</v>
      </c>
      <c r="CU19" s="208">
        <f t="shared" si="20"/>
        <v>0</v>
      </c>
      <c r="CV19" s="208">
        <f t="shared" si="20"/>
        <v>0</v>
      </c>
      <c r="CW19" s="208">
        <f t="shared" si="20"/>
        <v>0</v>
      </c>
      <c r="CX19" s="208">
        <f t="shared" si="20"/>
        <v>0.21</v>
      </c>
    </row>
    <row r="20" spans="2:102" s="132" customFormat="1">
      <c r="B20" s="173" t="s">
        <v>666</v>
      </c>
      <c r="C20" s="435"/>
      <c r="D20" s="435"/>
      <c r="E20" s="435"/>
      <c r="F20" s="435"/>
      <c r="G20" s="173"/>
      <c r="H20" s="446">
        <f t="shared" ref="H20:V20" si="21">H16-H18</f>
        <v>44.483558790514891</v>
      </c>
      <c r="I20" s="446">
        <f t="shared" si="21"/>
        <v>86.430563405548327</v>
      </c>
      <c r="J20" s="446">
        <f t="shared" si="21"/>
        <v>115.98795698395421</v>
      </c>
      <c r="K20" s="446">
        <f t="shared" si="21"/>
        <v>133.21620081998256</v>
      </c>
      <c r="L20" s="167">
        <f t="shared" si="21"/>
        <v>380.11828000000003</v>
      </c>
      <c r="M20" s="446">
        <f t="shared" si="21"/>
        <v>129.5733505</v>
      </c>
      <c r="N20" s="446">
        <f t="shared" si="21"/>
        <v>137.19811050000001</v>
      </c>
      <c r="O20" s="446">
        <f t="shared" si="21"/>
        <v>142.14447050000001</v>
      </c>
      <c r="P20" s="446">
        <f t="shared" si="21"/>
        <v>174.46383050000003</v>
      </c>
      <c r="Q20" s="167">
        <f t="shared" si="21"/>
        <v>583.37976200000003</v>
      </c>
      <c r="R20" s="446">
        <f t="shared" si="21"/>
        <v>125.98396125000001</v>
      </c>
      <c r="S20" s="446">
        <f t="shared" si="21"/>
        <v>155.95600124999999</v>
      </c>
      <c r="T20" s="446">
        <f t="shared" si="21"/>
        <v>169.32630124999997</v>
      </c>
      <c r="U20" s="446">
        <f t="shared" si="21"/>
        <v>184.68449652916328</v>
      </c>
      <c r="V20" s="167">
        <f t="shared" si="21"/>
        <v>635.95076027916321</v>
      </c>
      <c r="W20" s="446">
        <f t="shared" ref="W20:AB20" si="22">W16-W18</f>
        <v>231.06522080000002</v>
      </c>
      <c r="X20" s="446">
        <f t="shared" si="22"/>
        <v>292.11363240000003</v>
      </c>
      <c r="Y20" s="446">
        <f t="shared" si="22"/>
        <v>329.73798520000003</v>
      </c>
      <c r="Z20" s="446">
        <f t="shared" si="22"/>
        <v>305.01453039999996</v>
      </c>
      <c r="AA20" s="167">
        <f t="shared" si="22"/>
        <v>1180.4042307847287</v>
      </c>
      <c r="AB20" s="446">
        <f t="shared" si="22"/>
        <v>327.24254719999999</v>
      </c>
      <c r="AC20" s="446">
        <f t="shared" ref="AC20:AE20" si="23">AC16-AC18</f>
        <v>362.84855545255203</v>
      </c>
      <c r="AD20" s="446">
        <f t="shared" si="23"/>
        <v>372.22140467192798</v>
      </c>
      <c r="AE20" s="446">
        <f t="shared" si="23"/>
        <v>368.29590057112569</v>
      </c>
      <c r="AF20" s="167">
        <f>AF16-AF18</f>
        <v>1430.6084078956055</v>
      </c>
      <c r="AG20" s="913">
        <f t="shared" ref="AG20:AJ20" si="24">AG16-AG18</f>
        <v>398.64257799999996</v>
      </c>
      <c r="AH20" s="913">
        <f t="shared" si="24"/>
        <v>449.8347131999999</v>
      </c>
      <c r="AI20" s="913">
        <f t="shared" si="24"/>
        <v>469.49590519999998</v>
      </c>
      <c r="AJ20" s="913">
        <f t="shared" si="24"/>
        <v>454.62594300000006</v>
      </c>
      <c r="AK20" s="167">
        <f>AK16-AK18</f>
        <v>1772.5991393999998</v>
      </c>
      <c r="AL20" s="173"/>
      <c r="AM20" s="173"/>
      <c r="AN20" s="173"/>
      <c r="AO20" s="173"/>
      <c r="AP20" s="167">
        <f>AP16-AP18</f>
        <v>2455.9794874925828</v>
      </c>
      <c r="AQ20" s="173"/>
      <c r="AR20" s="173"/>
      <c r="AS20" s="173"/>
      <c r="AT20" s="173"/>
      <c r="AU20" s="167">
        <f>AU16-AU18</f>
        <v>2408.0233745302899</v>
      </c>
      <c r="AV20" s="173"/>
      <c r="AW20" s="173"/>
      <c r="AX20" s="173"/>
      <c r="AY20" s="173"/>
      <c r="AZ20" s="167">
        <f>AZ16-AZ18</f>
        <v>2340.5387170911181</v>
      </c>
      <c r="BA20" s="173"/>
      <c r="BB20" s="173"/>
      <c r="BC20" s="173"/>
      <c r="BD20" s="173"/>
      <c r="BE20" s="167">
        <f t="shared" ref="BE20:CX20" si="25">BE16-BE18</f>
        <v>2341.921545468459</v>
      </c>
      <c r="BF20" s="167">
        <f t="shared" si="25"/>
        <v>0</v>
      </c>
      <c r="BG20" s="167">
        <f t="shared" si="25"/>
        <v>0</v>
      </c>
      <c r="BH20" s="167">
        <f t="shared" si="25"/>
        <v>0</v>
      </c>
      <c r="BI20" s="167">
        <f t="shared" si="25"/>
        <v>0</v>
      </c>
      <c r="BJ20" s="167">
        <f t="shared" si="25"/>
        <v>2362.5218916113226</v>
      </c>
      <c r="BK20" s="167">
        <f t="shared" si="25"/>
        <v>0</v>
      </c>
      <c r="BL20" s="167">
        <f t="shared" si="25"/>
        <v>0</v>
      </c>
      <c r="BM20" s="167">
        <f t="shared" si="25"/>
        <v>0</v>
      </c>
      <c r="BN20" s="167">
        <f t="shared" si="25"/>
        <v>0</v>
      </c>
      <c r="BO20" s="167">
        <f t="shared" si="25"/>
        <v>2329.0894367119631</v>
      </c>
      <c r="BP20" s="167">
        <f t="shared" si="25"/>
        <v>0</v>
      </c>
      <c r="BQ20" s="167">
        <f t="shared" si="25"/>
        <v>0</v>
      </c>
      <c r="BR20" s="167">
        <f t="shared" si="25"/>
        <v>0</v>
      </c>
      <c r="BS20" s="167">
        <f t="shared" si="25"/>
        <v>0</v>
      </c>
      <c r="BT20" s="167">
        <f t="shared" si="25"/>
        <v>2357.6488925389558</v>
      </c>
      <c r="BU20" s="167">
        <f t="shared" si="25"/>
        <v>0</v>
      </c>
      <c r="BV20" s="167">
        <f t="shared" si="25"/>
        <v>0</v>
      </c>
      <c r="BW20" s="167">
        <f t="shared" si="25"/>
        <v>0</v>
      </c>
      <c r="BX20" s="167">
        <f t="shared" si="25"/>
        <v>0</v>
      </c>
      <c r="BY20" s="167">
        <f t="shared" si="25"/>
        <v>2382.046602055033</v>
      </c>
      <c r="BZ20" s="167">
        <f t="shared" si="25"/>
        <v>0</v>
      </c>
      <c r="CA20" s="167">
        <f t="shared" si="25"/>
        <v>0</v>
      </c>
      <c r="CB20" s="167">
        <f t="shared" si="25"/>
        <v>0</v>
      </c>
      <c r="CC20" s="167">
        <f t="shared" si="25"/>
        <v>0</v>
      </c>
      <c r="CD20" s="167">
        <f t="shared" si="25"/>
        <v>2176.8681741139412</v>
      </c>
      <c r="CE20" s="167">
        <f t="shared" si="25"/>
        <v>0</v>
      </c>
      <c r="CF20" s="167">
        <f t="shared" si="25"/>
        <v>0</v>
      </c>
      <c r="CG20" s="167">
        <f t="shared" si="25"/>
        <v>0</v>
      </c>
      <c r="CH20" s="167">
        <f t="shared" si="25"/>
        <v>0</v>
      </c>
      <c r="CI20" s="167">
        <f t="shared" si="25"/>
        <v>1979.3672150508642</v>
      </c>
      <c r="CJ20" s="167">
        <f t="shared" si="25"/>
        <v>0</v>
      </c>
      <c r="CK20" s="167">
        <f t="shared" si="25"/>
        <v>0</v>
      </c>
      <c r="CL20" s="167">
        <f t="shared" si="25"/>
        <v>0</v>
      </c>
      <c r="CM20" s="167">
        <f t="shared" si="25"/>
        <v>0</v>
      </c>
      <c r="CN20" s="167">
        <f t="shared" si="25"/>
        <v>1743.5206515943678</v>
      </c>
      <c r="CO20" s="167">
        <f t="shared" si="25"/>
        <v>0</v>
      </c>
      <c r="CP20" s="167">
        <f t="shared" si="25"/>
        <v>0</v>
      </c>
      <c r="CQ20" s="167">
        <f t="shared" si="25"/>
        <v>0</v>
      </c>
      <c r="CR20" s="167">
        <f t="shared" si="25"/>
        <v>0</v>
      </c>
      <c r="CS20" s="167">
        <f t="shared" si="25"/>
        <v>1465.2563365626593</v>
      </c>
      <c r="CT20" s="167">
        <f t="shared" si="25"/>
        <v>0</v>
      </c>
      <c r="CU20" s="167">
        <f t="shared" si="25"/>
        <v>0</v>
      </c>
      <c r="CV20" s="167">
        <f t="shared" si="25"/>
        <v>0</v>
      </c>
      <c r="CW20" s="167">
        <f t="shared" si="25"/>
        <v>0</v>
      </c>
      <c r="CX20" s="167">
        <f t="shared" si="25"/>
        <v>1692.7922619824426</v>
      </c>
    </row>
    <row r="21" spans="2:102">
      <c r="C21" s="427"/>
      <c r="D21" s="427"/>
      <c r="E21" s="427"/>
      <c r="F21" s="427"/>
      <c r="H21" s="427"/>
      <c r="I21" s="427"/>
      <c r="J21" s="427"/>
      <c r="K21" s="427"/>
      <c r="M21" s="427"/>
      <c r="N21" s="427"/>
      <c r="O21" s="427"/>
      <c r="P21" s="427"/>
      <c r="R21" s="427"/>
      <c r="S21" s="427"/>
      <c r="T21" s="427"/>
      <c r="U21" s="427"/>
      <c r="W21" s="427"/>
      <c r="X21" s="427"/>
      <c r="Y21" s="427"/>
      <c r="Z21" s="427"/>
      <c r="AB21" s="432"/>
      <c r="AC21" s="427"/>
      <c r="AD21" s="427"/>
      <c r="AE21" s="427"/>
      <c r="AG21" s="899"/>
      <c r="AH21" s="899"/>
      <c r="AI21" s="899"/>
      <c r="AJ21" s="899"/>
    </row>
    <row r="22" spans="2:102" s="143" customFormat="1">
      <c r="B22" s="518" t="s">
        <v>650</v>
      </c>
      <c r="C22" s="519"/>
      <c r="D22" s="519"/>
      <c r="E22" s="519"/>
      <c r="F22" s="519"/>
      <c r="H22" s="519"/>
      <c r="I22" s="519"/>
      <c r="J22" s="519"/>
      <c r="K22" s="519"/>
      <c r="M22" s="519"/>
      <c r="N22" s="519"/>
      <c r="O22" s="519"/>
      <c r="P22" s="519"/>
      <c r="R22" s="519"/>
      <c r="S22" s="519"/>
      <c r="T22" s="519"/>
      <c r="U22" s="519"/>
      <c r="W22" s="519"/>
      <c r="X22" s="519"/>
      <c r="Y22" s="519"/>
      <c r="Z22" s="519"/>
      <c r="AB22" s="842"/>
      <c r="AC22" s="519"/>
      <c r="AD22" s="519"/>
      <c r="AE22" s="519"/>
      <c r="AG22" s="903"/>
      <c r="AH22" s="903"/>
      <c r="AI22" s="903"/>
      <c r="AJ22" s="903"/>
    </row>
    <row r="23" spans="2:102">
      <c r="B23" s="465"/>
      <c r="C23" s="427"/>
      <c r="D23" s="427"/>
      <c r="E23" s="427"/>
      <c r="F23" s="427"/>
      <c r="H23" s="427"/>
      <c r="I23" s="427"/>
      <c r="J23" s="427"/>
      <c r="K23" s="427"/>
      <c r="M23" s="427"/>
      <c r="N23" s="427"/>
      <c r="O23" s="432"/>
      <c r="P23" s="432"/>
      <c r="R23" s="513"/>
      <c r="S23" s="790"/>
      <c r="T23" s="427"/>
      <c r="U23" s="427"/>
      <c r="W23" s="427"/>
      <c r="X23" s="427"/>
      <c r="Y23" s="427"/>
      <c r="Z23" s="427"/>
      <c r="AB23" s="427"/>
      <c r="AC23" s="521"/>
      <c r="AD23" s="427"/>
      <c r="AE23" s="427"/>
      <c r="AF23" s="223"/>
      <c r="AG23" s="899"/>
      <c r="AH23" s="899"/>
      <c r="AI23" s="899"/>
      <c r="AJ23" s="899"/>
    </row>
    <row r="24" spans="2:102">
      <c r="B24" s="467" t="s">
        <v>651</v>
      </c>
      <c r="C24" s="427"/>
      <c r="D24" s="427"/>
      <c r="E24" s="427"/>
      <c r="F24" s="427"/>
      <c r="H24" s="427"/>
      <c r="I24" s="427"/>
      <c r="J24" s="427"/>
      <c r="K24" s="513">
        <f>K26-K25</f>
        <v>10.947734000000001</v>
      </c>
      <c r="L24" s="178">
        <f>K24</f>
        <v>10.947734000000001</v>
      </c>
      <c r="M24" s="513">
        <f>M26-M25</f>
        <v>37.394913000000003</v>
      </c>
      <c r="N24" s="513">
        <f>N26-N25</f>
        <v>57.08467266666667</v>
      </c>
      <c r="O24" s="520">
        <f>O26-O25</f>
        <v>81.610224333333335</v>
      </c>
      <c r="P24" s="520">
        <f t="shared" ref="P24:AZ24" si="26">P26-P25</f>
        <v>132.597172</v>
      </c>
      <c r="Q24" s="223">
        <f t="shared" si="26"/>
        <v>310.68698200000006</v>
      </c>
      <c r="R24" s="513">
        <f t="shared" ref="R24:AE24" si="27">R26-R25</f>
        <v>165.25502</v>
      </c>
      <c r="S24" s="520">
        <f t="shared" si="27"/>
        <v>200.92406</v>
      </c>
      <c r="T24" s="520">
        <f t="shared" si="27"/>
        <v>237.16245520000001</v>
      </c>
      <c r="U24" s="520">
        <f t="shared" si="27"/>
        <v>235.025599</v>
      </c>
      <c r="V24" s="223">
        <f t="shared" si="27"/>
        <v>884.11972214329535</v>
      </c>
      <c r="W24" s="520">
        <f t="shared" si="27"/>
        <v>231.3692466842123</v>
      </c>
      <c r="X24" s="520">
        <f t="shared" si="27"/>
        <v>263.82340292628288</v>
      </c>
      <c r="Y24" s="520">
        <f t="shared" si="27"/>
        <v>285.14464890236593</v>
      </c>
      <c r="Z24" s="520">
        <f t="shared" si="27"/>
        <v>322.73675949713891</v>
      </c>
      <c r="AA24" s="223">
        <f t="shared" si="27"/>
        <v>1017.3588441179731</v>
      </c>
      <c r="AB24" s="520">
        <f t="shared" si="27"/>
        <v>324</v>
      </c>
      <c r="AC24" s="520">
        <f t="shared" si="27"/>
        <v>387</v>
      </c>
      <c r="AD24" s="520">
        <f t="shared" si="27"/>
        <v>367.8</v>
      </c>
      <c r="AE24" s="520">
        <f t="shared" si="27"/>
        <v>381.01</v>
      </c>
      <c r="AF24" s="223">
        <f>SUM(AB24:AE24)</f>
        <v>1459.81</v>
      </c>
      <c r="AG24" s="904">
        <f t="shared" si="26"/>
        <v>397.77</v>
      </c>
      <c r="AH24" s="904">
        <f t="shared" si="26"/>
        <v>424.37</v>
      </c>
      <c r="AI24" s="904">
        <f t="shared" si="26"/>
        <v>447.06000000000006</v>
      </c>
      <c r="AJ24" s="904">
        <f t="shared" si="26"/>
        <v>513.29</v>
      </c>
      <c r="AK24" s="223">
        <f>AK26-AK25</f>
        <v>1722.30784426625</v>
      </c>
      <c r="AL24" s="223">
        <f t="shared" si="26"/>
        <v>0</v>
      </c>
      <c r="AM24" s="223">
        <f t="shared" si="26"/>
        <v>0</v>
      </c>
      <c r="AN24" s="223">
        <f t="shared" si="26"/>
        <v>0</v>
      </c>
      <c r="AO24" s="223">
        <f t="shared" si="26"/>
        <v>0</v>
      </c>
      <c r="AP24" s="223">
        <f t="shared" si="26"/>
        <v>1769.0449095874587</v>
      </c>
      <c r="AQ24" s="223">
        <f t="shared" si="26"/>
        <v>0</v>
      </c>
      <c r="AR24" s="223">
        <f t="shared" si="26"/>
        <v>0</v>
      </c>
      <c r="AS24" s="223">
        <f t="shared" si="26"/>
        <v>0</v>
      </c>
      <c r="AT24" s="223">
        <f t="shared" si="26"/>
        <v>0</v>
      </c>
      <c r="AU24" s="223">
        <f t="shared" si="26"/>
        <v>1913.2830507302647</v>
      </c>
      <c r="AV24" s="223">
        <f t="shared" si="26"/>
        <v>0</v>
      </c>
      <c r="AW24" s="223">
        <f t="shared" si="26"/>
        <v>0</v>
      </c>
      <c r="AX24" s="223">
        <f t="shared" si="26"/>
        <v>0</v>
      </c>
      <c r="AY24" s="223">
        <f t="shared" si="26"/>
        <v>0</v>
      </c>
      <c r="AZ24" s="223">
        <f t="shared" si="26"/>
        <v>1864.2819078775933</v>
      </c>
      <c r="BE24" s="223">
        <f t="shared" ref="BE24" si="28">BE26-BE25</f>
        <v>1799.5886243037116</v>
      </c>
      <c r="BJ24" s="223">
        <f t="shared" ref="BJ24" si="29">BJ26-BJ25</f>
        <v>1772.5463451397754</v>
      </c>
      <c r="BK24" s="223"/>
      <c r="BL24" s="223"/>
      <c r="BM24" s="223"/>
      <c r="BN24" s="223"/>
      <c r="BO24" s="223">
        <f t="shared" ref="BO24" si="30">BO26-BO25</f>
        <v>1794.5170791317346</v>
      </c>
      <c r="BP24" s="223"/>
      <c r="BQ24" s="223"/>
      <c r="BR24" s="223"/>
      <c r="BS24" s="223"/>
      <c r="BT24" s="223">
        <f t="shared" ref="BT24" si="31">BT26-BT25</f>
        <v>1782.9899660878423</v>
      </c>
      <c r="BU24" s="223"/>
      <c r="BV24" s="223"/>
      <c r="BW24" s="223"/>
      <c r="BX24" s="223"/>
      <c r="BY24" s="223">
        <f t="shared" ref="BY24" si="32">BY26-BY25</f>
        <v>1815.5646150710986</v>
      </c>
      <c r="BZ24" s="223"/>
      <c r="CA24" s="223"/>
      <c r="CB24" s="223"/>
      <c r="CC24" s="223"/>
      <c r="CD24" s="223">
        <f t="shared" ref="CD24" si="33">CD26-CD25</f>
        <v>1844.3245118276513</v>
      </c>
      <c r="CE24" s="223"/>
      <c r="CF24" s="223"/>
      <c r="CG24" s="223"/>
      <c r="CH24" s="223"/>
      <c r="CI24" s="223">
        <f t="shared" ref="CI24" si="34">CI26-CI25</f>
        <v>1656.2734755833148</v>
      </c>
      <c r="CJ24" s="223"/>
      <c r="CK24" s="223"/>
      <c r="CL24" s="223"/>
      <c r="CM24" s="223"/>
      <c r="CN24" s="223">
        <f t="shared" ref="CN24" si="35">CN26-CN25</f>
        <v>1518.3658519965816</v>
      </c>
      <c r="CO24" s="223"/>
      <c r="CP24" s="223"/>
      <c r="CQ24" s="223"/>
      <c r="CR24" s="223"/>
      <c r="CS24" s="223">
        <f t="shared" ref="CS24" si="36">CS26-CS25</f>
        <v>1352.9942788301248</v>
      </c>
      <c r="CT24" s="223"/>
      <c r="CU24" s="223"/>
      <c r="CV24" s="223"/>
      <c r="CW24" s="223"/>
      <c r="CX24" s="223">
        <f t="shared" ref="CX24" si="37">CX26-CX25</f>
        <v>1157.0687901414178</v>
      </c>
    </row>
    <row r="25" spans="2:102">
      <c r="B25" s="467" t="s">
        <v>655</v>
      </c>
      <c r="C25" s="427"/>
      <c r="D25" s="427"/>
      <c r="E25" s="427"/>
      <c r="F25" s="427"/>
      <c r="H25" s="427"/>
      <c r="I25" s="427"/>
      <c r="J25" s="427"/>
      <c r="K25" s="392">
        <f>K72</f>
        <v>8.0522659999999995</v>
      </c>
      <c r="L25" s="178">
        <f>K25</f>
        <v>8.0522659999999995</v>
      </c>
      <c r="M25" s="392">
        <f>M72</f>
        <v>27.405086999999995</v>
      </c>
      <c r="N25" s="392">
        <f>N72</f>
        <v>39.41532733333333</v>
      </c>
      <c r="O25" s="392">
        <f>O72</f>
        <v>43.189775666666662</v>
      </c>
      <c r="P25" s="392">
        <f>P72</f>
        <v>51.402828</v>
      </c>
      <c r="Q25" s="178">
        <f>SUM(M25:P25)</f>
        <v>161.41301799999999</v>
      </c>
      <c r="R25" s="392">
        <f>R72</f>
        <v>52.84498</v>
      </c>
      <c r="S25" s="392">
        <f>S72</f>
        <v>45.87594</v>
      </c>
      <c r="T25" s="392">
        <f>T72</f>
        <v>39.837544800000003</v>
      </c>
      <c r="U25" s="392">
        <f>U72</f>
        <v>61.974400999999993</v>
      </c>
      <c r="V25" s="222">
        <f>SUM(R25:U25)</f>
        <v>200.53286580000002</v>
      </c>
      <c r="W25" s="392">
        <f>W72</f>
        <v>60.430753315787719</v>
      </c>
      <c r="X25" s="392">
        <f>X72</f>
        <v>74.176597073717133</v>
      </c>
      <c r="Y25" s="392">
        <f>Y72</f>
        <v>85.955351097634107</v>
      </c>
      <c r="Z25" s="521">
        <f>AA25-W25-X25-Y25</f>
        <v>90.26324050286108</v>
      </c>
      <c r="AA25" s="222">
        <f>V25*1.55</f>
        <v>310.82594199000005</v>
      </c>
      <c r="AB25" s="885">
        <v>95</v>
      </c>
      <c r="AC25" s="885">
        <v>99</v>
      </c>
      <c r="AD25" s="885">
        <v>103</v>
      </c>
      <c r="AE25" s="885">
        <v>114.99</v>
      </c>
      <c r="AF25" s="222">
        <f>AA25*1.3</f>
        <v>404.07372458700007</v>
      </c>
      <c r="AG25" s="1099">
        <v>86.13</v>
      </c>
      <c r="AH25" s="1099">
        <v>118.03</v>
      </c>
      <c r="AI25" s="1099">
        <v>116.64</v>
      </c>
      <c r="AJ25" s="1099">
        <v>123.71</v>
      </c>
      <c r="AK25" s="222">
        <f>AF25*1.25</f>
        <v>505.09215573375008</v>
      </c>
      <c r="AL25" s="222"/>
      <c r="AM25" s="222"/>
      <c r="AN25" s="222"/>
      <c r="AO25" s="222"/>
      <c r="AP25" s="222">
        <f>AK25*1.1</f>
        <v>555.60137130712508</v>
      </c>
      <c r="AQ25" s="222"/>
      <c r="AR25" s="222"/>
      <c r="AS25" s="222"/>
      <c r="AT25" s="222"/>
      <c r="AU25" s="222">
        <f>AP25*1.1</f>
        <v>611.1615084378376</v>
      </c>
      <c r="AV25" s="222"/>
      <c r="AW25" s="222"/>
      <c r="AX25" s="222"/>
      <c r="AY25" s="222"/>
      <c r="AZ25" s="222">
        <f>AU25*1.1</f>
        <v>672.27765928162137</v>
      </c>
      <c r="BE25" s="222">
        <f>AZ25*1.1</f>
        <v>739.50542520978354</v>
      </c>
      <c r="BF25" s="222"/>
      <c r="BG25" s="222"/>
      <c r="BH25" s="222"/>
      <c r="BI25" s="222"/>
      <c r="BJ25" s="222">
        <f>BE25*1.1</f>
        <v>813.45596773076193</v>
      </c>
      <c r="BK25" s="222"/>
      <c r="BL25" s="222"/>
      <c r="BM25" s="222"/>
      <c r="BN25" s="222"/>
      <c r="BO25" s="222">
        <f>BJ25*1.05</f>
        <v>854.12876611730007</v>
      </c>
      <c r="BP25" s="222"/>
      <c r="BQ25" s="222"/>
      <c r="BR25" s="222"/>
      <c r="BS25" s="222"/>
      <c r="BT25" s="222">
        <f t="shared" ref="BT25:CD25" si="38">BO25*1.05</f>
        <v>896.83520442316512</v>
      </c>
      <c r="BU25" s="222">
        <f t="shared" si="38"/>
        <v>0</v>
      </c>
      <c r="BV25" s="222">
        <f t="shared" si="38"/>
        <v>0</v>
      </c>
      <c r="BW25" s="222">
        <f t="shared" si="38"/>
        <v>0</v>
      </c>
      <c r="BX25" s="222">
        <f t="shared" si="38"/>
        <v>0</v>
      </c>
      <c r="BY25" s="222">
        <f t="shared" si="38"/>
        <v>941.67696464432345</v>
      </c>
      <c r="BZ25" s="222">
        <f t="shared" si="38"/>
        <v>0</v>
      </c>
      <c r="CA25" s="222">
        <f t="shared" si="38"/>
        <v>0</v>
      </c>
      <c r="CB25" s="222">
        <f t="shared" si="38"/>
        <v>0</v>
      </c>
      <c r="CC25" s="222">
        <f t="shared" si="38"/>
        <v>0</v>
      </c>
      <c r="CD25" s="222">
        <f t="shared" si="38"/>
        <v>988.76081287653972</v>
      </c>
      <c r="CE25" s="222">
        <f t="shared" ref="CE25:CM25" si="39">BZ25*1.05</f>
        <v>0</v>
      </c>
      <c r="CF25" s="222">
        <f t="shared" si="39"/>
        <v>0</v>
      </c>
      <c r="CG25" s="222">
        <f t="shared" si="39"/>
        <v>0</v>
      </c>
      <c r="CH25" s="222">
        <f t="shared" si="39"/>
        <v>0</v>
      </c>
      <c r="CI25" s="222">
        <f>CD25*1.025</f>
        <v>1013.4798331984531</v>
      </c>
      <c r="CJ25" s="222">
        <f t="shared" si="39"/>
        <v>0</v>
      </c>
      <c r="CK25" s="222">
        <f t="shared" si="39"/>
        <v>0</v>
      </c>
      <c r="CL25" s="222">
        <f t="shared" si="39"/>
        <v>0</v>
      </c>
      <c r="CM25" s="222">
        <f t="shared" si="39"/>
        <v>0</v>
      </c>
      <c r="CN25" s="222">
        <f>CI25*1.025</f>
        <v>1038.8168290284143</v>
      </c>
      <c r="CO25" s="222"/>
      <c r="CP25" s="222"/>
      <c r="CQ25" s="222"/>
      <c r="CR25" s="222"/>
      <c r="CS25" s="222">
        <f>CN25*1.025</f>
        <v>1064.7872497541246</v>
      </c>
      <c r="CT25" s="222"/>
      <c r="CU25" s="222"/>
      <c r="CV25" s="222"/>
      <c r="CW25" s="222"/>
      <c r="CX25" s="222">
        <f>CS25*1.025</f>
        <v>1091.4069309979775</v>
      </c>
    </row>
    <row r="26" spans="2:102">
      <c r="B26" s="522" t="s">
        <v>654</v>
      </c>
      <c r="C26" s="505"/>
      <c r="D26" s="505"/>
      <c r="E26" s="505"/>
      <c r="F26" s="505"/>
      <c r="G26" s="207"/>
      <c r="H26" s="505"/>
      <c r="I26" s="505"/>
      <c r="J26" s="505"/>
      <c r="K26" s="523">
        <v>19</v>
      </c>
      <c r="L26" s="218">
        <f>K26</f>
        <v>19</v>
      </c>
      <c r="M26" s="523">
        <v>64.8</v>
      </c>
      <c r="N26" s="523">
        <v>96.5</v>
      </c>
      <c r="O26" s="523">
        <v>124.8</v>
      </c>
      <c r="P26" s="524">
        <v>184</v>
      </c>
      <c r="Q26" s="525">
        <v>472.1</v>
      </c>
      <c r="R26" s="523">
        <v>218.1</v>
      </c>
      <c r="S26" s="789">
        <v>246.8</v>
      </c>
      <c r="T26" s="789">
        <v>277</v>
      </c>
      <c r="U26" s="789">
        <v>297</v>
      </c>
      <c r="V26" s="221">
        <f>'Wet AMD'!Y64+'Wet AMD'!Y69</f>
        <v>1084.6525879432954</v>
      </c>
      <c r="W26" s="789">
        <v>291.8</v>
      </c>
      <c r="X26" s="789">
        <v>338</v>
      </c>
      <c r="Y26" s="789">
        <v>371.1</v>
      </c>
      <c r="Z26" s="789">
        <v>413</v>
      </c>
      <c r="AA26" s="221">
        <f>'Wet AMD'!AD70+DME!N58+'Wet AMD'!AD69</f>
        <v>1328.1847861079732</v>
      </c>
      <c r="AB26" s="789">
        <v>419</v>
      </c>
      <c r="AC26" s="789">
        <v>486</v>
      </c>
      <c r="AD26" s="789">
        <v>470.8</v>
      </c>
      <c r="AE26" s="789">
        <v>496</v>
      </c>
      <c r="AF26" s="221">
        <f>SUM(AB26:AE26)</f>
        <v>1871.8</v>
      </c>
      <c r="AG26" s="978">
        <v>483.9</v>
      </c>
      <c r="AH26" s="978">
        <v>542.4</v>
      </c>
      <c r="AI26" s="978">
        <v>563.70000000000005</v>
      </c>
      <c r="AJ26" s="978">
        <v>637</v>
      </c>
      <c r="AK26" s="221">
        <f>'Historical Eye Sales'!BJ6</f>
        <v>2227.4</v>
      </c>
      <c r="AL26" s="221"/>
      <c r="AM26" s="221"/>
      <c r="AN26" s="221"/>
      <c r="AO26" s="221"/>
      <c r="AP26" s="221">
        <f>'Historical Eye Sales'!BK6</f>
        <v>2324.6462808945839</v>
      </c>
      <c r="AQ26" s="221"/>
      <c r="AR26" s="221"/>
      <c r="AS26" s="221"/>
      <c r="AT26" s="221"/>
      <c r="AU26" s="221">
        <f>'Historical Eye Sales'!BL6</f>
        <v>2524.4445591681024</v>
      </c>
      <c r="AV26" s="221"/>
      <c r="AW26" s="221"/>
      <c r="AX26" s="221"/>
      <c r="AY26" s="221"/>
      <c r="AZ26" s="221">
        <f>'Historical Eye Sales'!BM6</f>
        <v>2536.5595671592146</v>
      </c>
      <c r="BA26" s="207"/>
      <c r="BB26" s="207"/>
      <c r="BC26" s="207"/>
      <c r="BD26" s="207"/>
      <c r="BE26" s="221">
        <f>'Historical Eye Sales'!BN6</f>
        <v>2539.0940495134951</v>
      </c>
      <c r="BJ26" s="221">
        <f>'Historical Eye Sales'!BO6</f>
        <v>2586.0023128705375</v>
      </c>
      <c r="BO26" s="221">
        <f>'Historical Eye Sales'!BP6</f>
        <v>2648.6458452490347</v>
      </c>
      <c r="BT26" s="221">
        <f>'Historical Eye Sales'!BQ6</f>
        <v>2679.8251705110074</v>
      </c>
      <c r="BY26" s="221">
        <f>'Historical Eye Sales'!BR6</f>
        <v>2757.2415797154222</v>
      </c>
      <c r="CD26" s="221">
        <f>'Historical Eye Sales'!BS6</f>
        <v>2833.085324704191</v>
      </c>
      <c r="CI26" s="221">
        <f>'Historical Eye Sales'!BT6</f>
        <v>2669.7533087817678</v>
      </c>
      <c r="CN26" s="221">
        <f>'Historical Eye Sales'!BU6</f>
        <v>2557.1826810249959</v>
      </c>
      <c r="CS26" s="221">
        <f>'Historical Eye Sales'!BV6</f>
        <v>2417.7815285842494</v>
      </c>
      <c r="CX26" s="221">
        <f>'Historical Eye Sales'!BW6</f>
        <v>2248.4757211393953</v>
      </c>
    </row>
    <row r="27" spans="2:102">
      <c r="B27" s="467"/>
      <c r="C27" s="427"/>
      <c r="D27" s="427"/>
      <c r="E27" s="427"/>
      <c r="F27" s="427"/>
      <c r="H27" s="427"/>
      <c r="I27" s="427"/>
      <c r="J27" s="427"/>
      <c r="K27" s="427"/>
      <c r="M27" s="427"/>
      <c r="N27" s="427"/>
      <c r="O27" s="427"/>
      <c r="P27" s="427"/>
      <c r="R27" s="427"/>
      <c r="S27" s="427"/>
      <c r="T27" s="427"/>
      <c r="U27" s="427"/>
      <c r="W27" s="427"/>
      <c r="X27" s="427"/>
      <c r="Y27" s="520"/>
      <c r="Z27" s="427"/>
      <c r="AA27" s="223"/>
      <c r="AB27" s="427"/>
      <c r="AC27" s="427"/>
      <c r="AD27" s="427"/>
      <c r="AE27" s="520"/>
      <c r="AF27" s="223"/>
      <c r="AG27" s="899"/>
      <c r="AH27" s="899"/>
      <c r="AI27" s="899"/>
      <c r="AJ27" s="904"/>
      <c r="AP27" s="264"/>
      <c r="AQ27" s="264"/>
      <c r="AR27" s="264"/>
      <c r="AS27" s="264"/>
      <c r="AT27" s="264"/>
      <c r="AU27" s="264"/>
      <c r="AV27" s="264"/>
      <c r="AW27" s="264"/>
      <c r="AX27" s="264"/>
      <c r="AY27" s="264"/>
      <c r="AZ27" s="264"/>
      <c r="BE27" s="1043"/>
      <c r="BF27" s="1044"/>
      <c r="BG27" s="1044"/>
      <c r="BH27" s="1044"/>
      <c r="BI27" s="1044"/>
      <c r="BJ27" s="1044"/>
      <c r="BK27" s="1044"/>
      <c r="BL27" s="1044"/>
      <c r="BM27" s="1044"/>
      <c r="BN27" s="1044"/>
      <c r="BO27" s="1044"/>
      <c r="BP27" s="1045"/>
      <c r="BQ27" s="1045"/>
      <c r="BR27" s="1045"/>
      <c r="BS27" s="1045"/>
      <c r="BT27" s="1043"/>
      <c r="BU27" s="1044"/>
      <c r="BV27" s="1044"/>
      <c r="BW27" s="1044"/>
      <c r="BX27" s="1044"/>
      <c r="BY27" s="1044"/>
      <c r="BZ27" s="1044"/>
      <c r="CA27" s="1044"/>
      <c r="CB27" s="1044"/>
      <c r="CC27" s="1044"/>
      <c r="CD27" s="1044"/>
      <c r="CE27" s="1045"/>
      <c r="CF27" s="1045"/>
      <c r="CG27" s="1045"/>
      <c r="CH27" s="1045"/>
      <c r="CI27" s="1043"/>
      <c r="CJ27" s="1045"/>
      <c r="CK27" s="1045"/>
      <c r="CL27" s="1045"/>
      <c r="CM27" s="1045"/>
      <c r="CN27" s="1044"/>
      <c r="CO27" s="1045"/>
      <c r="CP27" s="1045"/>
      <c r="CQ27" s="1045"/>
      <c r="CR27" s="1045"/>
      <c r="CS27" s="1044"/>
      <c r="CT27" s="155"/>
      <c r="CU27" s="155"/>
      <c r="CV27" s="155"/>
      <c r="CW27" s="155"/>
      <c r="CX27" s="1044"/>
    </row>
    <row r="28" spans="2:102">
      <c r="B28" s="467" t="s">
        <v>216</v>
      </c>
      <c r="C28" s="427"/>
      <c r="D28" s="427"/>
      <c r="E28" s="427"/>
      <c r="F28" s="427"/>
      <c r="H28" s="427"/>
      <c r="I28" s="427"/>
      <c r="J28" s="427"/>
      <c r="K28" s="514">
        <f>K24-K29</f>
        <v>7.94275222</v>
      </c>
      <c r="L28" s="178">
        <f>K28</f>
        <v>7.94275222</v>
      </c>
      <c r="M28" s="514">
        <f t="shared" ref="M28:Q28" si="40">M24-M29</f>
        <v>16.556321289999996</v>
      </c>
      <c r="N28" s="514">
        <f t="shared" si="40"/>
        <v>15.492941980000005</v>
      </c>
      <c r="O28" s="514">
        <f t="shared" si="40"/>
        <v>19.243067300000007</v>
      </c>
      <c r="P28" s="514">
        <f t="shared" si="40"/>
        <v>50.179151599999983</v>
      </c>
      <c r="Q28" s="514">
        <f t="shared" si="40"/>
        <v>103.47148217000006</v>
      </c>
      <c r="R28" s="514">
        <f>R24-R29</f>
        <v>52.246505999999997</v>
      </c>
      <c r="S28" s="514">
        <f>S24-S29</f>
        <v>70.037217999999996</v>
      </c>
      <c r="T28" s="514">
        <f>T24-T29</f>
        <v>65.448736560000015</v>
      </c>
      <c r="U28" s="514">
        <f>U24-U29</f>
        <v>74.407679699999989</v>
      </c>
      <c r="V28" s="178">
        <f>SUM(R28:U28)</f>
        <v>262.14014025999995</v>
      </c>
      <c r="W28" s="514">
        <f>W24-W29</f>
        <v>66.870774005263684</v>
      </c>
      <c r="X28" s="514">
        <f>X24-X29</f>
        <v>74.947020877884853</v>
      </c>
      <c r="Y28" s="514">
        <f>Y24-Y29</f>
        <v>56.913394670709806</v>
      </c>
      <c r="Z28" s="514">
        <f>Z24-Z29</f>
        <v>78.321027849141814</v>
      </c>
      <c r="AA28" s="178">
        <f>SUM(W28:Z28)</f>
        <v>277.05221740300016</v>
      </c>
      <c r="AB28" s="514">
        <f>AB24-AB29</f>
        <v>71.699999999999989</v>
      </c>
      <c r="AC28" s="514">
        <f>AC24-AC29</f>
        <v>94.300000000000011</v>
      </c>
      <c r="AD28" s="514">
        <f>AD24-AD29</f>
        <v>71.099999999999966</v>
      </c>
      <c r="AE28" s="514">
        <f>AE24-AE29</f>
        <v>104.50300000000004</v>
      </c>
      <c r="AF28" s="178">
        <f>SUM(AB28:AE28)</f>
        <v>341.60300000000001</v>
      </c>
      <c r="AG28" s="514">
        <f>AG24-AG29</f>
        <v>81.060999999999979</v>
      </c>
      <c r="AH28" s="514">
        <f>AH24-AH29</f>
        <v>97.591000000000008</v>
      </c>
      <c r="AI28" s="514">
        <f>AI24-AI29</f>
        <v>91.708000000000084</v>
      </c>
      <c r="AJ28" s="514">
        <f>AJ24-AJ29</f>
        <v>109.88699999999994</v>
      </c>
      <c r="AK28" s="178">
        <f>SUM(AG28:AJ28)</f>
        <v>380.24700000000001</v>
      </c>
      <c r="AL28" s="178"/>
      <c r="AM28" s="178"/>
      <c r="AN28" s="178"/>
      <c r="AO28" s="178"/>
      <c r="AP28" s="178">
        <f>AK28*1.05</f>
        <v>399.25935000000004</v>
      </c>
      <c r="AQ28" s="178"/>
      <c r="AR28" s="178"/>
      <c r="AS28" s="178"/>
      <c r="AT28" s="178"/>
      <c r="AU28" s="178">
        <f>AP28*1.05</f>
        <v>419.22231750000009</v>
      </c>
      <c r="AV28" s="178"/>
      <c r="AW28" s="178"/>
      <c r="AX28" s="178"/>
      <c r="AY28" s="178"/>
      <c r="AZ28" s="178">
        <f>AU28*1.05</f>
        <v>440.18343337500011</v>
      </c>
      <c r="BE28" s="178">
        <f>AZ28*1.05</f>
        <v>462.19260504375012</v>
      </c>
      <c r="BF28" s="178"/>
      <c r="BG28" s="178"/>
      <c r="BH28" s="178"/>
      <c r="BI28" s="178"/>
      <c r="BJ28" s="178">
        <f>BE28*1.05</f>
        <v>485.30223529593763</v>
      </c>
      <c r="BK28" s="178"/>
      <c r="BL28" s="178"/>
      <c r="BM28" s="178"/>
      <c r="BN28" s="178"/>
      <c r="BO28" s="178">
        <f>BJ28*1.05</f>
        <v>509.56734706073456</v>
      </c>
      <c r="BP28" s="178"/>
      <c r="BQ28" s="178"/>
      <c r="BR28" s="178"/>
      <c r="BS28" s="178"/>
      <c r="BT28" s="178">
        <f>BO28*1.05</f>
        <v>535.04571441377129</v>
      </c>
      <c r="BU28" s="178"/>
      <c r="BV28" s="178"/>
      <c r="BW28" s="178"/>
      <c r="BX28" s="178"/>
      <c r="BY28" s="178">
        <f>BT28*1.05</f>
        <v>561.79800013445993</v>
      </c>
      <c r="BZ28" s="178"/>
      <c r="CA28" s="178"/>
      <c r="CB28" s="178"/>
      <c r="CC28" s="178"/>
      <c r="CD28" s="178">
        <f>BY28*1.05</f>
        <v>589.88790014118297</v>
      </c>
      <c r="CE28" s="178"/>
      <c r="CF28" s="178"/>
      <c r="CG28" s="178"/>
      <c r="CH28" s="178"/>
      <c r="CI28" s="178">
        <f>CD28*1.025</f>
        <v>604.63509764471246</v>
      </c>
      <c r="CJ28" s="178"/>
      <c r="CK28" s="178"/>
      <c r="CL28" s="178"/>
      <c r="CM28" s="178"/>
      <c r="CN28" s="178">
        <f>CI28*1.015</f>
        <v>613.70462410938308</v>
      </c>
      <c r="CO28" s="178"/>
      <c r="CP28" s="178"/>
      <c r="CQ28" s="178"/>
      <c r="CR28" s="178"/>
      <c r="CS28" s="178">
        <f>CN28*1.005</f>
        <v>616.77314722992992</v>
      </c>
      <c r="CT28" s="178"/>
      <c r="CU28" s="178"/>
      <c r="CV28" s="178"/>
      <c r="CW28" s="178"/>
      <c r="CX28" s="178">
        <f>CS28</f>
        <v>616.77314722992992</v>
      </c>
    </row>
    <row r="29" spans="2:102">
      <c r="B29" s="467" t="s">
        <v>217</v>
      </c>
      <c r="C29" s="427"/>
      <c r="D29" s="427"/>
      <c r="E29" s="427"/>
      <c r="F29" s="427"/>
      <c r="H29" s="427"/>
      <c r="I29" s="427"/>
      <c r="J29" s="427"/>
      <c r="K29" s="513">
        <f>K31*2</f>
        <v>3.0049817800000005</v>
      </c>
      <c r="L29" s="178">
        <f>K29</f>
        <v>3.0049817800000005</v>
      </c>
      <c r="M29" s="513">
        <f t="shared" ref="M29:Q29" si="41">M31*2</f>
        <v>20.838591710000006</v>
      </c>
      <c r="N29" s="513">
        <f>N31*2</f>
        <v>41.591730686666665</v>
      </c>
      <c r="O29" s="432">
        <f t="shared" si="41"/>
        <v>62.367157033333328</v>
      </c>
      <c r="P29" s="432">
        <f t="shared" si="41"/>
        <v>82.418020400000017</v>
      </c>
      <c r="Q29" s="180">
        <f t="shared" si="41"/>
        <v>207.21549983</v>
      </c>
      <c r="R29" s="432">
        <f>R31*2</f>
        <v>113.00851400000001</v>
      </c>
      <c r="S29" s="432">
        <f>S31*2</f>
        <v>130.886842</v>
      </c>
      <c r="T29" s="432">
        <f>T31*2</f>
        <v>171.71371864</v>
      </c>
      <c r="U29" s="432">
        <f>U31*2</f>
        <v>160.61791930000001</v>
      </c>
      <c r="V29" s="177">
        <f>V24-V28</f>
        <v>621.9795818832954</v>
      </c>
      <c r="W29" s="432">
        <f>W31*2</f>
        <v>164.49847267894862</v>
      </c>
      <c r="X29" s="432">
        <f>X31*2</f>
        <v>188.87638204839803</v>
      </c>
      <c r="Y29" s="432">
        <f>Y31*2</f>
        <v>228.23125423165612</v>
      </c>
      <c r="Z29" s="432">
        <f>Z31*2</f>
        <v>244.41573164799709</v>
      </c>
      <c r="AA29" s="177">
        <f>AA24-AA28</f>
        <v>740.30662671497294</v>
      </c>
      <c r="AB29" s="432">
        <f>AB31*2</f>
        <v>252.3</v>
      </c>
      <c r="AC29" s="432">
        <f>AC31*2</f>
        <v>292.7</v>
      </c>
      <c r="AD29" s="432">
        <f>AD31*2</f>
        <v>296.70000000000005</v>
      </c>
      <c r="AE29" s="432">
        <f>AE31*2</f>
        <v>276.50699999999995</v>
      </c>
      <c r="AF29" s="177">
        <f>AF24-AF28</f>
        <v>1118.2069999999999</v>
      </c>
      <c r="AG29" s="900">
        <f>AG31*2</f>
        <v>316.709</v>
      </c>
      <c r="AH29" s="900">
        <f>AH31*2</f>
        <v>326.779</v>
      </c>
      <c r="AI29" s="900">
        <f>AI31*2</f>
        <v>355.35199999999998</v>
      </c>
      <c r="AJ29" s="900">
        <f>AJ31*2</f>
        <v>403.40300000000002</v>
      </c>
      <c r="AK29" s="177">
        <f>SUM(AG29:AJ29)</f>
        <v>1402.2429999999999</v>
      </c>
      <c r="AL29" s="177"/>
      <c r="AM29" s="177"/>
      <c r="AN29" s="177"/>
      <c r="AO29" s="177"/>
      <c r="AP29" s="177">
        <f>AP24-AP28</f>
        <v>1369.7855595874587</v>
      </c>
      <c r="AQ29" s="177"/>
      <c r="AR29" s="177"/>
      <c r="AS29" s="177"/>
      <c r="AT29" s="177"/>
      <c r="AU29" s="177">
        <f>AU24-AU28</f>
        <v>1494.0607332302645</v>
      </c>
      <c r="AV29" s="177"/>
      <c r="AW29" s="177"/>
      <c r="AX29" s="177"/>
      <c r="AY29" s="177"/>
      <c r="AZ29" s="177">
        <f>AZ24-AZ28</f>
        <v>1424.0984745025933</v>
      </c>
      <c r="BE29" s="177">
        <f>BE24-BE28</f>
        <v>1337.3960192599616</v>
      </c>
      <c r="BF29" s="177"/>
      <c r="BG29" s="177"/>
      <c r="BH29" s="177"/>
      <c r="BI29" s="177"/>
      <c r="BJ29" s="177">
        <f>BJ24-BJ28</f>
        <v>1287.2441098438378</v>
      </c>
      <c r="BK29" s="177"/>
      <c r="BL29" s="177"/>
      <c r="BM29" s="177"/>
      <c r="BN29" s="177"/>
      <c r="BO29" s="177">
        <f>BO24-BO28</f>
        <v>1284.949732071</v>
      </c>
      <c r="BP29" s="177"/>
      <c r="BQ29" s="177"/>
      <c r="BR29" s="177"/>
      <c r="BS29" s="177"/>
      <c r="BT29" s="177">
        <f>BT24-BT28</f>
        <v>1247.944251674071</v>
      </c>
      <c r="BU29" s="177"/>
      <c r="BV29" s="177"/>
      <c r="BW29" s="177"/>
      <c r="BX29" s="177"/>
      <c r="BY29" s="177">
        <f>BY24-BY28</f>
        <v>1253.7666149366387</v>
      </c>
      <c r="BZ29" s="177"/>
      <c r="CA29" s="177"/>
      <c r="CB29" s="177"/>
      <c r="CC29" s="177"/>
      <c r="CD29" s="177">
        <f>CD24-CD28</f>
        <v>1254.4366116864685</v>
      </c>
      <c r="CE29" s="177"/>
      <c r="CF29" s="177"/>
      <c r="CG29" s="177"/>
      <c r="CH29" s="177"/>
      <c r="CI29" s="177">
        <f>CI24-CI28</f>
        <v>1051.6383779386024</v>
      </c>
      <c r="CJ29" s="177"/>
      <c r="CK29" s="177"/>
      <c r="CL29" s="177"/>
      <c r="CM29" s="177"/>
      <c r="CN29" s="177">
        <f>CN24-CN28</f>
        <v>904.66122788719849</v>
      </c>
      <c r="CO29" s="177"/>
      <c r="CP29" s="177"/>
      <c r="CQ29" s="177"/>
      <c r="CR29" s="177"/>
      <c r="CS29" s="177">
        <f>CS24-CS28</f>
        <v>736.22113160019489</v>
      </c>
      <c r="CT29" s="177"/>
      <c r="CU29" s="177"/>
      <c r="CV29" s="177"/>
      <c r="CW29" s="177"/>
      <c r="CX29" s="177">
        <f>CX24-CX28</f>
        <v>540.2956429114879</v>
      </c>
    </row>
    <row r="30" spans="2:102">
      <c r="B30" s="465"/>
      <c r="C30" s="427"/>
      <c r="D30" s="427"/>
      <c r="E30" s="427"/>
      <c r="F30" s="427"/>
      <c r="H30" s="427"/>
      <c r="I30" s="427"/>
      <c r="J30" s="427"/>
      <c r="K30" s="427"/>
      <c r="M30" s="427"/>
      <c r="N30" s="427"/>
      <c r="O30" s="427"/>
      <c r="P30" s="427"/>
      <c r="R30" s="427"/>
      <c r="S30" s="427"/>
      <c r="T30" s="427"/>
      <c r="U30" s="427"/>
      <c r="W30" s="427"/>
      <c r="X30" s="427"/>
      <c r="Y30" s="427"/>
      <c r="Z30" s="427"/>
      <c r="AB30" s="427"/>
      <c r="AC30" s="427"/>
      <c r="AD30" s="427"/>
      <c r="AE30" s="427"/>
      <c r="AG30" s="899"/>
      <c r="AH30" s="899"/>
      <c r="AI30" s="899"/>
      <c r="AJ30" s="899"/>
    </row>
    <row r="31" spans="2:102">
      <c r="B31" s="467" t="s">
        <v>652</v>
      </c>
      <c r="C31" s="427"/>
      <c r="D31" s="427"/>
      <c r="E31" s="427"/>
      <c r="F31" s="427"/>
      <c r="H31" s="427"/>
      <c r="I31" s="427"/>
      <c r="J31" s="427"/>
      <c r="K31" s="514">
        <f>K34-K32</f>
        <v>1.5024908900000002</v>
      </c>
      <c r="L31" s="178">
        <f>K31</f>
        <v>1.5024908900000002</v>
      </c>
      <c r="M31" s="514">
        <f t="shared" ref="M31:Q31" si="42">M34-M32</f>
        <v>10.419295855000003</v>
      </c>
      <c r="N31" s="514">
        <f t="shared" si="42"/>
        <v>20.795865343333332</v>
      </c>
      <c r="O31" s="514">
        <f t="shared" si="42"/>
        <v>31.183578516666664</v>
      </c>
      <c r="P31" s="514">
        <f t="shared" si="42"/>
        <v>41.209010200000009</v>
      </c>
      <c r="Q31" s="514">
        <f t="shared" si="42"/>
        <v>103.607749915</v>
      </c>
      <c r="R31" s="514">
        <f>R34-R32</f>
        <v>56.504257000000003</v>
      </c>
      <c r="S31" s="514">
        <f>S34-S32</f>
        <v>65.443421000000001</v>
      </c>
      <c r="T31" s="514">
        <f>T34-T32</f>
        <v>85.856859319999998</v>
      </c>
      <c r="U31" s="514">
        <f>U34-U32</f>
        <v>80.308959650000006</v>
      </c>
      <c r="V31" s="178">
        <f>SUM(R31:U31)</f>
        <v>288.11349697000003</v>
      </c>
      <c r="W31" s="514">
        <f>W34-W32</f>
        <v>82.249236339474308</v>
      </c>
      <c r="X31" s="514">
        <f>X34-X32</f>
        <v>94.438191024199014</v>
      </c>
      <c r="Y31" s="514">
        <f>Y34-Y32</f>
        <v>114.11562711582806</v>
      </c>
      <c r="Z31" s="514">
        <f>Z34-Z32</f>
        <v>122.20786582399855</v>
      </c>
      <c r="AA31" s="178">
        <f>SUM(W31:Z31)</f>
        <v>413.01092030349992</v>
      </c>
      <c r="AB31" s="514">
        <f>AB34-AB32</f>
        <v>126.15</v>
      </c>
      <c r="AC31" s="514">
        <f>AC34-AC32</f>
        <v>146.35</v>
      </c>
      <c r="AD31" s="514">
        <f>AD34-AD32</f>
        <v>148.35000000000002</v>
      </c>
      <c r="AE31" s="514">
        <f>AE34-AE32</f>
        <v>138.25349999999997</v>
      </c>
      <c r="AF31" s="178">
        <f>AF29/2</f>
        <v>559.10349999999994</v>
      </c>
      <c r="AG31" s="514">
        <f>AG34-AG32</f>
        <v>158.3545</v>
      </c>
      <c r="AH31" s="514">
        <f>AH34-AH32</f>
        <v>163.3895</v>
      </c>
      <c r="AI31" s="514">
        <f>AI34-AI32</f>
        <v>177.67599999999999</v>
      </c>
      <c r="AJ31" s="514">
        <f>AJ34-AJ32</f>
        <v>201.70150000000001</v>
      </c>
      <c r="AK31" s="178">
        <f>SUM(AG31:AJ31)</f>
        <v>701.12149999999997</v>
      </c>
      <c r="AP31" s="178">
        <f>AP29/2</f>
        <v>684.89277979372935</v>
      </c>
      <c r="AU31" s="178">
        <f>AU29/2</f>
        <v>747.03036661513227</v>
      </c>
      <c r="AZ31" s="178">
        <f>AZ29/2</f>
        <v>712.04923725129663</v>
      </c>
      <c r="BE31" s="178">
        <f t="shared" ref="BE31:CX31" si="43">BE29/2</f>
        <v>668.69800962998079</v>
      </c>
      <c r="BF31" s="178">
        <f t="shared" si="43"/>
        <v>0</v>
      </c>
      <c r="BG31" s="178">
        <f t="shared" si="43"/>
        <v>0</v>
      </c>
      <c r="BH31" s="178">
        <f t="shared" si="43"/>
        <v>0</v>
      </c>
      <c r="BI31" s="178">
        <f t="shared" si="43"/>
        <v>0</v>
      </c>
      <c r="BJ31" s="178">
        <f t="shared" si="43"/>
        <v>643.6220549219189</v>
      </c>
      <c r="BK31" s="178">
        <f t="shared" si="43"/>
        <v>0</v>
      </c>
      <c r="BL31" s="178">
        <f t="shared" si="43"/>
        <v>0</v>
      </c>
      <c r="BM31" s="178">
        <f t="shared" si="43"/>
        <v>0</v>
      </c>
      <c r="BN31" s="178">
        <f t="shared" si="43"/>
        <v>0</v>
      </c>
      <c r="BO31" s="178">
        <f t="shared" si="43"/>
        <v>642.47486603549999</v>
      </c>
      <c r="BP31" s="178">
        <f t="shared" si="43"/>
        <v>0</v>
      </c>
      <c r="BQ31" s="178">
        <f t="shared" si="43"/>
        <v>0</v>
      </c>
      <c r="BR31" s="178">
        <f t="shared" si="43"/>
        <v>0</v>
      </c>
      <c r="BS31" s="178">
        <f t="shared" si="43"/>
        <v>0</v>
      </c>
      <c r="BT31" s="178">
        <f t="shared" si="43"/>
        <v>623.97212583703549</v>
      </c>
      <c r="BU31" s="178">
        <f t="shared" si="43"/>
        <v>0</v>
      </c>
      <c r="BV31" s="178">
        <f t="shared" si="43"/>
        <v>0</v>
      </c>
      <c r="BW31" s="178">
        <f t="shared" si="43"/>
        <v>0</v>
      </c>
      <c r="BX31" s="178">
        <f t="shared" si="43"/>
        <v>0</v>
      </c>
      <c r="BY31" s="178">
        <f t="shared" si="43"/>
        <v>626.88330746831934</v>
      </c>
      <c r="BZ31" s="178">
        <f t="shared" si="43"/>
        <v>0</v>
      </c>
      <c r="CA31" s="178">
        <f t="shared" si="43"/>
        <v>0</v>
      </c>
      <c r="CB31" s="178">
        <f t="shared" si="43"/>
        <v>0</v>
      </c>
      <c r="CC31" s="178">
        <f t="shared" si="43"/>
        <v>0</v>
      </c>
      <c r="CD31" s="178">
        <f t="shared" si="43"/>
        <v>627.21830584323425</v>
      </c>
      <c r="CE31" s="178">
        <f t="shared" si="43"/>
        <v>0</v>
      </c>
      <c r="CF31" s="178">
        <f t="shared" si="43"/>
        <v>0</v>
      </c>
      <c r="CG31" s="178">
        <f t="shared" si="43"/>
        <v>0</v>
      </c>
      <c r="CH31" s="178">
        <f t="shared" si="43"/>
        <v>0</v>
      </c>
      <c r="CI31" s="178">
        <f t="shared" si="43"/>
        <v>525.81918896930119</v>
      </c>
      <c r="CJ31" s="178">
        <f t="shared" si="43"/>
        <v>0</v>
      </c>
      <c r="CK31" s="178">
        <f t="shared" si="43"/>
        <v>0</v>
      </c>
      <c r="CL31" s="178">
        <f t="shared" si="43"/>
        <v>0</v>
      </c>
      <c r="CM31" s="178">
        <f t="shared" si="43"/>
        <v>0</v>
      </c>
      <c r="CN31" s="178">
        <f t="shared" si="43"/>
        <v>452.33061394359925</v>
      </c>
      <c r="CO31" s="178">
        <f t="shared" si="43"/>
        <v>0</v>
      </c>
      <c r="CP31" s="178">
        <f t="shared" si="43"/>
        <v>0</v>
      </c>
      <c r="CQ31" s="178">
        <f t="shared" si="43"/>
        <v>0</v>
      </c>
      <c r="CR31" s="178">
        <f t="shared" si="43"/>
        <v>0</v>
      </c>
      <c r="CS31" s="178">
        <f t="shared" si="43"/>
        <v>368.11056580009745</v>
      </c>
      <c r="CT31" s="178">
        <f t="shared" si="43"/>
        <v>0</v>
      </c>
      <c r="CU31" s="178">
        <f t="shared" si="43"/>
        <v>0</v>
      </c>
      <c r="CV31" s="178">
        <f t="shared" si="43"/>
        <v>0</v>
      </c>
      <c r="CW31" s="178">
        <f t="shared" si="43"/>
        <v>0</v>
      </c>
      <c r="CX31" s="178">
        <f t="shared" si="43"/>
        <v>270.14782145574395</v>
      </c>
    </row>
    <row r="32" spans="2:102">
      <c r="B32" s="467" t="s">
        <v>663</v>
      </c>
      <c r="C32" s="427"/>
      <c r="D32" s="427"/>
      <c r="E32" s="427"/>
      <c r="F32" s="427"/>
      <c r="H32" s="427"/>
      <c r="I32" s="427"/>
      <c r="J32" s="427"/>
      <c r="K32" s="513">
        <f>K33*K25</f>
        <v>2.6975091099999999</v>
      </c>
      <c r="L32" s="178">
        <f>K32</f>
        <v>2.6975091099999999</v>
      </c>
      <c r="M32" s="513">
        <f>M33*M25</f>
        <v>9.1807041449999982</v>
      </c>
      <c r="N32" s="513">
        <f>N33*N25</f>
        <v>13.204134656666666</v>
      </c>
      <c r="O32" s="513">
        <f>O33*O25</f>
        <v>15.116421483333331</v>
      </c>
      <c r="P32" s="513">
        <f>P33*P25</f>
        <v>17.990989799999998</v>
      </c>
      <c r="Q32" s="178">
        <f>SUM(M32:P32)</f>
        <v>55.492250084999995</v>
      </c>
      <c r="R32" s="513">
        <f>R33*R25</f>
        <v>18.495742999999997</v>
      </c>
      <c r="S32" s="513">
        <f>S33*S25</f>
        <v>16.056578999999999</v>
      </c>
      <c r="T32" s="513">
        <f>T33*T25</f>
        <v>13.943140680000001</v>
      </c>
      <c r="U32" s="513">
        <f>U33*U25</f>
        <v>21.691040349999998</v>
      </c>
      <c r="V32" s="178">
        <f>SUM(R32:U32)</f>
        <v>70.186503029999997</v>
      </c>
      <c r="W32" s="513">
        <f>W33*W25</f>
        <v>21.150763660525701</v>
      </c>
      <c r="X32" s="513">
        <f t="shared" ref="X32:AJ32" si="44">X33*X25</f>
        <v>25.961808975800995</v>
      </c>
      <c r="Y32" s="513">
        <f t="shared" si="44"/>
        <v>30.084372884171934</v>
      </c>
      <c r="Z32" s="513">
        <f t="shared" si="44"/>
        <v>31.592134176001377</v>
      </c>
      <c r="AA32" s="178">
        <f>SUM(W32:Z32)</f>
        <v>108.78907969650001</v>
      </c>
      <c r="AB32" s="513">
        <f t="shared" si="44"/>
        <v>33.25</v>
      </c>
      <c r="AC32" s="513">
        <f t="shared" si="44"/>
        <v>34.65</v>
      </c>
      <c r="AD32" s="513">
        <f t="shared" si="44"/>
        <v>36.049999999999997</v>
      </c>
      <c r="AE32" s="513">
        <f t="shared" si="44"/>
        <v>40.246499999999997</v>
      </c>
      <c r="AF32" s="178">
        <f>AF33*AF25</f>
        <v>141.42580360545003</v>
      </c>
      <c r="AG32" s="906">
        <f t="shared" si="44"/>
        <v>30.145499999999995</v>
      </c>
      <c r="AH32" s="906">
        <f t="shared" si="44"/>
        <v>41.310499999999998</v>
      </c>
      <c r="AI32" s="906">
        <f t="shared" si="44"/>
        <v>40.823999999999998</v>
      </c>
      <c r="AJ32" s="906">
        <f t="shared" si="44"/>
        <v>43.298499999999997</v>
      </c>
      <c r="AK32" s="178">
        <f>AK33*AK25</f>
        <v>176.78225450681251</v>
      </c>
      <c r="AP32" s="178">
        <f>AP33*AP25</f>
        <v>194.46047995749376</v>
      </c>
      <c r="AU32" s="178">
        <f>AU33*AU25</f>
        <v>229.18556566418908</v>
      </c>
      <c r="AZ32" s="178">
        <f>AZ33*AZ25</f>
        <v>252.10412223060803</v>
      </c>
      <c r="BE32" s="178">
        <f t="shared" ref="BE32:CX32" si="45">BE33*BE25</f>
        <v>277.31453445366884</v>
      </c>
      <c r="BF32" s="178">
        <f t="shared" si="45"/>
        <v>0</v>
      </c>
      <c r="BG32" s="178">
        <f t="shared" si="45"/>
        <v>0</v>
      </c>
      <c r="BH32" s="178">
        <f t="shared" si="45"/>
        <v>0</v>
      </c>
      <c r="BI32" s="178">
        <f t="shared" si="45"/>
        <v>0</v>
      </c>
      <c r="BJ32" s="178">
        <f t="shared" si="45"/>
        <v>305.04598789903571</v>
      </c>
      <c r="BK32" s="178">
        <f t="shared" si="45"/>
        <v>0</v>
      </c>
      <c r="BL32" s="178">
        <f t="shared" si="45"/>
        <v>0</v>
      </c>
      <c r="BM32" s="178">
        <f t="shared" si="45"/>
        <v>0</v>
      </c>
      <c r="BN32" s="178">
        <f t="shared" si="45"/>
        <v>0</v>
      </c>
      <c r="BO32" s="178">
        <f t="shared" si="45"/>
        <v>320.29828729398753</v>
      </c>
      <c r="BP32" s="178">
        <f t="shared" si="45"/>
        <v>0</v>
      </c>
      <c r="BQ32" s="178">
        <f t="shared" si="45"/>
        <v>0</v>
      </c>
      <c r="BR32" s="178">
        <f t="shared" si="45"/>
        <v>0</v>
      </c>
      <c r="BS32" s="178">
        <f t="shared" si="45"/>
        <v>0</v>
      </c>
      <c r="BT32" s="178">
        <f t="shared" si="45"/>
        <v>336.31320165868692</v>
      </c>
      <c r="BU32" s="178">
        <f t="shared" si="45"/>
        <v>0</v>
      </c>
      <c r="BV32" s="178">
        <f t="shared" si="45"/>
        <v>0</v>
      </c>
      <c r="BW32" s="178">
        <f t="shared" si="45"/>
        <v>0</v>
      </c>
      <c r="BX32" s="178">
        <f t="shared" si="45"/>
        <v>0</v>
      </c>
      <c r="BY32" s="178">
        <f t="shared" si="45"/>
        <v>376.67078585772941</v>
      </c>
      <c r="BZ32" s="178">
        <f t="shared" si="45"/>
        <v>0</v>
      </c>
      <c r="CA32" s="178">
        <f t="shared" si="45"/>
        <v>0</v>
      </c>
      <c r="CB32" s="178">
        <f t="shared" si="45"/>
        <v>0</v>
      </c>
      <c r="CC32" s="178">
        <f t="shared" si="45"/>
        <v>0</v>
      </c>
      <c r="CD32" s="178">
        <f t="shared" si="45"/>
        <v>395.5043251506159</v>
      </c>
      <c r="CE32" s="178">
        <f t="shared" si="45"/>
        <v>0</v>
      </c>
      <c r="CF32" s="178">
        <f t="shared" si="45"/>
        <v>0</v>
      </c>
      <c r="CG32" s="178">
        <f t="shared" si="45"/>
        <v>0</v>
      </c>
      <c r="CH32" s="178">
        <f t="shared" si="45"/>
        <v>0</v>
      </c>
      <c r="CI32" s="178">
        <f t="shared" si="45"/>
        <v>405.39193327938125</v>
      </c>
      <c r="CJ32" s="178">
        <f t="shared" si="45"/>
        <v>0</v>
      </c>
      <c r="CK32" s="178">
        <f t="shared" si="45"/>
        <v>0</v>
      </c>
      <c r="CL32" s="178">
        <f t="shared" si="45"/>
        <v>0</v>
      </c>
      <c r="CM32" s="178">
        <f t="shared" si="45"/>
        <v>0</v>
      </c>
      <c r="CN32" s="178">
        <f t="shared" si="45"/>
        <v>415.52673161136573</v>
      </c>
      <c r="CO32" s="178">
        <f t="shared" si="45"/>
        <v>0</v>
      </c>
      <c r="CP32" s="178">
        <f t="shared" si="45"/>
        <v>0</v>
      </c>
      <c r="CQ32" s="178">
        <f t="shared" si="45"/>
        <v>0</v>
      </c>
      <c r="CR32" s="178">
        <f t="shared" si="45"/>
        <v>0</v>
      </c>
      <c r="CS32" s="178">
        <f t="shared" si="45"/>
        <v>425.91489990164985</v>
      </c>
      <c r="CT32" s="178">
        <f t="shared" si="45"/>
        <v>0</v>
      </c>
      <c r="CU32" s="178">
        <f t="shared" si="45"/>
        <v>0</v>
      </c>
      <c r="CV32" s="178">
        <f t="shared" si="45"/>
        <v>0</v>
      </c>
      <c r="CW32" s="178">
        <f t="shared" si="45"/>
        <v>0</v>
      </c>
      <c r="CX32" s="178">
        <f t="shared" si="45"/>
        <v>436.56277239919103</v>
      </c>
    </row>
    <row r="33" spans="2:103" s="188" customFormat="1">
      <c r="B33" s="527" t="s">
        <v>656</v>
      </c>
      <c r="C33" s="515"/>
      <c r="D33" s="515"/>
      <c r="E33" s="515"/>
      <c r="F33" s="515"/>
      <c r="H33" s="515"/>
      <c r="I33" s="515"/>
      <c r="J33" s="515"/>
      <c r="K33" s="528">
        <v>0.33500000000000002</v>
      </c>
      <c r="L33" s="220">
        <f>K33</f>
        <v>0.33500000000000002</v>
      </c>
      <c r="M33" s="528">
        <v>0.33500000000000002</v>
      </c>
      <c r="N33" s="529">
        <f>M33</f>
        <v>0.33500000000000002</v>
      </c>
      <c r="O33" s="529">
        <v>0.35</v>
      </c>
      <c r="P33" s="529">
        <f>O33</f>
        <v>0.35</v>
      </c>
      <c r="Q33" s="224">
        <f>Q32/Q25</f>
        <v>0.34379042516260983</v>
      </c>
      <c r="R33" s="529">
        <f>P33</f>
        <v>0.35</v>
      </c>
      <c r="S33" s="529">
        <f>R33</f>
        <v>0.35</v>
      </c>
      <c r="T33" s="529">
        <f>S33</f>
        <v>0.35</v>
      </c>
      <c r="U33" s="529">
        <f>T33</f>
        <v>0.35</v>
      </c>
      <c r="V33" s="224">
        <f>V32/V25</f>
        <v>0.34999999999999992</v>
      </c>
      <c r="W33" s="529">
        <f>AA33</f>
        <v>0.35</v>
      </c>
      <c r="X33" s="529">
        <f>W33</f>
        <v>0.35</v>
      </c>
      <c r="Y33" s="529">
        <f t="shared" ref="Y33:AB33" si="46">X33</f>
        <v>0.35</v>
      </c>
      <c r="Z33" s="529">
        <f t="shared" si="46"/>
        <v>0.35</v>
      </c>
      <c r="AA33" s="220">
        <f>U33</f>
        <v>0.35</v>
      </c>
      <c r="AB33" s="529">
        <f t="shared" si="46"/>
        <v>0.35</v>
      </c>
      <c r="AC33" s="529">
        <f t="shared" ref="AC33" si="47">AB33</f>
        <v>0.35</v>
      </c>
      <c r="AD33" s="529">
        <f t="shared" ref="AD33" si="48">AC33</f>
        <v>0.35</v>
      </c>
      <c r="AE33" s="529">
        <f t="shared" ref="AE33" si="49">AD33</f>
        <v>0.35</v>
      </c>
      <c r="AF33" s="220">
        <f>AA33</f>
        <v>0.35</v>
      </c>
      <c r="AG33" s="914">
        <f>AK33</f>
        <v>0.35</v>
      </c>
      <c r="AH33" s="914">
        <f>AG33</f>
        <v>0.35</v>
      </c>
      <c r="AI33" s="915">
        <f t="shared" ref="AI33:AJ33" si="50">AH33</f>
        <v>0.35</v>
      </c>
      <c r="AJ33" s="915">
        <f t="shared" si="50"/>
        <v>0.35</v>
      </c>
      <c r="AK33" s="220">
        <f>AF33</f>
        <v>0.35</v>
      </c>
      <c r="AP33" s="220">
        <f>AK33</f>
        <v>0.35</v>
      </c>
      <c r="AU33" s="220">
        <v>0.375</v>
      </c>
      <c r="AZ33" s="220">
        <f>AU33</f>
        <v>0.375</v>
      </c>
      <c r="BE33" s="220">
        <f>AZ33</f>
        <v>0.375</v>
      </c>
      <c r="BJ33" s="220">
        <f t="shared" ref="BJ33:BT33" si="51">BE33</f>
        <v>0.375</v>
      </c>
      <c r="BK33" s="220">
        <f t="shared" si="51"/>
        <v>0</v>
      </c>
      <c r="BL33" s="220">
        <f t="shared" si="51"/>
        <v>0</v>
      </c>
      <c r="BM33" s="220">
        <f t="shared" si="51"/>
        <v>0</v>
      </c>
      <c r="BN33" s="220">
        <f t="shared" si="51"/>
        <v>0</v>
      </c>
      <c r="BO33" s="220">
        <f t="shared" si="51"/>
        <v>0.375</v>
      </c>
      <c r="BP33" s="220">
        <f t="shared" si="51"/>
        <v>0</v>
      </c>
      <c r="BQ33" s="220">
        <f t="shared" si="51"/>
        <v>0</v>
      </c>
      <c r="BR33" s="220">
        <f t="shared" si="51"/>
        <v>0</v>
      </c>
      <c r="BS33" s="220">
        <f t="shared" si="51"/>
        <v>0</v>
      </c>
      <c r="BT33" s="220">
        <f t="shared" si="51"/>
        <v>0.375</v>
      </c>
      <c r="BU33" s="220"/>
      <c r="BV33" s="220"/>
      <c r="BW33" s="220"/>
      <c r="BX33" s="220"/>
      <c r="BY33" s="220">
        <v>0.4</v>
      </c>
      <c r="BZ33" s="220"/>
      <c r="CA33" s="220"/>
      <c r="CB33" s="220"/>
      <c r="CC33" s="220"/>
      <c r="CD33" s="220">
        <f>BY33</f>
        <v>0.4</v>
      </c>
      <c r="CE33" s="220"/>
      <c r="CF33" s="220"/>
      <c r="CG33" s="220"/>
      <c r="CH33" s="220"/>
      <c r="CI33" s="220">
        <f t="shared" ref="CI33:CX33" si="52">CD33</f>
        <v>0.4</v>
      </c>
      <c r="CJ33" s="220">
        <f t="shared" si="52"/>
        <v>0</v>
      </c>
      <c r="CK33" s="220">
        <f t="shared" si="52"/>
        <v>0</v>
      </c>
      <c r="CL33" s="220">
        <f t="shared" si="52"/>
        <v>0</v>
      </c>
      <c r="CM33" s="220">
        <f t="shared" si="52"/>
        <v>0</v>
      </c>
      <c r="CN33" s="220">
        <f t="shared" si="52"/>
        <v>0.4</v>
      </c>
      <c r="CO33" s="220">
        <f t="shared" si="52"/>
        <v>0</v>
      </c>
      <c r="CP33" s="220">
        <f t="shared" si="52"/>
        <v>0</v>
      </c>
      <c r="CQ33" s="220">
        <f t="shared" si="52"/>
        <v>0</v>
      </c>
      <c r="CR33" s="220">
        <f t="shared" si="52"/>
        <v>0</v>
      </c>
      <c r="CS33" s="220">
        <f t="shared" si="52"/>
        <v>0.4</v>
      </c>
      <c r="CT33" s="220">
        <f t="shared" si="52"/>
        <v>0</v>
      </c>
      <c r="CU33" s="220">
        <f t="shared" si="52"/>
        <v>0</v>
      </c>
      <c r="CV33" s="220">
        <f t="shared" si="52"/>
        <v>0</v>
      </c>
      <c r="CW33" s="220">
        <f t="shared" si="52"/>
        <v>0</v>
      </c>
      <c r="CX33" s="220">
        <f t="shared" si="52"/>
        <v>0.4</v>
      </c>
    </row>
    <row r="34" spans="2:103">
      <c r="B34" s="530" t="s">
        <v>653</v>
      </c>
      <c r="C34" s="435"/>
      <c r="D34" s="435"/>
      <c r="E34" s="435"/>
      <c r="F34" s="435"/>
      <c r="G34" s="173"/>
      <c r="H34" s="435"/>
      <c r="I34" s="435"/>
      <c r="J34" s="435"/>
      <c r="K34" s="531">
        <v>4.2</v>
      </c>
      <c r="L34" s="173">
        <f>SUM(H34:K34)</f>
        <v>4.2</v>
      </c>
      <c r="M34" s="531">
        <v>19.600000000000001</v>
      </c>
      <c r="N34" s="532">
        <v>34</v>
      </c>
      <c r="O34" s="532">
        <v>46.3</v>
      </c>
      <c r="P34" s="533">
        <f>Q34-M34-N34-O34</f>
        <v>59.2</v>
      </c>
      <c r="Q34" s="534">
        <v>159.1</v>
      </c>
      <c r="R34" s="532">
        <f>61+14</f>
        <v>75</v>
      </c>
      <c r="S34" s="532">
        <v>81.5</v>
      </c>
      <c r="T34" s="532">
        <v>99.8</v>
      </c>
      <c r="U34" s="532">
        <f>88+14</f>
        <v>102</v>
      </c>
      <c r="V34" s="225">
        <f t="shared" ref="V34" si="53">V32+V31</f>
        <v>358.3</v>
      </c>
      <c r="W34" s="532">
        <v>103.4</v>
      </c>
      <c r="X34" s="532">
        <v>120.4</v>
      </c>
      <c r="Y34" s="532">
        <v>144.19999999999999</v>
      </c>
      <c r="Z34" s="532">
        <f>521.8-Y34-X34-W34</f>
        <v>153.79999999999993</v>
      </c>
      <c r="AA34" s="225">
        <f>AA32+AA31</f>
        <v>521.79999999999995</v>
      </c>
      <c r="AB34" s="532">
        <v>159.4</v>
      </c>
      <c r="AC34" s="532">
        <v>181</v>
      </c>
      <c r="AD34" s="532">
        <v>184.4</v>
      </c>
      <c r="AE34" s="532">
        <f>703.3-AB34-AC34-AD34</f>
        <v>178.49999999999997</v>
      </c>
      <c r="AF34" s="225">
        <f>AF32+AF31</f>
        <v>700.52930360544997</v>
      </c>
      <c r="AG34" s="979">
        <v>188.5</v>
      </c>
      <c r="AH34" s="979">
        <v>204.7</v>
      </c>
      <c r="AI34" s="979">
        <v>218.5</v>
      </c>
      <c r="AJ34" s="979">
        <v>245</v>
      </c>
      <c r="AK34" s="225">
        <f t="shared" ref="AK34" si="54">AK32+AK31</f>
        <v>877.90375450681245</v>
      </c>
      <c r="AL34" s="173"/>
      <c r="AM34" s="173"/>
      <c r="AN34" s="173"/>
      <c r="AO34" s="173"/>
      <c r="AP34" s="226">
        <f>AP32+AP31</f>
        <v>879.35325975122305</v>
      </c>
      <c r="AQ34" s="226"/>
      <c r="AR34" s="226"/>
      <c r="AS34" s="226"/>
      <c r="AT34" s="226"/>
      <c r="AU34" s="226">
        <f>AU32+AU31</f>
        <v>976.21593227932135</v>
      </c>
      <c r="AV34" s="226"/>
      <c r="AW34" s="226"/>
      <c r="AX34" s="226"/>
      <c r="AY34" s="226"/>
      <c r="AZ34" s="226">
        <f>AZ32+AZ31</f>
        <v>964.15335948190466</v>
      </c>
      <c r="BE34" s="226">
        <f t="shared" ref="BE34:CX34" si="55">BE32+BE31</f>
        <v>946.01254408364957</v>
      </c>
      <c r="BF34" s="226">
        <f t="shared" si="55"/>
        <v>0</v>
      </c>
      <c r="BG34" s="226">
        <f t="shared" si="55"/>
        <v>0</v>
      </c>
      <c r="BH34" s="226">
        <f t="shared" si="55"/>
        <v>0</v>
      </c>
      <c r="BI34" s="226">
        <f t="shared" si="55"/>
        <v>0</v>
      </c>
      <c r="BJ34" s="226">
        <f t="shared" si="55"/>
        <v>948.66804282095461</v>
      </c>
      <c r="BK34" s="226">
        <f t="shared" si="55"/>
        <v>0</v>
      </c>
      <c r="BL34" s="226">
        <f t="shared" si="55"/>
        <v>0</v>
      </c>
      <c r="BM34" s="226">
        <f t="shared" si="55"/>
        <v>0</v>
      </c>
      <c r="BN34" s="226">
        <f t="shared" si="55"/>
        <v>0</v>
      </c>
      <c r="BO34" s="226">
        <f t="shared" si="55"/>
        <v>962.77315332948751</v>
      </c>
      <c r="BP34" s="226">
        <f t="shared" si="55"/>
        <v>0</v>
      </c>
      <c r="BQ34" s="226">
        <f t="shared" si="55"/>
        <v>0</v>
      </c>
      <c r="BR34" s="226">
        <f t="shared" si="55"/>
        <v>0</v>
      </c>
      <c r="BS34" s="226">
        <f t="shared" si="55"/>
        <v>0</v>
      </c>
      <c r="BT34" s="226">
        <f t="shared" si="55"/>
        <v>960.28532749572241</v>
      </c>
      <c r="BU34" s="226">
        <f t="shared" si="55"/>
        <v>0</v>
      </c>
      <c r="BV34" s="226">
        <f t="shared" si="55"/>
        <v>0</v>
      </c>
      <c r="BW34" s="226">
        <f t="shared" si="55"/>
        <v>0</v>
      </c>
      <c r="BX34" s="226">
        <f t="shared" si="55"/>
        <v>0</v>
      </c>
      <c r="BY34" s="226">
        <f t="shared" si="55"/>
        <v>1003.5540933260488</v>
      </c>
      <c r="BZ34" s="226">
        <f t="shared" si="55"/>
        <v>0</v>
      </c>
      <c r="CA34" s="226">
        <f t="shared" si="55"/>
        <v>0</v>
      </c>
      <c r="CB34" s="226">
        <f t="shared" si="55"/>
        <v>0</v>
      </c>
      <c r="CC34" s="226">
        <f t="shared" si="55"/>
        <v>0</v>
      </c>
      <c r="CD34" s="226">
        <f t="shared" si="55"/>
        <v>1022.7226309938501</v>
      </c>
      <c r="CE34" s="226">
        <f t="shared" si="55"/>
        <v>0</v>
      </c>
      <c r="CF34" s="226">
        <f t="shared" si="55"/>
        <v>0</v>
      </c>
      <c r="CG34" s="226">
        <f t="shared" si="55"/>
        <v>0</v>
      </c>
      <c r="CH34" s="226">
        <f t="shared" si="55"/>
        <v>0</v>
      </c>
      <c r="CI34" s="226">
        <f t="shared" si="55"/>
        <v>931.21112224868239</v>
      </c>
      <c r="CJ34" s="226">
        <f t="shared" si="55"/>
        <v>0</v>
      </c>
      <c r="CK34" s="226">
        <f t="shared" si="55"/>
        <v>0</v>
      </c>
      <c r="CL34" s="226">
        <f t="shared" si="55"/>
        <v>0</v>
      </c>
      <c r="CM34" s="226">
        <f t="shared" si="55"/>
        <v>0</v>
      </c>
      <c r="CN34" s="226">
        <f t="shared" si="55"/>
        <v>867.85734555496492</v>
      </c>
      <c r="CO34" s="226">
        <f t="shared" si="55"/>
        <v>0</v>
      </c>
      <c r="CP34" s="226">
        <f t="shared" si="55"/>
        <v>0</v>
      </c>
      <c r="CQ34" s="226">
        <f t="shared" si="55"/>
        <v>0</v>
      </c>
      <c r="CR34" s="226">
        <f t="shared" si="55"/>
        <v>0</v>
      </c>
      <c r="CS34" s="226">
        <f t="shared" si="55"/>
        <v>794.02546570174729</v>
      </c>
      <c r="CT34" s="226">
        <f t="shared" si="55"/>
        <v>0</v>
      </c>
      <c r="CU34" s="226">
        <f t="shared" si="55"/>
        <v>0</v>
      </c>
      <c r="CV34" s="226">
        <f t="shared" si="55"/>
        <v>0</v>
      </c>
      <c r="CW34" s="226">
        <f t="shared" si="55"/>
        <v>0</v>
      </c>
      <c r="CX34" s="226">
        <f t="shared" si="55"/>
        <v>706.71059385493504</v>
      </c>
    </row>
    <row r="35" spans="2:103">
      <c r="B35" s="465"/>
      <c r="C35" s="427"/>
      <c r="D35" s="427"/>
      <c r="E35" s="427"/>
      <c r="F35" s="427"/>
      <c r="H35" s="427"/>
      <c r="I35" s="427"/>
      <c r="J35" s="427"/>
      <c r="K35" s="427"/>
      <c r="M35" s="427"/>
      <c r="N35" s="427"/>
      <c r="O35" s="427"/>
      <c r="P35" s="427"/>
      <c r="R35" s="427"/>
      <c r="S35" s="427"/>
      <c r="T35" s="427"/>
      <c r="U35" s="427"/>
      <c r="W35" s="427"/>
      <c r="X35" s="427"/>
      <c r="Y35" s="427"/>
      <c r="Z35" s="427"/>
      <c r="AB35" s="427"/>
      <c r="AC35" s="427"/>
      <c r="AD35" s="427"/>
      <c r="AE35" s="427"/>
      <c r="AG35" s="906"/>
      <c r="AH35" s="899"/>
      <c r="AI35" s="899"/>
      <c r="AJ35" s="899"/>
    </row>
    <row r="36" spans="2:103">
      <c r="B36" s="467" t="s">
        <v>659</v>
      </c>
      <c r="C36" s="427"/>
      <c r="D36" s="427"/>
      <c r="E36" s="427"/>
      <c r="F36" s="427"/>
      <c r="H36" s="427"/>
      <c r="I36" s="427"/>
      <c r="J36" s="427"/>
      <c r="K36" s="427"/>
      <c r="M36" s="427"/>
      <c r="N36" s="427"/>
      <c r="O36" s="427"/>
      <c r="P36" s="427"/>
      <c r="R36" s="427"/>
      <c r="S36" s="427"/>
      <c r="T36" s="427"/>
      <c r="U36" s="427"/>
      <c r="W36" s="427"/>
      <c r="X36" s="427"/>
      <c r="Y36" s="427"/>
      <c r="Z36" s="427"/>
      <c r="AB36" s="427"/>
      <c r="AC36" s="427"/>
      <c r="AD36" s="427"/>
      <c r="AE36" s="427"/>
      <c r="AG36" s="899"/>
      <c r="AH36" s="899"/>
      <c r="AI36" s="899"/>
      <c r="AJ36" s="899"/>
    </row>
    <row r="37" spans="2:103">
      <c r="B37" s="467"/>
      <c r="C37" s="427"/>
      <c r="D37" s="427"/>
      <c r="E37" s="427"/>
      <c r="F37" s="427"/>
      <c r="H37" s="427"/>
      <c r="I37" s="427"/>
      <c r="J37" s="427"/>
      <c r="K37" s="427"/>
      <c r="M37" s="427"/>
      <c r="N37" s="427"/>
      <c r="O37" s="427"/>
      <c r="P37" s="427"/>
      <c r="R37" s="427"/>
      <c r="S37" s="427"/>
      <c r="T37" s="427"/>
      <c r="U37" s="427"/>
      <c r="W37" s="427"/>
      <c r="X37" s="427"/>
      <c r="Y37" s="427"/>
      <c r="Z37" s="427"/>
      <c r="AA37" s="178"/>
      <c r="AB37" s="427"/>
      <c r="AC37" s="427"/>
      <c r="AD37" s="427"/>
      <c r="AE37" s="513"/>
      <c r="AG37" s="899"/>
      <c r="AH37" s="899"/>
      <c r="AI37" s="899"/>
      <c r="AJ37" s="899"/>
    </row>
    <row r="38" spans="2:103">
      <c r="B38" s="535" t="s">
        <v>664</v>
      </c>
      <c r="C38" s="427"/>
      <c r="D38" s="427"/>
      <c r="E38" s="427"/>
      <c r="F38" s="427"/>
      <c r="H38" s="427"/>
      <c r="I38" s="427"/>
      <c r="J38" s="427"/>
      <c r="K38" s="514">
        <f>K42-K34</f>
        <v>-4.2</v>
      </c>
      <c r="L38" s="178">
        <f>K38</f>
        <v>-4.2</v>
      </c>
      <c r="M38" s="514">
        <f>M42-M34</f>
        <v>-13.238000000000001</v>
      </c>
      <c r="N38" s="514">
        <f>N42-N34</f>
        <v>-14.945</v>
      </c>
      <c r="O38" s="514">
        <f>O42-O34</f>
        <v>-14.530999999999999</v>
      </c>
      <c r="P38" s="514">
        <f>P42-P34</f>
        <v>-14.886000000000003</v>
      </c>
      <c r="Q38" s="178">
        <f>SUM(M38:P38)</f>
        <v>-57.6</v>
      </c>
      <c r="R38" s="514">
        <f>R42-R34</f>
        <v>-13.841000000000001</v>
      </c>
      <c r="S38" s="514">
        <f>S42-S34</f>
        <v>-14.718999999999994</v>
      </c>
      <c r="T38" s="514">
        <f>T42-T34</f>
        <v>-14.448999999999998</v>
      </c>
      <c r="U38" s="514">
        <f>U42-U34</f>
        <v>-13.989000000000004</v>
      </c>
      <c r="V38" s="178">
        <f>SUM(R38:U38)</f>
        <v>-56.997999999999998</v>
      </c>
      <c r="W38" s="514">
        <f>W42-W34</f>
        <v>-13.974000000000004</v>
      </c>
      <c r="X38" s="514">
        <f>X42-X34</f>
        <v>-13.769000000000005</v>
      </c>
      <c r="Y38" s="514">
        <f>Y42-Y34</f>
        <v>-13.689999999999998</v>
      </c>
      <c r="Z38" s="514">
        <f>Z42-Z34</f>
        <v>-13.699999999999932</v>
      </c>
      <c r="AA38" s="178">
        <f>SUM(W38:Z38)</f>
        <v>-55.132999999999939</v>
      </c>
      <c r="AB38" s="514">
        <f>AB42-AB34</f>
        <v>-13.564999999999998</v>
      </c>
      <c r="AC38" s="514">
        <f>AC42-AC34</f>
        <v>-13.50800000000001</v>
      </c>
      <c r="AD38" s="514">
        <f>AD42-AD34</f>
        <v>-13.545999999999992</v>
      </c>
      <c r="AE38" s="514">
        <f>AE42-AE34</f>
        <v>-13.448999999999984</v>
      </c>
      <c r="AF38" s="178">
        <f>SUM(AB38:AE38)</f>
        <v>-54.067999999999984</v>
      </c>
      <c r="AG38" s="514">
        <f>AG42-AG34</f>
        <v>-13.623999999999995</v>
      </c>
      <c r="AH38" s="514">
        <f>AH42-AH34</f>
        <v>-13.816999999999979</v>
      </c>
      <c r="AI38" s="514">
        <f>AI42-AI34</f>
        <v>-13.13300000000001</v>
      </c>
      <c r="AJ38" s="514">
        <f>AJ42-AJ34</f>
        <v>-13.826000000000022</v>
      </c>
      <c r="AK38" s="178">
        <f>-AF40*0.05*4</f>
        <v>-54.183999999999969</v>
      </c>
      <c r="AP38" s="178">
        <f>-AK40*0.05*4</f>
        <v>-49.34719999999998</v>
      </c>
      <c r="AU38" s="178">
        <f>-AP40*0.05*4</f>
        <v>-44.477759999999982</v>
      </c>
      <c r="AZ38" s="178">
        <f>-AU40*0.05*4</f>
        <v>-40.58220799999998</v>
      </c>
      <c r="BE38" s="178">
        <f t="shared" ref="BE38:CX38" si="56">-AZ40*0.05*4</f>
        <v>-37.465766399999985</v>
      </c>
      <c r="BF38" s="178">
        <f t="shared" si="56"/>
        <v>0</v>
      </c>
      <c r="BG38" s="178">
        <f t="shared" si="56"/>
        <v>0</v>
      </c>
      <c r="BH38" s="178">
        <f t="shared" si="56"/>
        <v>0</v>
      </c>
      <c r="BI38" s="178">
        <f t="shared" si="56"/>
        <v>0</v>
      </c>
      <c r="BJ38" s="178">
        <f t="shared" si="56"/>
        <v>-34.972613119999991</v>
      </c>
      <c r="BK38" s="178">
        <f t="shared" si="56"/>
        <v>0</v>
      </c>
      <c r="BL38" s="178">
        <f t="shared" si="56"/>
        <v>0</v>
      </c>
      <c r="BM38" s="178">
        <f t="shared" si="56"/>
        <v>0</v>
      </c>
      <c r="BN38" s="178">
        <f t="shared" si="56"/>
        <v>0</v>
      </c>
      <c r="BO38" s="178">
        <f t="shared" si="56"/>
        <v>-32.978090495999993</v>
      </c>
      <c r="BP38" s="178">
        <f t="shared" si="56"/>
        <v>0</v>
      </c>
      <c r="BQ38" s="178">
        <f t="shared" si="56"/>
        <v>0</v>
      </c>
      <c r="BR38" s="178">
        <f t="shared" si="56"/>
        <v>0</v>
      </c>
      <c r="BS38" s="178">
        <f t="shared" si="56"/>
        <v>0</v>
      </c>
      <c r="BT38" s="178">
        <f t="shared" si="56"/>
        <v>-31.382472396799997</v>
      </c>
      <c r="BU38" s="178">
        <f t="shared" si="56"/>
        <v>0</v>
      </c>
      <c r="BV38" s="178">
        <f t="shared" si="56"/>
        <v>0</v>
      </c>
      <c r="BW38" s="178">
        <f t="shared" si="56"/>
        <v>0</v>
      </c>
      <c r="BX38" s="178">
        <f t="shared" si="56"/>
        <v>0</v>
      </c>
      <c r="BY38" s="178">
        <f t="shared" si="56"/>
        <v>-30.105977917440001</v>
      </c>
      <c r="BZ38" s="178">
        <f t="shared" si="56"/>
        <v>0</v>
      </c>
      <c r="CA38" s="178">
        <f t="shared" si="56"/>
        <v>0</v>
      </c>
      <c r="CB38" s="178">
        <f t="shared" si="56"/>
        <v>0</v>
      </c>
      <c r="CC38" s="178">
        <f t="shared" si="56"/>
        <v>0</v>
      </c>
      <c r="CD38" s="178">
        <f t="shared" si="56"/>
        <v>-29.084782333952003</v>
      </c>
      <c r="CE38" s="178">
        <f t="shared" si="56"/>
        <v>0</v>
      </c>
      <c r="CF38" s="178">
        <f t="shared" si="56"/>
        <v>0</v>
      </c>
      <c r="CG38" s="178">
        <f t="shared" si="56"/>
        <v>0</v>
      </c>
      <c r="CH38" s="178">
        <f t="shared" si="56"/>
        <v>0</v>
      </c>
      <c r="CI38" s="178">
        <f t="shared" si="56"/>
        <v>-28.267825867161601</v>
      </c>
      <c r="CJ38" s="178">
        <f t="shared" si="56"/>
        <v>0</v>
      </c>
      <c r="CK38" s="178">
        <f t="shared" si="56"/>
        <v>0</v>
      </c>
      <c r="CL38" s="178">
        <f t="shared" si="56"/>
        <v>0</v>
      </c>
      <c r="CM38" s="178">
        <f t="shared" si="56"/>
        <v>0</v>
      </c>
      <c r="CN38" s="178">
        <f t="shared" si="56"/>
        <v>-27.614260693729278</v>
      </c>
      <c r="CO38" s="178">
        <f t="shared" si="56"/>
        <v>0</v>
      </c>
      <c r="CP38" s="178">
        <f t="shared" si="56"/>
        <v>0</v>
      </c>
      <c r="CQ38" s="178">
        <f t="shared" si="56"/>
        <v>0</v>
      </c>
      <c r="CR38" s="178">
        <f t="shared" si="56"/>
        <v>0</v>
      </c>
      <c r="CS38" s="178">
        <f t="shared" si="56"/>
        <v>-27.091408554983424</v>
      </c>
      <c r="CT38" s="178">
        <f t="shared" si="56"/>
        <v>0</v>
      </c>
      <c r="CU38" s="178">
        <f t="shared" si="56"/>
        <v>0</v>
      </c>
      <c r="CV38" s="178">
        <f t="shared" si="56"/>
        <v>0</v>
      </c>
      <c r="CW38" s="178">
        <f t="shared" si="56"/>
        <v>0</v>
      </c>
      <c r="CX38" s="178">
        <f t="shared" si="56"/>
        <v>-26.67312684398674</v>
      </c>
    </row>
    <row r="39" spans="2:103">
      <c r="B39" s="535" t="s">
        <v>660</v>
      </c>
      <c r="C39" s="427"/>
      <c r="D39" s="427"/>
      <c r="E39" s="427"/>
      <c r="F39" s="427"/>
      <c r="H39" s="427"/>
      <c r="I39" s="427"/>
      <c r="J39" s="427"/>
      <c r="K39" s="427"/>
      <c r="M39" s="513">
        <f>M40-M38-L40</f>
        <v>13.99799999999999</v>
      </c>
      <c r="N39" s="513">
        <f>N40-N38-M40</f>
        <v>14.944999999999993</v>
      </c>
      <c r="O39" s="513">
        <f>O40-O38-N40</f>
        <v>48.670999999999992</v>
      </c>
      <c r="P39" s="513">
        <f>P40-P38-O40</f>
        <v>6.6059999999999945</v>
      </c>
      <c r="Q39" s="178">
        <f>SUM(M39:P39)</f>
        <v>84.21999999999997</v>
      </c>
      <c r="R39" s="513">
        <f>R40-R38-Q40</f>
        <v>20.941000000000088</v>
      </c>
      <c r="S39" s="513">
        <f>S40-S38-R40</f>
        <v>-6.18100000000004</v>
      </c>
      <c r="T39" s="513">
        <f>T40-T38-S40</f>
        <v>32.008999999999901</v>
      </c>
      <c r="U39" s="513">
        <f>U40-U38-T40</f>
        <v>8.5890000000000555</v>
      </c>
      <c r="V39" s="178">
        <f>SUM(R39:U39)</f>
        <v>55.358000000000004</v>
      </c>
      <c r="W39" s="513">
        <f>W40-W38-V40</f>
        <v>4.7740000000001146</v>
      </c>
      <c r="X39" s="513">
        <f>X40-X38-W40</f>
        <v>13.468999999999994</v>
      </c>
      <c r="Y39" s="513">
        <f>Y40-Y38-X40</f>
        <v>9.5900000000000318</v>
      </c>
      <c r="Z39" s="513">
        <f>Z40-Z38-Y40</f>
        <v>12.119999999999777</v>
      </c>
      <c r="AA39" s="178">
        <f>SUM(W39:Z39)</f>
        <v>39.952999999999918</v>
      </c>
      <c r="AB39" s="513">
        <f>AB40-AB38-AA40</f>
        <v>13.764999999998679</v>
      </c>
      <c r="AC39" s="513">
        <f t="shared" ref="AC39:AD39" si="57">AC40-AC38-AB40</f>
        <v>10.808000000001357</v>
      </c>
      <c r="AD39" s="513">
        <f t="shared" si="57"/>
        <v>12.406000000000233</v>
      </c>
      <c r="AE39" s="513">
        <f>AE40-AE38-AD40</f>
        <v>14.208999999999605</v>
      </c>
      <c r="AF39" s="178">
        <f>SUM(AB39:AE39)</f>
        <v>51.187999999999874</v>
      </c>
      <c r="AG39" s="906">
        <f>AK39/4</f>
        <v>7.5</v>
      </c>
      <c r="AH39" s="906">
        <f>AK39/4</f>
        <v>7.5</v>
      </c>
      <c r="AI39" s="906">
        <f>AK39/4</f>
        <v>7.5</v>
      </c>
      <c r="AJ39" s="906">
        <f>AK39-SUM(AG39:AI39)</f>
        <v>7.5</v>
      </c>
      <c r="AK39" s="512">
        <v>30</v>
      </c>
      <c r="AP39" s="512">
        <v>25</v>
      </c>
      <c r="AU39" s="512">
        <f>AP39</f>
        <v>25</v>
      </c>
      <c r="AZ39" s="512">
        <f>AU39</f>
        <v>25</v>
      </c>
      <c r="BE39" s="512">
        <f t="shared" ref="BE39:CX39" si="58">AZ39</f>
        <v>25</v>
      </c>
      <c r="BF39" s="512">
        <f t="shared" si="58"/>
        <v>0</v>
      </c>
      <c r="BG39" s="512">
        <f t="shared" si="58"/>
        <v>0</v>
      </c>
      <c r="BH39" s="512">
        <f t="shared" si="58"/>
        <v>0</v>
      </c>
      <c r="BI39" s="512">
        <f t="shared" si="58"/>
        <v>0</v>
      </c>
      <c r="BJ39" s="512">
        <f t="shared" si="58"/>
        <v>25</v>
      </c>
      <c r="BK39" s="512">
        <f t="shared" si="58"/>
        <v>0</v>
      </c>
      <c r="BL39" s="512">
        <f t="shared" si="58"/>
        <v>0</v>
      </c>
      <c r="BM39" s="512">
        <f t="shared" si="58"/>
        <v>0</v>
      </c>
      <c r="BN39" s="512">
        <f t="shared" si="58"/>
        <v>0</v>
      </c>
      <c r="BO39" s="512">
        <f t="shared" si="58"/>
        <v>25</v>
      </c>
      <c r="BP39" s="512">
        <f t="shared" si="58"/>
        <v>0</v>
      </c>
      <c r="BQ39" s="512">
        <f t="shared" si="58"/>
        <v>0</v>
      </c>
      <c r="BR39" s="512">
        <f t="shared" si="58"/>
        <v>0</v>
      </c>
      <c r="BS39" s="512">
        <f t="shared" si="58"/>
        <v>0</v>
      </c>
      <c r="BT39" s="512">
        <f t="shared" si="58"/>
        <v>25</v>
      </c>
      <c r="BU39" s="512">
        <f t="shared" si="58"/>
        <v>0</v>
      </c>
      <c r="BV39" s="512">
        <f t="shared" si="58"/>
        <v>0</v>
      </c>
      <c r="BW39" s="512">
        <f t="shared" si="58"/>
        <v>0</v>
      </c>
      <c r="BX39" s="512">
        <f t="shared" si="58"/>
        <v>0</v>
      </c>
      <c r="BY39" s="512">
        <f t="shared" si="58"/>
        <v>25</v>
      </c>
      <c r="BZ39" s="512">
        <f t="shared" si="58"/>
        <v>0</v>
      </c>
      <c r="CA39" s="512">
        <f t="shared" si="58"/>
        <v>0</v>
      </c>
      <c r="CB39" s="512">
        <f t="shared" si="58"/>
        <v>0</v>
      </c>
      <c r="CC39" s="512">
        <f t="shared" si="58"/>
        <v>0</v>
      </c>
      <c r="CD39" s="512">
        <f t="shared" si="58"/>
        <v>25</v>
      </c>
      <c r="CE39" s="512">
        <f t="shared" si="58"/>
        <v>0</v>
      </c>
      <c r="CF39" s="512">
        <f t="shared" si="58"/>
        <v>0</v>
      </c>
      <c r="CG39" s="512">
        <f t="shared" si="58"/>
        <v>0</v>
      </c>
      <c r="CH39" s="512">
        <f t="shared" si="58"/>
        <v>0</v>
      </c>
      <c r="CI39" s="512">
        <f t="shared" si="58"/>
        <v>25</v>
      </c>
      <c r="CJ39" s="512">
        <f t="shared" si="58"/>
        <v>0</v>
      </c>
      <c r="CK39" s="512">
        <f t="shared" si="58"/>
        <v>0</v>
      </c>
      <c r="CL39" s="512">
        <f t="shared" si="58"/>
        <v>0</v>
      </c>
      <c r="CM39" s="512">
        <f t="shared" si="58"/>
        <v>0</v>
      </c>
      <c r="CN39" s="512">
        <f t="shared" si="58"/>
        <v>25</v>
      </c>
      <c r="CO39" s="512">
        <f t="shared" si="58"/>
        <v>0</v>
      </c>
      <c r="CP39" s="512">
        <f t="shared" si="58"/>
        <v>0</v>
      </c>
      <c r="CQ39" s="512">
        <f t="shared" si="58"/>
        <v>0</v>
      </c>
      <c r="CR39" s="512">
        <f t="shared" si="58"/>
        <v>0</v>
      </c>
      <c r="CS39" s="512">
        <f t="shared" si="58"/>
        <v>25</v>
      </c>
      <c r="CT39" s="512">
        <f t="shared" si="58"/>
        <v>0</v>
      </c>
      <c r="CU39" s="512">
        <f t="shared" si="58"/>
        <v>0</v>
      </c>
      <c r="CV39" s="512">
        <f t="shared" si="58"/>
        <v>0</v>
      </c>
      <c r="CW39" s="512">
        <f t="shared" si="58"/>
        <v>0</v>
      </c>
      <c r="CX39" s="512">
        <f t="shared" si="58"/>
        <v>25</v>
      </c>
    </row>
    <row r="40" spans="2:103">
      <c r="B40" s="535" t="s">
        <v>661</v>
      </c>
      <c r="C40" s="427"/>
      <c r="D40" s="427"/>
      <c r="E40" s="427"/>
      <c r="F40" s="427"/>
      <c r="H40" s="427"/>
      <c r="I40" s="427"/>
      <c r="J40" s="427"/>
      <c r="K40" s="427"/>
      <c r="L40" s="512">
        <v>264</v>
      </c>
      <c r="M40" s="513">
        <f>ABS(M38/0.05)</f>
        <v>264.76</v>
      </c>
      <c r="N40" s="513">
        <f>ABS(M38/0.05)</f>
        <v>264.76</v>
      </c>
      <c r="O40" s="513">
        <f>ABS(N38/0.05)</f>
        <v>298.89999999999998</v>
      </c>
      <c r="P40" s="513">
        <f>ABS(O38/0.05)</f>
        <v>290.61999999999995</v>
      </c>
      <c r="Q40" s="178">
        <f>P40</f>
        <v>290.61999999999995</v>
      </c>
      <c r="R40" s="513">
        <f>ABS(P38/0.05)</f>
        <v>297.72000000000003</v>
      </c>
      <c r="S40" s="513">
        <f>ABS(R38/0.05)</f>
        <v>276.82</v>
      </c>
      <c r="T40" s="513">
        <f>ABS(S38/0.05)</f>
        <v>294.37999999999988</v>
      </c>
      <c r="U40" s="513">
        <f>ABS(T38/0.05)</f>
        <v>288.97999999999996</v>
      </c>
      <c r="V40" s="178">
        <f>U40</f>
        <v>288.97999999999996</v>
      </c>
      <c r="W40" s="513">
        <f>ABS(U38/0.05)</f>
        <v>279.78000000000009</v>
      </c>
      <c r="X40" s="513">
        <f>ABS(W38/0.05)</f>
        <v>279.48000000000008</v>
      </c>
      <c r="Y40" s="513">
        <f>ABS(X38/0.05)</f>
        <v>275.38000000000011</v>
      </c>
      <c r="Z40" s="513">
        <f>ABS(Y38/0.05)</f>
        <v>273.79999999999995</v>
      </c>
      <c r="AA40" s="178">
        <f>Z40</f>
        <v>273.79999999999995</v>
      </c>
      <c r="AB40" s="513">
        <f>ABS(Z38/0.05)</f>
        <v>273.99999999999864</v>
      </c>
      <c r="AC40" s="513">
        <f>ABS(AB38/0.05)</f>
        <v>271.29999999999995</v>
      </c>
      <c r="AD40" s="513">
        <f t="shared" ref="AD40:AE40" si="59">ABS(AC38/0.05)</f>
        <v>270.1600000000002</v>
      </c>
      <c r="AE40" s="513">
        <f t="shared" si="59"/>
        <v>270.91999999999985</v>
      </c>
      <c r="AF40" s="178">
        <f>AA40+AF39+AF38</f>
        <v>270.91999999999985</v>
      </c>
      <c r="AG40" s="906">
        <f>ABS(AE38/0.05)</f>
        <v>268.97999999999968</v>
      </c>
      <c r="AH40" s="906">
        <f t="shared" ref="AH40:AJ40" si="60">ABS(AG38/0.05)</f>
        <v>272.4799999999999</v>
      </c>
      <c r="AI40" s="906">
        <f t="shared" si="60"/>
        <v>276.33999999999958</v>
      </c>
      <c r="AJ40" s="906">
        <f t="shared" si="60"/>
        <v>262.6600000000002</v>
      </c>
      <c r="AK40" s="178">
        <f>AF40+AK39+AK38</f>
        <v>246.73599999999988</v>
      </c>
      <c r="AP40" s="178">
        <f>AK40+AP39+AP38</f>
        <v>222.38879999999989</v>
      </c>
      <c r="AU40" s="178">
        <f>AP40+AU39+AU38</f>
        <v>202.9110399999999</v>
      </c>
      <c r="AZ40" s="178">
        <f>AU40+AZ39+AZ38</f>
        <v>187.32883199999992</v>
      </c>
      <c r="BE40" s="178">
        <f t="shared" ref="BE40:CX40" si="61">AZ40+BE39+BE38</f>
        <v>174.86306559999994</v>
      </c>
      <c r="BF40" s="178">
        <f t="shared" si="61"/>
        <v>0</v>
      </c>
      <c r="BG40" s="178">
        <f t="shared" si="61"/>
        <v>0</v>
      </c>
      <c r="BH40" s="178">
        <f t="shared" si="61"/>
        <v>0</v>
      </c>
      <c r="BI40" s="178">
        <f t="shared" si="61"/>
        <v>0</v>
      </c>
      <c r="BJ40" s="178">
        <f t="shared" si="61"/>
        <v>164.89045247999996</v>
      </c>
      <c r="BK40" s="178">
        <f t="shared" si="61"/>
        <v>0</v>
      </c>
      <c r="BL40" s="178">
        <f t="shared" si="61"/>
        <v>0</v>
      </c>
      <c r="BM40" s="178">
        <f t="shared" si="61"/>
        <v>0</v>
      </c>
      <c r="BN40" s="178">
        <f t="shared" si="61"/>
        <v>0</v>
      </c>
      <c r="BO40" s="178">
        <f t="shared" si="61"/>
        <v>156.91236198399997</v>
      </c>
      <c r="BP40" s="178">
        <f t="shared" si="61"/>
        <v>0</v>
      </c>
      <c r="BQ40" s="178">
        <f t="shared" si="61"/>
        <v>0</v>
      </c>
      <c r="BR40" s="178">
        <f t="shared" si="61"/>
        <v>0</v>
      </c>
      <c r="BS40" s="178">
        <f t="shared" si="61"/>
        <v>0</v>
      </c>
      <c r="BT40" s="178">
        <f t="shared" si="61"/>
        <v>150.52988958719999</v>
      </c>
      <c r="BU40" s="178">
        <f t="shared" si="61"/>
        <v>0</v>
      </c>
      <c r="BV40" s="178">
        <f t="shared" si="61"/>
        <v>0</v>
      </c>
      <c r="BW40" s="178">
        <f t="shared" si="61"/>
        <v>0</v>
      </c>
      <c r="BX40" s="178">
        <f t="shared" si="61"/>
        <v>0</v>
      </c>
      <c r="BY40" s="178">
        <f t="shared" si="61"/>
        <v>145.42391166976</v>
      </c>
      <c r="BZ40" s="178">
        <f t="shared" si="61"/>
        <v>0</v>
      </c>
      <c r="CA40" s="178">
        <f t="shared" si="61"/>
        <v>0</v>
      </c>
      <c r="CB40" s="178">
        <f t="shared" si="61"/>
        <v>0</v>
      </c>
      <c r="CC40" s="178">
        <f t="shared" si="61"/>
        <v>0</v>
      </c>
      <c r="CD40" s="178">
        <f t="shared" si="61"/>
        <v>141.339129335808</v>
      </c>
      <c r="CE40" s="178">
        <f t="shared" si="61"/>
        <v>0</v>
      </c>
      <c r="CF40" s="178">
        <f t="shared" si="61"/>
        <v>0</v>
      </c>
      <c r="CG40" s="178">
        <f t="shared" si="61"/>
        <v>0</v>
      </c>
      <c r="CH40" s="178">
        <f t="shared" si="61"/>
        <v>0</v>
      </c>
      <c r="CI40" s="178">
        <f t="shared" si="61"/>
        <v>138.07130346864639</v>
      </c>
      <c r="CJ40" s="178">
        <f t="shared" si="61"/>
        <v>0</v>
      </c>
      <c r="CK40" s="178">
        <f t="shared" si="61"/>
        <v>0</v>
      </c>
      <c r="CL40" s="178">
        <f t="shared" si="61"/>
        <v>0</v>
      </c>
      <c r="CM40" s="178">
        <f t="shared" si="61"/>
        <v>0</v>
      </c>
      <c r="CN40" s="178">
        <f t="shared" si="61"/>
        <v>135.45704277491711</v>
      </c>
      <c r="CO40" s="178">
        <f t="shared" si="61"/>
        <v>0</v>
      </c>
      <c r="CP40" s="178">
        <f t="shared" si="61"/>
        <v>0</v>
      </c>
      <c r="CQ40" s="178">
        <f t="shared" si="61"/>
        <v>0</v>
      </c>
      <c r="CR40" s="178">
        <f t="shared" si="61"/>
        <v>0</v>
      </c>
      <c r="CS40" s="178">
        <f t="shared" si="61"/>
        <v>133.3656342199337</v>
      </c>
      <c r="CT40" s="178">
        <f t="shared" si="61"/>
        <v>0</v>
      </c>
      <c r="CU40" s="178">
        <f t="shared" si="61"/>
        <v>0</v>
      </c>
      <c r="CV40" s="178">
        <f t="shared" si="61"/>
        <v>0</v>
      </c>
      <c r="CW40" s="178">
        <f t="shared" si="61"/>
        <v>0</v>
      </c>
      <c r="CX40" s="178">
        <f t="shared" si="61"/>
        <v>131.69250737594695</v>
      </c>
    </row>
    <row r="41" spans="2:103">
      <c r="B41" s="467"/>
      <c r="C41" s="427"/>
      <c r="D41" s="427"/>
      <c r="E41" s="427"/>
      <c r="F41" s="427"/>
      <c r="H41" s="427"/>
      <c r="I41" s="427"/>
      <c r="J41" s="427"/>
      <c r="K41" s="427"/>
      <c r="M41" s="427"/>
      <c r="N41" s="427"/>
      <c r="O41" s="427"/>
      <c r="P41" s="427"/>
      <c r="R41" s="427"/>
      <c r="S41" s="427"/>
      <c r="T41" s="427"/>
      <c r="U41" s="427"/>
      <c r="W41" s="427"/>
      <c r="X41" s="427"/>
      <c r="Y41" s="427"/>
      <c r="Z41" s="427"/>
      <c r="AB41" s="427"/>
      <c r="AC41" s="427"/>
      <c r="AD41" s="427"/>
      <c r="AE41" s="427"/>
      <c r="AG41" s="899"/>
      <c r="AH41" s="899"/>
      <c r="AI41" s="899"/>
      <c r="AJ41" s="899"/>
    </row>
    <row r="42" spans="2:103">
      <c r="B42" s="536" t="s">
        <v>662</v>
      </c>
      <c r="C42" s="537"/>
      <c r="D42" s="537"/>
      <c r="E42" s="537"/>
      <c r="F42" s="537"/>
      <c r="G42" s="226"/>
      <c r="H42" s="537"/>
      <c r="I42" s="537"/>
      <c r="J42" s="537"/>
      <c r="K42" s="538">
        <f>REVS!V38</f>
        <v>0</v>
      </c>
      <c r="L42" s="167">
        <f>K42</f>
        <v>0</v>
      </c>
      <c r="M42" s="539">
        <f>REVS!W38</f>
        <v>6.3620000000000001</v>
      </c>
      <c r="N42" s="539">
        <f>REVS!X38</f>
        <v>19.055</v>
      </c>
      <c r="O42" s="539">
        <f>REVS!Y38</f>
        <v>31.768999999999998</v>
      </c>
      <c r="P42" s="539">
        <f>REVS!Z38</f>
        <v>44.314</v>
      </c>
      <c r="Q42" s="167">
        <f t="shared" ref="Q42" si="62">Q38+Q34</f>
        <v>101.5</v>
      </c>
      <c r="R42" s="539">
        <f>REVS!AB38</f>
        <v>61.158999999999999</v>
      </c>
      <c r="S42" s="539">
        <f>REVS!AC38</f>
        <v>66.781000000000006</v>
      </c>
      <c r="T42" s="539">
        <f>REVS!AD38</f>
        <v>85.350999999999999</v>
      </c>
      <c r="U42" s="539">
        <f>REVS!AE38</f>
        <v>88.010999999999996</v>
      </c>
      <c r="V42" s="226">
        <f>V38+V34</f>
        <v>301.30200000000002</v>
      </c>
      <c r="W42" s="539">
        <f>REVS!AG38</f>
        <v>89.426000000000002</v>
      </c>
      <c r="X42" s="539">
        <f>REVS!AH38</f>
        <v>106.631</v>
      </c>
      <c r="Y42" s="539">
        <f>REVS!AI38</f>
        <v>130.51</v>
      </c>
      <c r="Z42" s="539">
        <f>REVS!AJ38</f>
        <v>140.1</v>
      </c>
      <c r="AA42" s="226">
        <f>AA38+AA34</f>
        <v>466.66700000000003</v>
      </c>
      <c r="AB42" s="539">
        <f>REVS!AL38</f>
        <v>145.83500000000001</v>
      </c>
      <c r="AC42" s="539">
        <f>REVS!AM38</f>
        <v>167.49199999999999</v>
      </c>
      <c r="AD42" s="539">
        <f>REVS!AN38</f>
        <v>170.85400000000001</v>
      </c>
      <c r="AE42" s="539">
        <f>REVS!AO38</f>
        <v>165.05099999999999</v>
      </c>
      <c r="AF42" s="226">
        <f>AF38+AF34</f>
        <v>646.46130360544998</v>
      </c>
      <c r="AG42" s="539">
        <f>REVS!AQ38</f>
        <v>174.876</v>
      </c>
      <c r="AH42" s="539">
        <f>REVS!AR38</f>
        <v>190.88300000000001</v>
      </c>
      <c r="AI42" s="539">
        <f>REVS!AS38</f>
        <v>205.36699999999999</v>
      </c>
      <c r="AJ42" s="539">
        <f>REVS!AT38</f>
        <v>231.17399999999998</v>
      </c>
      <c r="AK42" s="226">
        <f>SUM(AG42:AJ42)</f>
        <v>802.3</v>
      </c>
      <c r="AL42" s="226"/>
      <c r="AM42" s="226"/>
      <c r="AN42" s="226"/>
      <c r="AO42" s="226"/>
      <c r="AP42" s="226">
        <f>AP38+AP34</f>
        <v>830.00605975122312</v>
      </c>
      <c r="AQ42" s="226"/>
      <c r="AR42" s="226"/>
      <c r="AS42" s="226"/>
      <c r="AT42" s="226"/>
      <c r="AU42" s="226">
        <f>AU38+AU34</f>
        <v>931.73817227932136</v>
      </c>
      <c r="AV42" s="226"/>
      <c r="AW42" s="226"/>
      <c r="AX42" s="226"/>
      <c r="AY42" s="226"/>
      <c r="AZ42" s="226">
        <f>AZ38+AZ34</f>
        <v>923.57115148190474</v>
      </c>
      <c r="BE42" s="226">
        <f t="shared" ref="BE42:CX42" si="63">BE38+BE34</f>
        <v>908.54677768364957</v>
      </c>
      <c r="BF42" s="226">
        <f t="shared" si="63"/>
        <v>0</v>
      </c>
      <c r="BG42" s="226">
        <f t="shared" si="63"/>
        <v>0</v>
      </c>
      <c r="BH42" s="226">
        <f t="shared" si="63"/>
        <v>0</v>
      </c>
      <c r="BI42" s="226">
        <f t="shared" si="63"/>
        <v>0</v>
      </c>
      <c r="BJ42" s="226">
        <f t="shared" si="63"/>
        <v>913.69542970095461</v>
      </c>
      <c r="BK42" s="226">
        <f t="shared" si="63"/>
        <v>0</v>
      </c>
      <c r="BL42" s="226">
        <f t="shared" si="63"/>
        <v>0</v>
      </c>
      <c r="BM42" s="226">
        <f t="shared" si="63"/>
        <v>0</v>
      </c>
      <c r="BN42" s="226">
        <f t="shared" si="63"/>
        <v>0</v>
      </c>
      <c r="BO42" s="226">
        <f t="shared" si="63"/>
        <v>929.79506283348746</v>
      </c>
      <c r="BP42" s="226">
        <f t="shared" si="63"/>
        <v>0</v>
      </c>
      <c r="BQ42" s="226">
        <f t="shared" si="63"/>
        <v>0</v>
      </c>
      <c r="BR42" s="226">
        <f t="shared" si="63"/>
        <v>0</v>
      </c>
      <c r="BS42" s="226">
        <f t="shared" si="63"/>
        <v>0</v>
      </c>
      <c r="BT42" s="226">
        <f t="shared" si="63"/>
        <v>928.90285509892237</v>
      </c>
      <c r="BU42" s="226">
        <f t="shared" si="63"/>
        <v>0</v>
      </c>
      <c r="BV42" s="226">
        <f t="shared" si="63"/>
        <v>0</v>
      </c>
      <c r="BW42" s="226">
        <f t="shared" si="63"/>
        <v>0</v>
      </c>
      <c r="BX42" s="226">
        <f t="shared" si="63"/>
        <v>0</v>
      </c>
      <c r="BY42" s="226">
        <f t="shared" si="63"/>
        <v>973.44811540860883</v>
      </c>
      <c r="BZ42" s="226">
        <f t="shared" si="63"/>
        <v>0</v>
      </c>
      <c r="CA42" s="226">
        <f t="shared" si="63"/>
        <v>0</v>
      </c>
      <c r="CB42" s="226">
        <f t="shared" si="63"/>
        <v>0</v>
      </c>
      <c r="CC42" s="226">
        <f t="shared" si="63"/>
        <v>0</v>
      </c>
      <c r="CD42" s="226">
        <f t="shared" si="63"/>
        <v>993.63784865989805</v>
      </c>
      <c r="CE42" s="226">
        <f t="shared" si="63"/>
        <v>0</v>
      </c>
      <c r="CF42" s="226">
        <f t="shared" si="63"/>
        <v>0</v>
      </c>
      <c r="CG42" s="226">
        <f t="shared" si="63"/>
        <v>0</v>
      </c>
      <c r="CH42" s="226">
        <f t="shared" si="63"/>
        <v>0</v>
      </c>
      <c r="CI42" s="226">
        <f t="shared" si="63"/>
        <v>902.94329638152078</v>
      </c>
      <c r="CJ42" s="226">
        <f t="shared" si="63"/>
        <v>0</v>
      </c>
      <c r="CK42" s="226">
        <f t="shared" si="63"/>
        <v>0</v>
      </c>
      <c r="CL42" s="226">
        <f t="shared" si="63"/>
        <v>0</v>
      </c>
      <c r="CM42" s="226">
        <f t="shared" si="63"/>
        <v>0</v>
      </c>
      <c r="CN42" s="226">
        <f t="shared" si="63"/>
        <v>840.24308486123562</v>
      </c>
      <c r="CO42" s="226">
        <f t="shared" si="63"/>
        <v>0</v>
      </c>
      <c r="CP42" s="226">
        <f t="shared" si="63"/>
        <v>0</v>
      </c>
      <c r="CQ42" s="226">
        <f t="shared" si="63"/>
        <v>0</v>
      </c>
      <c r="CR42" s="226">
        <f t="shared" si="63"/>
        <v>0</v>
      </c>
      <c r="CS42" s="226">
        <f t="shared" si="63"/>
        <v>766.93405714676385</v>
      </c>
      <c r="CT42" s="226">
        <f t="shared" si="63"/>
        <v>0</v>
      </c>
      <c r="CU42" s="226">
        <f t="shared" si="63"/>
        <v>0</v>
      </c>
      <c r="CV42" s="226">
        <f t="shared" si="63"/>
        <v>0</v>
      </c>
      <c r="CW42" s="226">
        <f t="shared" si="63"/>
        <v>0</v>
      </c>
      <c r="CX42" s="226">
        <f t="shared" si="63"/>
        <v>680.03746701094826</v>
      </c>
    </row>
    <row r="43" spans="2:103">
      <c r="B43" s="465"/>
      <c r="C43" s="427"/>
      <c r="D43" s="427"/>
      <c r="E43" s="427"/>
      <c r="F43" s="427"/>
      <c r="H43" s="427"/>
      <c r="I43" s="427"/>
      <c r="J43" s="427"/>
      <c r="K43" s="427"/>
      <c r="M43" s="427"/>
      <c r="N43" s="427"/>
      <c r="O43" s="427"/>
      <c r="P43" s="427"/>
      <c r="R43" s="427"/>
      <c r="S43" s="427"/>
      <c r="T43" s="427"/>
      <c r="U43" s="427"/>
      <c r="W43" s="427"/>
      <c r="X43" s="427"/>
      <c r="Y43" s="427"/>
      <c r="Z43" s="427"/>
      <c r="AB43" s="427"/>
      <c r="AC43" s="427"/>
      <c r="AD43" s="427"/>
      <c r="AE43" s="427"/>
      <c r="AG43" s="899"/>
      <c r="AH43" s="899"/>
      <c r="AI43" s="899"/>
      <c r="AJ43" s="899"/>
      <c r="AP43" s="1012"/>
      <c r="AQ43" s="1012"/>
      <c r="AR43" s="1012"/>
      <c r="AS43" s="1012"/>
      <c r="AT43" s="1012"/>
      <c r="AU43" s="1012"/>
      <c r="AV43" s="1012"/>
      <c r="AW43" s="1012"/>
      <c r="AX43" s="1012"/>
      <c r="AY43" s="1012"/>
      <c r="AZ43" s="1012"/>
    </row>
    <row r="44" spans="2:103">
      <c r="B44" s="467" t="s">
        <v>14</v>
      </c>
      <c r="C44" s="427"/>
      <c r="D44" s="427"/>
      <c r="E44" s="427"/>
      <c r="F44" s="427"/>
      <c r="H44" s="427"/>
      <c r="I44" s="427"/>
      <c r="J44" s="427"/>
      <c r="K44" s="513">
        <f>K45*K42</f>
        <v>0</v>
      </c>
      <c r="L44" s="178">
        <f>K44</f>
        <v>0</v>
      </c>
      <c r="M44" s="513">
        <f t="shared" ref="M44:AZ44" si="64">M45*M42</f>
        <v>0.95429999999999993</v>
      </c>
      <c r="N44" s="513">
        <f t="shared" si="64"/>
        <v>2.85825</v>
      </c>
      <c r="O44" s="513">
        <f t="shared" si="64"/>
        <v>4.7653499999999998</v>
      </c>
      <c r="P44" s="513">
        <f t="shared" si="64"/>
        <v>6.6471</v>
      </c>
      <c r="Q44" s="178">
        <f t="shared" si="64"/>
        <v>15.225</v>
      </c>
      <c r="R44" s="513">
        <f t="shared" si="64"/>
        <v>9.1738499999999998</v>
      </c>
      <c r="S44" s="513">
        <f t="shared" si="64"/>
        <v>10.017150000000001</v>
      </c>
      <c r="T44" s="513">
        <f t="shared" si="64"/>
        <v>12.80265</v>
      </c>
      <c r="U44" s="513">
        <f t="shared" si="64"/>
        <v>13.201649999999999</v>
      </c>
      <c r="V44" s="178">
        <f t="shared" si="64"/>
        <v>45.195300000000003</v>
      </c>
      <c r="W44" s="513">
        <f t="shared" si="64"/>
        <v>13.4139</v>
      </c>
      <c r="X44" s="513">
        <f t="shared" si="64"/>
        <v>15.99465</v>
      </c>
      <c r="Y44" s="513">
        <f t="shared" si="64"/>
        <v>19.576499999999999</v>
      </c>
      <c r="Z44" s="513">
        <f t="shared" si="64"/>
        <v>21.014999999999997</v>
      </c>
      <c r="AA44" s="178">
        <f t="shared" si="64"/>
        <v>70.000050000000002</v>
      </c>
      <c r="AB44" s="513">
        <f t="shared" si="64"/>
        <v>21.875250000000001</v>
      </c>
      <c r="AC44" s="513">
        <f t="shared" si="64"/>
        <v>25.123799999999999</v>
      </c>
      <c r="AD44" s="513">
        <f t="shared" si="64"/>
        <v>25.6281</v>
      </c>
      <c r="AE44" s="513">
        <f t="shared" si="64"/>
        <v>24.757649999999998</v>
      </c>
      <c r="AF44" s="178">
        <f t="shared" si="64"/>
        <v>96.969195540817495</v>
      </c>
      <c r="AG44" s="906">
        <f t="shared" si="64"/>
        <v>26.231400000000001</v>
      </c>
      <c r="AH44" s="906">
        <f t="shared" si="64"/>
        <v>28.632450000000002</v>
      </c>
      <c r="AI44" s="906">
        <f t="shared" si="64"/>
        <v>30.805049999999998</v>
      </c>
      <c r="AJ44" s="906">
        <f t="shared" si="64"/>
        <v>34.676099999999998</v>
      </c>
      <c r="AK44" s="178">
        <f t="shared" si="64"/>
        <v>120.34499999999998</v>
      </c>
      <c r="AL44" s="178">
        <f t="shared" si="64"/>
        <v>0</v>
      </c>
      <c r="AM44" s="178">
        <f t="shared" si="64"/>
        <v>0</v>
      </c>
      <c r="AN44" s="178">
        <f t="shared" si="64"/>
        <v>0</v>
      </c>
      <c r="AO44" s="178">
        <f t="shared" si="64"/>
        <v>0</v>
      </c>
      <c r="AP44" s="178">
        <f t="shared" si="64"/>
        <v>124.50090896268347</v>
      </c>
      <c r="AQ44" s="178">
        <f t="shared" si="64"/>
        <v>0</v>
      </c>
      <c r="AR44" s="178">
        <f t="shared" si="64"/>
        <v>0</v>
      </c>
      <c r="AS44" s="178">
        <f t="shared" si="64"/>
        <v>0</v>
      </c>
      <c r="AT44" s="178">
        <f t="shared" si="64"/>
        <v>0</v>
      </c>
      <c r="AU44" s="178">
        <f t="shared" si="64"/>
        <v>139.76072584189819</v>
      </c>
      <c r="AV44" s="178">
        <f t="shared" si="64"/>
        <v>0</v>
      </c>
      <c r="AW44" s="178">
        <f t="shared" si="64"/>
        <v>0</v>
      </c>
      <c r="AX44" s="178">
        <f t="shared" si="64"/>
        <v>0</v>
      </c>
      <c r="AY44" s="178">
        <f t="shared" si="64"/>
        <v>0</v>
      </c>
      <c r="AZ44" s="178">
        <f t="shared" si="64"/>
        <v>138.53567272228571</v>
      </c>
      <c r="BE44" s="178">
        <f t="shared" ref="BE44:CX44" si="65">BE45*BE42</f>
        <v>136.28201665254744</v>
      </c>
      <c r="BF44" s="178">
        <f t="shared" si="65"/>
        <v>0</v>
      </c>
      <c r="BG44" s="178">
        <f t="shared" si="65"/>
        <v>0</v>
      </c>
      <c r="BH44" s="178">
        <f t="shared" si="65"/>
        <v>0</v>
      </c>
      <c r="BI44" s="178">
        <f t="shared" si="65"/>
        <v>0</v>
      </c>
      <c r="BJ44" s="178">
        <f t="shared" si="65"/>
        <v>137.05431445514319</v>
      </c>
      <c r="BK44" s="178">
        <f t="shared" si="65"/>
        <v>0</v>
      </c>
      <c r="BL44" s="178">
        <f t="shared" si="65"/>
        <v>0</v>
      </c>
      <c r="BM44" s="178">
        <f t="shared" si="65"/>
        <v>0</v>
      </c>
      <c r="BN44" s="178">
        <f t="shared" si="65"/>
        <v>0</v>
      </c>
      <c r="BO44" s="178">
        <f t="shared" si="65"/>
        <v>139.46925942502313</v>
      </c>
      <c r="BP44" s="178">
        <f t="shared" si="65"/>
        <v>0</v>
      </c>
      <c r="BQ44" s="178">
        <f t="shared" si="65"/>
        <v>0</v>
      </c>
      <c r="BR44" s="178">
        <f t="shared" si="65"/>
        <v>0</v>
      </c>
      <c r="BS44" s="178">
        <f t="shared" si="65"/>
        <v>0</v>
      </c>
      <c r="BT44" s="178">
        <f t="shared" si="65"/>
        <v>139.33542826483836</v>
      </c>
      <c r="BU44" s="178">
        <f t="shared" si="65"/>
        <v>0</v>
      </c>
      <c r="BV44" s="178">
        <f t="shared" si="65"/>
        <v>0</v>
      </c>
      <c r="BW44" s="178">
        <f t="shared" si="65"/>
        <v>0</v>
      </c>
      <c r="BX44" s="178">
        <f t="shared" si="65"/>
        <v>0</v>
      </c>
      <c r="BY44" s="178">
        <f t="shared" si="65"/>
        <v>146.01721731129132</v>
      </c>
      <c r="BZ44" s="178">
        <f t="shared" si="65"/>
        <v>0</v>
      </c>
      <c r="CA44" s="178">
        <f t="shared" si="65"/>
        <v>0</v>
      </c>
      <c r="CB44" s="178">
        <f t="shared" si="65"/>
        <v>0</v>
      </c>
      <c r="CC44" s="178">
        <f t="shared" si="65"/>
        <v>0</v>
      </c>
      <c r="CD44" s="178">
        <f t="shared" si="65"/>
        <v>149.04567729898471</v>
      </c>
      <c r="CE44" s="178">
        <f t="shared" si="65"/>
        <v>0</v>
      </c>
      <c r="CF44" s="178">
        <f t="shared" si="65"/>
        <v>0</v>
      </c>
      <c r="CG44" s="178">
        <f t="shared" si="65"/>
        <v>0</v>
      </c>
      <c r="CH44" s="178">
        <f t="shared" si="65"/>
        <v>0</v>
      </c>
      <c r="CI44" s="178">
        <f t="shared" si="65"/>
        <v>135.44149445722812</v>
      </c>
      <c r="CJ44" s="178">
        <f t="shared" si="65"/>
        <v>0</v>
      </c>
      <c r="CK44" s="178">
        <f t="shared" si="65"/>
        <v>0</v>
      </c>
      <c r="CL44" s="178">
        <f t="shared" si="65"/>
        <v>0</v>
      </c>
      <c r="CM44" s="178">
        <f t="shared" si="65"/>
        <v>0</v>
      </c>
      <c r="CN44" s="178">
        <f t="shared" si="65"/>
        <v>126.03646272918533</v>
      </c>
      <c r="CO44" s="178">
        <f t="shared" si="65"/>
        <v>0</v>
      </c>
      <c r="CP44" s="178">
        <f t="shared" si="65"/>
        <v>0</v>
      </c>
      <c r="CQ44" s="178">
        <f t="shared" si="65"/>
        <v>0</v>
      </c>
      <c r="CR44" s="178">
        <f t="shared" si="65"/>
        <v>0</v>
      </c>
      <c r="CS44" s="178">
        <f t="shared" si="65"/>
        <v>115.04010857201457</v>
      </c>
      <c r="CT44" s="178">
        <f t="shared" si="65"/>
        <v>0</v>
      </c>
      <c r="CU44" s="178">
        <f t="shared" si="65"/>
        <v>0</v>
      </c>
      <c r="CV44" s="178">
        <f t="shared" si="65"/>
        <v>0</v>
      </c>
      <c r="CW44" s="178">
        <f t="shared" si="65"/>
        <v>0</v>
      </c>
      <c r="CX44" s="178">
        <f t="shared" si="65"/>
        <v>102.00562005164224</v>
      </c>
    </row>
    <row r="45" spans="2:103">
      <c r="B45" s="527" t="s">
        <v>182</v>
      </c>
      <c r="C45" s="427"/>
      <c r="D45" s="427"/>
      <c r="E45" s="427"/>
      <c r="F45" s="427"/>
      <c r="H45" s="427"/>
      <c r="I45" s="427"/>
      <c r="J45" s="427"/>
      <c r="K45" s="540">
        <v>0.15</v>
      </c>
      <c r="L45" s="187">
        <f>K45</f>
        <v>0.15</v>
      </c>
      <c r="M45" s="541">
        <f>L45</f>
        <v>0.15</v>
      </c>
      <c r="N45" s="541">
        <f>M45</f>
        <v>0.15</v>
      </c>
      <c r="O45" s="541">
        <f>N45</f>
        <v>0.15</v>
      </c>
      <c r="P45" s="541">
        <f>O45</f>
        <v>0.15</v>
      </c>
      <c r="Q45" s="187">
        <f>P45</f>
        <v>0.15</v>
      </c>
      <c r="R45" s="541">
        <f t="shared" ref="R45:AZ45" si="66">Q45</f>
        <v>0.15</v>
      </c>
      <c r="S45" s="541">
        <f t="shared" si="66"/>
        <v>0.15</v>
      </c>
      <c r="T45" s="541">
        <f t="shared" si="66"/>
        <v>0.15</v>
      </c>
      <c r="U45" s="541">
        <f t="shared" si="66"/>
        <v>0.15</v>
      </c>
      <c r="V45" s="187">
        <f t="shared" si="66"/>
        <v>0.15</v>
      </c>
      <c r="W45" s="541">
        <f t="shared" si="66"/>
        <v>0.15</v>
      </c>
      <c r="X45" s="541">
        <f t="shared" si="66"/>
        <v>0.15</v>
      </c>
      <c r="Y45" s="541">
        <f t="shared" si="66"/>
        <v>0.15</v>
      </c>
      <c r="Z45" s="541">
        <f t="shared" si="66"/>
        <v>0.15</v>
      </c>
      <c r="AA45" s="187">
        <f t="shared" si="66"/>
        <v>0.15</v>
      </c>
      <c r="AB45" s="541">
        <f t="shared" si="66"/>
        <v>0.15</v>
      </c>
      <c r="AC45" s="541">
        <f t="shared" si="66"/>
        <v>0.15</v>
      </c>
      <c r="AD45" s="541">
        <f t="shared" si="66"/>
        <v>0.15</v>
      </c>
      <c r="AE45" s="541">
        <f t="shared" si="66"/>
        <v>0.15</v>
      </c>
      <c r="AF45" s="187">
        <f t="shared" si="66"/>
        <v>0.15</v>
      </c>
      <c r="AG45" s="907">
        <f t="shared" si="66"/>
        <v>0.15</v>
      </c>
      <c r="AH45" s="907">
        <f t="shared" si="66"/>
        <v>0.15</v>
      </c>
      <c r="AI45" s="907">
        <f t="shared" si="66"/>
        <v>0.15</v>
      </c>
      <c r="AJ45" s="907">
        <f t="shared" si="66"/>
        <v>0.15</v>
      </c>
      <c r="AK45" s="187">
        <f t="shared" si="66"/>
        <v>0.15</v>
      </c>
      <c r="AL45" s="187">
        <f t="shared" si="66"/>
        <v>0.15</v>
      </c>
      <c r="AM45" s="187">
        <f t="shared" si="66"/>
        <v>0.15</v>
      </c>
      <c r="AN45" s="187">
        <f t="shared" si="66"/>
        <v>0.15</v>
      </c>
      <c r="AO45" s="187">
        <f t="shared" si="66"/>
        <v>0.15</v>
      </c>
      <c r="AP45" s="187">
        <f t="shared" si="66"/>
        <v>0.15</v>
      </c>
      <c r="AQ45" s="187">
        <f t="shared" si="66"/>
        <v>0.15</v>
      </c>
      <c r="AR45" s="187">
        <f t="shared" si="66"/>
        <v>0.15</v>
      </c>
      <c r="AS45" s="187">
        <f t="shared" si="66"/>
        <v>0.15</v>
      </c>
      <c r="AT45" s="187">
        <f t="shared" si="66"/>
        <v>0.15</v>
      </c>
      <c r="AU45" s="187">
        <f t="shared" si="66"/>
        <v>0.15</v>
      </c>
      <c r="AV45" s="187">
        <f t="shared" si="66"/>
        <v>0.15</v>
      </c>
      <c r="AW45" s="187">
        <f t="shared" si="66"/>
        <v>0.15</v>
      </c>
      <c r="AX45" s="187">
        <f t="shared" si="66"/>
        <v>0.15</v>
      </c>
      <c r="AY45" s="187">
        <f t="shared" si="66"/>
        <v>0.15</v>
      </c>
      <c r="AZ45" s="187">
        <f t="shared" si="66"/>
        <v>0.15</v>
      </c>
      <c r="BE45" s="187">
        <f>AZ45</f>
        <v>0.15</v>
      </c>
      <c r="BJ45" s="187">
        <f>BE45</f>
        <v>0.15</v>
      </c>
      <c r="BK45" s="187"/>
      <c r="BL45" s="187"/>
      <c r="BM45" s="187"/>
      <c r="BN45" s="187"/>
      <c r="BO45" s="187">
        <f>BJ45</f>
        <v>0.15</v>
      </c>
      <c r="BP45" s="187"/>
      <c r="BQ45" s="187"/>
      <c r="BR45" s="187"/>
      <c r="BS45" s="187"/>
      <c r="BT45" s="187">
        <f>BO45</f>
        <v>0.15</v>
      </c>
      <c r="BU45" s="187"/>
      <c r="BV45" s="187"/>
      <c r="BW45" s="187"/>
      <c r="BX45" s="187"/>
      <c r="BY45" s="187">
        <f>BT45</f>
        <v>0.15</v>
      </c>
      <c r="BZ45" s="187"/>
      <c r="CA45" s="187"/>
      <c r="CB45" s="187"/>
      <c r="CC45" s="187"/>
      <c r="CD45" s="187">
        <f>BY45</f>
        <v>0.15</v>
      </c>
      <c r="CE45" s="187"/>
      <c r="CF45" s="187"/>
      <c r="CG45" s="187"/>
      <c r="CH45" s="187"/>
      <c r="CI45" s="187">
        <f t="shared" ref="CI45:CX45" si="67">CD45</f>
        <v>0.15</v>
      </c>
      <c r="CJ45" s="187">
        <f t="shared" si="67"/>
        <v>0</v>
      </c>
      <c r="CK45" s="187">
        <f t="shared" si="67"/>
        <v>0</v>
      </c>
      <c r="CL45" s="187">
        <f t="shared" si="67"/>
        <v>0</v>
      </c>
      <c r="CM45" s="187">
        <f t="shared" si="67"/>
        <v>0</v>
      </c>
      <c r="CN45" s="187">
        <f t="shared" si="67"/>
        <v>0.15</v>
      </c>
      <c r="CO45" s="187">
        <f t="shared" si="67"/>
        <v>0</v>
      </c>
      <c r="CP45" s="187">
        <f t="shared" si="67"/>
        <v>0</v>
      </c>
      <c r="CQ45" s="187">
        <f t="shared" si="67"/>
        <v>0</v>
      </c>
      <c r="CR45" s="187">
        <f t="shared" si="67"/>
        <v>0</v>
      </c>
      <c r="CS45" s="187">
        <f t="shared" si="67"/>
        <v>0.15</v>
      </c>
      <c r="CT45" s="187">
        <f t="shared" si="67"/>
        <v>0</v>
      </c>
      <c r="CU45" s="187">
        <f t="shared" si="67"/>
        <v>0</v>
      </c>
      <c r="CV45" s="187">
        <f t="shared" si="67"/>
        <v>0</v>
      </c>
      <c r="CW45" s="187">
        <f t="shared" si="67"/>
        <v>0</v>
      </c>
      <c r="CX45" s="187">
        <f t="shared" si="67"/>
        <v>0.15</v>
      </c>
    </row>
    <row r="46" spans="2:103">
      <c r="B46" s="542" t="s">
        <v>665</v>
      </c>
      <c r="C46" s="435"/>
      <c r="D46" s="435"/>
      <c r="E46" s="435"/>
      <c r="F46" s="435"/>
      <c r="G46" s="173"/>
      <c r="H46" s="435"/>
      <c r="I46" s="435"/>
      <c r="J46" s="435"/>
      <c r="K46" s="446">
        <f>K42-K44</f>
        <v>0</v>
      </c>
      <c r="L46" s="167">
        <f>K46</f>
        <v>0</v>
      </c>
      <c r="M46" s="446">
        <f>M42-M44</f>
        <v>5.4077000000000002</v>
      </c>
      <c r="N46" s="446">
        <f>N42-N44</f>
        <v>16.196750000000002</v>
      </c>
      <c r="O46" s="446">
        <f>O42-O44</f>
        <v>27.00365</v>
      </c>
      <c r="P46" s="446">
        <f>P42-P44</f>
        <v>37.666899999999998</v>
      </c>
      <c r="Q46" s="167">
        <f>Q42-Q44</f>
        <v>86.275000000000006</v>
      </c>
      <c r="R46" s="446">
        <f t="shared" ref="R46:AZ46" si="68">R42-R44</f>
        <v>51.985149999999997</v>
      </c>
      <c r="S46" s="446">
        <f t="shared" si="68"/>
        <v>56.763850000000005</v>
      </c>
      <c r="T46" s="446">
        <f t="shared" si="68"/>
        <v>72.548349999999999</v>
      </c>
      <c r="U46" s="446">
        <f t="shared" si="68"/>
        <v>74.809349999999995</v>
      </c>
      <c r="V46" s="167">
        <f t="shared" si="68"/>
        <v>256.10670000000005</v>
      </c>
      <c r="W46" s="446">
        <f t="shared" si="68"/>
        <v>76.012100000000004</v>
      </c>
      <c r="X46" s="446">
        <f t="shared" si="68"/>
        <v>90.636349999999993</v>
      </c>
      <c r="Y46" s="446">
        <f t="shared" si="68"/>
        <v>110.9335</v>
      </c>
      <c r="Z46" s="446">
        <f t="shared" si="68"/>
        <v>119.08499999999999</v>
      </c>
      <c r="AA46" s="167">
        <f t="shared" si="68"/>
        <v>396.66695000000004</v>
      </c>
      <c r="AB46" s="446">
        <f t="shared" si="68"/>
        <v>123.95975000000001</v>
      </c>
      <c r="AC46" s="446">
        <f t="shared" si="68"/>
        <v>142.3682</v>
      </c>
      <c r="AD46" s="446">
        <f t="shared" si="68"/>
        <v>145.22590000000002</v>
      </c>
      <c r="AE46" s="446">
        <f t="shared" si="68"/>
        <v>140.29334999999998</v>
      </c>
      <c r="AF46" s="167">
        <f t="shared" si="68"/>
        <v>549.49210806463248</v>
      </c>
      <c r="AG46" s="908">
        <f t="shared" si="68"/>
        <v>148.6446</v>
      </c>
      <c r="AH46" s="908">
        <f t="shared" si="68"/>
        <v>162.25055</v>
      </c>
      <c r="AI46" s="908">
        <f t="shared" si="68"/>
        <v>174.56195</v>
      </c>
      <c r="AJ46" s="908">
        <f t="shared" si="68"/>
        <v>196.49789999999999</v>
      </c>
      <c r="AK46" s="167">
        <f t="shared" si="68"/>
        <v>681.95499999999993</v>
      </c>
      <c r="AL46" s="167">
        <f t="shared" si="68"/>
        <v>0</v>
      </c>
      <c r="AM46" s="167">
        <f t="shared" si="68"/>
        <v>0</v>
      </c>
      <c r="AN46" s="167">
        <f t="shared" si="68"/>
        <v>0</v>
      </c>
      <c r="AO46" s="167">
        <f t="shared" si="68"/>
        <v>0</v>
      </c>
      <c r="AP46" s="167">
        <f t="shared" si="68"/>
        <v>705.50515078853959</v>
      </c>
      <c r="AQ46" s="167">
        <f t="shared" si="68"/>
        <v>0</v>
      </c>
      <c r="AR46" s="167">
        <f t="shared" si="68"/>
        <v>0</v>
      </c>
      <c r="AS46" s="167">
        <f t="shared" si="68"/>
        <v>0</v>
      </c>
      <c r="AT46" s="167">
        <f t="shared" si="68"/>
        <v>0</v>
      </c>
      <c r="AU46" s="167">
        <f t="shared" si="68"/>
        <v>791.97744643742317</v>
      </c>
      <c r="AV46" s="167">
        <f t="shared" si="68"/>
        <v>0</v>
      </c>
      <c r="AW46" s="167">
        <f t="shared" si="68"/>
        <v>0</v>
      </c>
      <c r="AX46" s="167">
        <f t="shared" si="68"/>
        <v>0</v>
      </c>
      <c r="AY46" s="167">
        <f t="shared" si="68"/>
        <v>0</v>
      </c>
      <c r="AZ46" s="167">
        <f t="shared" si="68"/>
        <v>785.03547875961908</v>
      </c>
      <c r="BE46" s="167">
        <f t="shared" ref="BE46:CX46" si="69">BE42-BE44</f>
        <v>772.26476103110213</v>
      </c>
      <c r="BF46" s="167">
        <f t="shared" si="69"/>
        <v>0</v>
      </c>
      <c r="BG46" s="167">
        <f t="shared" si="69"/>
        <v>0</v>
      </c>
      <c r="BH46" s="167">
        <f t="shared" si="69"/>
        <v>0</v>
      </c>
      <c r="BI46" s="167">
        <f t="shared" si="69"/>
        <v>0</v>
      </c>
      <c r="BJ46" s="167">
        <f t="shared" si="69"/>
        <v>776.64111524581142</v>
      </c>
      <c r="BK46" s="167">
        <f t="shared" si="69"/>
        <v>0</v>
      </c>
      <c r="BL46" s="167">
        <f t="shared" si="69"/>
        <v>0</v>
      </c>
      <c r="BM46" s="167">
        <f t="shared" si="69"/>
        <v>0</v>
      </c>
      <c r="BN46" s="167">
        <f t="shared" si="69"/>
        <v>0</v>
      </c>
      <c r="BO46" s="167">
        <f t="shared" si="69"/>
        <v>790.32580340846437</v>
      </c>
      <c r="BP46" s="167">
        <f t="shared" si="69"/>
        <v>0</v>
      </c>
      <c r="BQ46" s="167">
        <f t="shared" si="69"/>
        <v>0</v>
      </c>
      <c r="BR46" s="167">
        <f t="shared" si="69"/>
        <v>0</v>
      </c>
      <c r="BS46" s="167">
        <f t="shared" si="69"/>
        <v>0</v>
      </c>
      <c r="BT46" s="167">
        <f t="shared" si="69"/>
        <v>789.56742683408402</v>
      </c>
      <c r="BU46" s="167">
        <f t="shared" si="69"/>
        <v>0</v>
      </c>
      <c r="BV46" s="167">
        <f t="shared" si="69"/>
        <v>0</v>
      </c>
      <c r="BW46" s="167">
        <f t="shared" si="69"/>
        <v>0</v>
      </c>
      <c r="BX46" s="167">
        <f t="shared" si="69"/>
        <v>0</v>
      </c>
      <c r="BY46" s="167">
        <f t="shared" si="69"/>
        <v>827.43089809731748</v>
      </c>
      <c r="BZ46" s="167">
        <f t="shared" si="69"/>
        <v>0</v>
      </c>
      <c r="CA46" s="167">
        <f t="shared" si="69"/>
        <v>0</v>
      </c>
      <c r="CB46" s="167">
        <f t="shared" si="69"/>
        <v>0</v>
      </c>
      <c r="CC46" s="167">
        <f t="shared" si="69"/>
        <v>0</v>
      </c>
      <c r="CD46" s="167">
        <f t="shared" si="69"/>
        <v>844.59217136091331</v>
      </c>
      <c r="CE46" s="167">
        <f t="shared" si="69"/>
        <v>0</v>
      </c>
      <c r="CF46" s="167">
        <f t="shared" si="69"/>
        <v>0</v>
      </c>
      <c r="CG46" s="167">
        <f t="shared" si="69"/>
        <v>0</v>
      </c>
      <c r="CH46" s="167">
        <f t="shared" si="69"/>
        <v>0</v>
      </c>
      <c r="CI46" s="167">
        <f t="shared" si="69"/>
        <v>767.50180192429264</v>
      </c>
      <c r="CJ46" s="167">
        <f t="shared" si="69"/>
        <v>0</v>
      </c>
      <c r="CK46" s="167">
        <f t="shared" si="69"/>
        <v>0</v>
      </c>
      <c r="CL46" s="167">
        <f t="shared" si="69"/>
        <v>0</v>
      </c>
      <c r="CM46" s="167">
        <f t="shared" si="69"/>
        <v>0</v>
      </c>
      <c r="CN46" s="167">
        <f t="shared" si="69"/>
        <v>714.20662213205026</v>
      </c>
      <c r="CO46" s="167">
        <f t="shared" si="69"/>
        <v>0</v>
      </c>
      <c r="CP46" s="167">
        <f t="shared" si="69"/>
        <v>0</v>
      </c>
      <c r="CQ46" s="167">
        <f t="shared" si="69"/>
        <v>0</v>
      </c>
      <c r="CR46" s="167">
        <f t="shared" si="69"/>
        <v>0</v>
      </c>
      <c r="CS46" s="167">
        <f t="shared" si="69"/>
        <v>651.89394857474929</v>
      </c>
      <c r="CT46" s="167">
        <f t="shared" si="69"/>
        <v>0</v>
      </c>
      <c r="CU46" s="167">
        <f t="shared" si="69"/>
        <v>0</v>
      </c>
      <c r="CV46" s="167">
        <f t="shared" si="69"/>
        <v>0</v>
      </c>
      <c r="CW46" s="167">
        <f t="shared" si="69"/>
        <v>0</v>
      </c>
      <c r="CX46" s="167">
        <f t="shared" si="69"/>
        <v>578.03184695930599</v>
      </c>
    </row>
    <row r="47" spans="2:103">
      <c r="B47" s="465"/>
      <c r="AB47" s="427"/>
      <c r="AC47" s="427"/>
      <c r="AD47" s="427"/>
      <c r="AE47" s="427"/>
      <c r="AG47" s="899"/>
      <c r="AH47" s="899"/>
      <c r="AI47" s="899"/>
      <c r="AJ47" s="899"/>
    </row>
    <row r="48" spans="2:103" ht="13.5" thickBot="1">
      <c r="B48" s="227" t="s">
        <v>667</v>
      </c>
      <c r="C48" s="228">
        <f t="shared" ref="C48:AH48" si="70">C46+C20</f>
        <v>0</v>
      </c>
      <c r="D48" s="228">
        <f t="shared" si="70"/>
        <v>0</v>
      </c>
      <c r="E48" s="228">
        <f t="shared" si="70"/>
        <v>0</v>
      </c>
      <c r="F48" s="228">
        <f t="shared" si="70"/>
        <v>0</v>
      </c>
      <c r="G48" s="228">
        <f t="shared" si="70"/>
        <v>0</v>
      </c>
      <c r="H48" s="228">
        <f t="shared" si="70"/>
        <v>44.483558790514891</v>
      </c>
      <c r="I48" s="228">
        <f t="shared" si="70"/>
        <v>86.430563405548327</v>
      </c>
      <c r="J48" s="228">
        <f t="shared" si="70"/>
        <v>115.98795698395421</v>
      </c>
      <c r="K48" s="228">
        <f t="shared" si="70"/>
        <v>133.21620081998256</v>
      </c>
      <c r="L48" s="228">
        <f t="shared" si="70"/>
        <v>380.11828000000003</v>
      </c>
      <c r="M48" s="228">
        <f t="shared" si="70"/>
        <v>134.98105050000001</v>
      </c>
      <c r="N48" s="228">
        <f t="shared" si="70"/>
        <v>153.39486050000002</v>
      </c>
      <c r="O48" s="228">
        <f t="shared" si="70"/>
        <v>169.1481205</v>
      </c>
      <c r="P48" s="228">
        <f t="shared" si="70"/>
        <v>212.13073050000003</v>
      </c>
      <c r="Q48" s="228">
        <f t="shared" si="70"/>
        <v>669.65476200000001</v>
      </c>
      <c r="R48" s="228">
        <f t="shared" si="70"/>
        <v>177.96911125</v>
      </c>
      <c r="S48" s="228">
        <f t="shared" si="70"/>
        <v>212.71985124999998</v>
      </c>
      <c r="T48" s="228">
        <f t="shared" si="70"/>
        <v>241.87465124999997</v>
      </c>
      <c r="U48" s="228">
        <f t="shared" si="70"/>
        <v>259.49384652916331</v>
      </c>
      <c r="V48" s="228">
        <f t="shared" si="70"/>
        <v>892.05746027916325</v>
      </c>
      <c r="W48" s="228">
        <f t="shared" si="70"/>
        <v>307.07732080000005</v>
      </c>
      <c r="X48" s="228">
        <f t="shared" si="70"/>
        <v>382.74998240000002</v>
      </c>
      <c r="Y48" s="228">
        <f t="shared" si="70"/>
        <v>440.67148520000001</v>
      </c>
      <c r="Z48" s="228">
        <f t="shared" si="70"/>
        <v>424.09953039999994</v>
      </c>
      <c r="AA48" s="228">
        <f t="shared" si="70"/>
        <v>1577.0711807847288</v>
      </c>
      <c r="AB48" s="839">
        <f t="shared" si="70"/>
        <v>451.20229719999998</v>
      </c>
      <c r="AC48" s="839">
        <f t="shared" si="70"/>
        <v>505.21675545255204</v>
      </c>
      <c r="AD48" s="839">
        <f t="shared" si="70"/>
        <v>517.44730467192801</v>
      </c>
      <c r="AE48" s="839">
        <f t="shared" si="70"/>
        <v>508.58925057112566</v>
      </c>
      <c r="AF48" s="228">
        <f t="shared" si="70"/>
        <v>1980.100515960238</v>
      </c>
      <c r="AG48" s="909">
        <f t="shared" si="70"/>
        <v>547.28717799999993</v>
      </c>
      <c r="AH48" s="909">
        <f t="shared" si="70"/>
        <v>612.08526319999987</v>
      </c>
      <c r="AI48" s="909">
        <f t="shared" ref="AI48:BE48" si="71">AI46+AI20</f>
        <v>644.05785519999995</v>
      </c>
      <c r="AJ48" s="909">
        <f t="shared" si="71"/>
        <v>651.12384300000008</v>
      </c>
      <c r="AK48" s="228">
        <f t="shared" si="71"/>
        <v>2454.5541393999997</v>
      </c>
      <c r="AL48" s="228">
        <f t="shared" si="71"/>
        <v>0</v>
      </c>
      <c r="AM48" s="228">
        <f t="shared" si="71"/>
        <v>0</v>
      </c>
      <c r="AN48" s="228">
        <f t="shared" si="71"/>
        <v>0</v>
      </c>
      <c r="AO48" s="228">
        <f t="shared" si="71"/>
        <v>0</v>
      </c>
      <c r="AP48" s="228">
        <f t="shared" si="71"/>
        <v>3161.4846382811224</v>
      </c>
      <c r="AQ48" s="228">
        <f t="shared" si="71"/>
        <v>0</v>
      </c>
      <c r="AR48" s="228">
        <f t="shared" si="71"/>
        <v>0</v>
      </c>
      <c r="AS48" s="228">
        <f t="shared" si="71"/>
        <v>0</v>
      </c>
      <c r="AT48" s="228">
        <f t="shared" si="71"/>
        <v>0</v>
      </c>
      <c r="AU48" s="228">
        <f t="shared" si="71"/>
        <v>3200.000820967713</v>
      </c>
      <c r="AV48" s="228">
        <f t="shared" si="71"/>
        <v>0</v>
      </c>
      <c r="AW48" s="228">
        <f t="shared" si="71"/>
        <v>0</v>
      </c>
      <c r="AX48" s="228">
        <f t="shared" si="71"/>
        <v>0</v>
      </c>
      <c r="AY48" s="228">
        <f t="shared" si="71"/>
        <v>0</v>
      </c>
      <c r="AZ48" s="228">
        <f t="shared" si="71"/>
        <v>3125.5741958507369</v>
      </c>
      <c r="BA48" s="228">
        <f t="shared" si="71"/>
        <v>0</v>
      </c>
      <c r="BB48" s="228">
        <f t="shared" si="71"/>
        <v>0</v>
      </c>
      <c r="BC48" s="228">
        <f t="shared" si="71"/>
        <v>0</v>
      </c>
      <c r="BD48" s="228">
        <f t="shared" si="71"/>
        <v>0</v>
      </c>
      <c r="BE48" s="228">
        <f t="shared" si="71"/>
        <v>3114.1863064995614</v>
      </c>
      <c r="BJ48" s="228">
        <f t="shared" ref="BJ48" si="72">BJ46+BJ20</f>
        <v>3139.163006857134</v>
      </c>
      <c r="BO48" s="228">
        <f t="shared" ref="BO48" si="73">BO46+BO20</f>
        <v>3119.4152401204274</v>
      </c>
      <c r="BT48" s="228">
        <f t="shared" ref="BT48" si="74">BT46+BT20</f>
        <v>3147.2163193730398</v>
      </c>
      <c r="BY48" s="228">
        <f t="shared" ref="BY48" si="75">BY46+BY20</f>
        <v>3209.4775001523503</v>
      </c>
      <c r="CD48" s="228">
        <f t="shared" ref="CD48" si="76">CD46+CD20</f>
        <v>3021.4603454748544</v>
      </c>
      <c r="CE48" s="228"/>
      <c r="CF48" s="228"/>
      <c r="CG48" s="228"/>
      <c r="CH48" s="228"/>
      <c r="CI48" s="228">
        <f t="shared" ref="CI48" si="77">CI46+CI20</f>
        <v>2746.8690169751567</v>
      </c>
      <c r="CJ48" s="228"/>
      <c r="CK48" s="228"/>
      <c r="CL48" s="228"/>
      <c r="CM48" s="228"/>
      <c r="CN48" s="228">
        <f t="shared" ref="CN48" si="78">CN46+CN20</f>
        <v>2457.7272737264179</v>
      </c>
      <c r="CO48" s="228"/>
      <c r="CP48" s="228"/>
      <c r="CQ48" s="228"/>
      <c r="CR48" s="228"/>
      <c r="CS48" s="228">
        <f t="shared" ref="CS48" si="79">CS46+CS20</f>
        <v>2117.1502851374084</v>
      </c>
      <c r="CT48" s="228"/>
      <c r="CU48" s="228"/>
      <c r="CV48" s="228"/>
      <c r="CW48" s="228"/>
      <c r="CX48" s="228">
        <f t="shared" ref="CX48" si="80">CX46+CX20</f>
        <v>2270.8241089417488</v>
      </c>
      <c r="CY48" s="228">
        <f>CX48*(1+G59)/(G57-G59)</f>
        <v>22708.241089417486</v>
      </c>
    </row>
    <row r="49" spans="1:103" s="188" customFormat="1" ht="13.5" thickTop="1">
      <c r="B49" s="229" t="s">
        <v>180</v>
      </c>
      <c r="C49" s="230"/>
      <c r="D49" s="230"/>
      <c r="E49" s="230"/>
      <c r="F49" s="230"/>
      <c r="G49" s="230"/>
      <c r="H49" s="231"/>
      <c r="I49" s="231"/>
      <c r="J49" s="231"/>
      <c r="K49" s="231"/>
      <c r="L49" s="231"/>
      <c r="M49" s="231">
        <f t="shared" ref="M49:V49" si="81">M48/H48-1</f>
        <v>2.0344031406224103</v>
      </c>
      <c r="N49" s="231">
        <f t="shared" si="81"/>
        <v>0.77477566332921755</v>
      </c>
      <c r="O49" s="231">
        <f t="shared" si="81"/>
        <v>0.45832485456571992</v>
      </c>
      <c r="P49" s="231">
        <f t="shared" si="81"/>
        <v>0.59237937423734288</v>
      </c>
      <c r="Q49" s="231">
        <f t="shared" si="81"/>
        <v>0.76170102106112858</v>
      </c>
      <c r="R49" s="231">
        <f t="shared" si="81"/>
        <v>0.31847478287331876</v>
      </c>
      <c r="S49" s="231">
        <f t="shared" si="81"/>
        <v>0.38674692591802939</v>
      </c>
      <c r="T49" s="231">
        <f t="shared" si="81"/>
        <v>0.42995766393987189</v>
      </c>
      <c r="U49" s="231">
        <f t="shared" si="81"/>
        <v>0.22327324248366387</v>
      </c>
      <c r="V49" s="231">
        <f t="shared" si="81"/>
        <v>0.33211545844149959</v>
      </c>
      <c r="W49" s="231">
        <f t="shared" ref="W49" si="82">W48/R48-1</f>
        <v>0.72545290945818586</v>
      </c>
      <c r="X49" s="231">
        <f t="shared" ref="X49" si="83">X48/S48-1</f>
        <v>0.79931482722866032</v>
      </c>
      <c r="Y49" s="231">
        <f t="shared" ref="Y49" si="84">Y48/T48-1</f>
        <v>0.82190024015590213</v>
      </c>
      <c r="Z49" s="231">
        <f t="shared" ref="Z49:AB49" si="85">Z48/U48-1</f>
        <v>0.63433366945885306</v>
      </c>
      <c r="AA49" s="231">
        <f>AA48/V48-1</f>
        <v>0.76790313517606279</v>
      </c>
      <c r="AB49" s="231">
        <f t="shared" si="85"/>
        <v>0.46934425513588729</v>
      </c>
      <c r="AC49" s="231">
        <f t="shared" ref="AC49" si="86">AC48/X48-1</f>
        <v>0.31996545704492241</v>
      </c>
      <c r="AD49" s="231">
        <f t="shared" ref="AD49" si="87">AD48/Y48-1</f>
        <v>0.17422461414103774</v>
      </c>
      <c r="AE49" s="231">
        <f t="shared" ref="AE49" si="88">AE48/Z48-1</f>
        <v>0.19922144240866557</v>
      </c>
      <c r="AF49" s="231">
        <f>AF48/AA48-1</f>
        <v>0.25555557674636309</v>
      </c>
      <c r="AG49" s="231">
        <f t="shared" ref="AG49" si="89">AG48/AB48-1</f>
        <v>0.21295299557708014</v>
      </c>
      <c r="AH49" s="231">
        <f t="shared" ref="AH49" si="90">AH48/AC48-1</f>
        <v>0.21153001477894273</v>
      </c>
      <c r="AI49" s="231">
        <f t="shared" ref="AI49" si="91">AI48/AD48-1</f>
        <v>0.24468298391919463</v>
      </c>
      <c r="AJ49" s="231">
        <f t="shared" ref="AJ49" si="92">AJ48/AE48-1</f>
        <v>0.28025482699214277</v>
      </c>
      <c r="AK49" s="231">
        <f>AK48/AF48-1</f>
        <v>0.23961087814255633</v>
      </c>
      <c r="AL49" s="230"/>
      <c r="AM49" s="230"/>
      <c r="AN49" s="230"/>
      <c r="AO49" s="230"/>
      <c r="AP49" s="231">
        <f>AP48/AK48-1</f>
        <v>0.2880077027161958</v>
      </c>
      <c r="AQ49" s="230"/>
      <c r="AR49" s="230"/>
      <c r="AS49" s="230"/>
      <c r="AT49" s="230"/>
      <c r="AU49" s="231">
        <f>AU48/AP48-1</f>
        <v>1.2182941590230811E-2</v>
      </c>
      <c r="AV49" s="230"/>
      <c r="AW49" s="230"/>
      <c r="AX49" s="230"/>
      <c r="AY49" s="230"/>
      <c r="AZ49" s="258">
        <f>AZ48/AU48-1</f>
        <v>-2.3258314382078371E-2</v>
      </c>
      <c r="BA49" s="230"/>
      <c r="BB49" s="230"/>
      <c r="BC49" s="230"/>
      <c r="BD49" s="230"/>
      <c r="BE49" s="1020">
        <f>BE48/AZ48-1</f>
        <v>-3.6434551341936183E-3</v>
      </c>
      <c r="BF49" s="1017"/>
      <c r="BG49" s="1017"/>
      <c r="BH49" s="1017"/>
      <c r="BI49" s="1017"/>
      <c r="BJ49" s="1017">
        <f>BJ48/BE48-1</f>
        <v>8.0202974065630706E-3</v>
      </c>
      <c r="BK49" s="1017"/>
      <c r="BL49" s="1017"/>
      <c r="BM49" s="1017"/>
      <c r="BN49" s="1017"/>
      <c r="BO49" s="1017">
        <f>BO48/BJ48-1</f>
        <v>-6.2907745451796782E-3</v>
      </c>
      <c r="BP49" s="1017"/>
      <c r="BQ49" s="1017"/>
      <c r="BR49" s="1017"/>
      <c r="BS49" s="1017"/>
      <c r="BT49" s="1017">
        <f>BT48/BO48-1</f>
        <v>8.912272689781231E-3</v>
      </c>
      <c r="BU49" s="1017"/>
      <c r="BV49" s="1017"/>
      <c r="BW49" s="1017"/>
      <c r="BX49" s="1017"/>
      <c r="BY49" s="1017">
        <f>BY48/BT48-1</f>
        <v>1.9782936557634967E-2</v>
      </c>
      <c r="BZ49" s="1018"/>
      <c r="CA49" s="1018"/>
      <c r="CB49" s="1018"/>
      <c r="CC49" s="1018"/>
      <c r="CD49" s="1019">
        <f>CD48/BY48-1</f>
        <v>-5.8581857847132768E-2</v>
      </c>
      <c r="CE49" s="1019"/>
      <c r="CF49" s="1019"/>
      <c r="CG49" s="1019"/>
      <c r="CH49" s="1019"/>
      <c r="CI49" s="1019">
        <f>CI48/CD48-1</f>
        <v>-9.0880335037639814E-2</v>
      </c>
      <c r="CJ49" s="1019"/>
      <c r="CK49" s="1019"/>
      <c r="CL49" s="1019"/>
      <c r="CM49" s="1019"/>
      <c r="CN49" s="1019">
        <f>CN48/CI48-1</f>
        <v>-0.10526229735087289</v>
      </c>
      <c r="CO49" s="1019"/>
      <c r="CP49" s="1019"/>
      <c r="CQ49" s="1019"/>
      <c r="CR49" s="1019"/>
      <c r="CS49" s="1019">
        <f>CS48/CN48-1</f>
        <v>-0.13857395498265557</v>
      </c>
      <c r="CT49" s="1019"/>
      <c r="CU49" s="1019"/>
      <c r="CV49" s="1019"/>
      <c r="CW49" s="1019"/>
      <c r="CX49" s="1019">
        <f>CX48/CS48-1</f>
        <v>7.2585222165447938E-2</v>
      </c>
    </row>
    <row r="51" spans="1:103">
      <c r="B51" s="125" t="s">
        <v>175</v>
      </c>
      <c r="V51" s="219">
        <f>1/(1+$G$57)^(V1-$G$60)</f>
        <v>1.5355610346059194</v>
      </c>
      <c r="W51" s="219"/>
      <c r="X51" s="219"/>
      <c r="Y51" s="219"/>
      <c r="Z51" s="219"/>
      <c r="AA51" s="219">
        <f>1/(1+$G$57)^(AA1-$G$60)</f>
        <v>1.395964576914472</v>
      </c>
      <c r="AB51" s="219"/>
      <c r="AC51" s="219"/>
      <c r="AD51" s="219"/>
      <c r="AE51" s="219"/>
      <c r="AF51" s="219">
        <f>1/(1+$G$57)^(AF1-$G$60)</f>
        <v>1.2690587062858836</v>
      </c>
      <c r="AG51" s="219"/>
      <c r="AH51" s="219"/>
      <c r="AI51" s="219"/>
      <c r="AJ51" s="219"/>
      <c r="AK51" s="219">
        <f>1/(1+$G$57)^(AK1-$G$60)</f>
        <v>1.1536897329871669</v>
      </c>
      <c r="AL51" s="219"/>
      <c r="AM51" s="219"/>
      <c r="AN51" s="219"/>
      <c r="AO51" s="219"/>
      <c r="AP51" s="219">
        <f>1/(1+$G$57)^(AP1-$G$60)</f>
        <v>1.0488088481701516</v>
      </c>
      <c r="AQ51" s="219"/>
      <c r="AR51" s="219"/>
      <c r="AS51" s="219"/>
      <c r="AT51" s="219"/>
      <c r="AU51" s="219">
        <f>1/(1+$G$57)^(AU1-$G$60)</f>
        <v>0.95346258924559224</v>
      </c>
      <c r="AV51" s="219"/>
      <c r="AW51" s="219"/>
      <c r="AX51" s="219"/>
      <c r="AY51" s="219"/>
      <c r="AZ51" s="219">
        <f>1/(1+$G$57)^(AZ1-$G$60)</f>
        <v>0.86678417204144742</v>
      </c>
      <c r="BA51" s="219"/>
      <c r="BB51" s="219"/>
      <c r="BC51" s="219"/>
      <c r="BD51" s="219"/>
      <c r="BE51" s="219">
        <f>1/(1+$G$57)^(BE1-$G$60)</f>
        <v>0.78798561094677033</v>
      </c>
      <c r="BF51" s="219"/>
      <c r="BG51" s="219"/>
      <c r="BH51" s="219"/>
      <c r="BI51" s="219"/>
      <c r="BJ51" s="219">
        <f>1/(1+$G$57)^(BJ1-$G$60)</f>
        <v>0.71635055540615489</v>
      </c>
      <c r="BK51" s="219"/>
      <c r="BL51" s="219"/>
      <c r="BM51" s="219"/>
      <c r="BN51" s="219"/>
      <c r="BO51" s="219">
        <f>1/(1+$G$57)^(BO1-$G$60)</f>
        <v>0.65122777764195883</v>
      </c>
      <c r="BP51" s="219"/>
      <c r="BQ51" s="219"/>
      <c r="BR51" s="219"/>
      <c r="BS51" s="219"/>
      <c r="BT51" s="219">
        <f>1/(1+$G$57)^(BT1-$G$60)</f>
        <v>0.59202525240178083</v>
      </c>
      <c r="BU51" s="219"/>
      <c r="BV51" s="219"/>
      <c r="BW51" s="219"/>
      <c r="BX51" s="219"/>
      <c r="BY51" s="219">
        <f>1/(1+$G$57)^(BY1-$G$60)</f>
        <v>0.53820477491070973</v>
      </c>
      <c r="BZ51" s="219"/>
      <c r="CA51" s="219"/>
      <c r="CB51" s="219"/>
      <c r="CC51" s="219"/>
      <c r="CD51" s="219">
        <f>1/(1+$G$57)^(CD1-$G$60)</f>
        <v>0.48927706810064514</v>
      </c>
      <c r="CE51" s="219"/>
      <c r="CF51" s="219"/>
      <c r="CG51" s="219"/>
      <c r="CH51" s="219"/>
      <c r="CI51" s="219">
        <f>1/(1+$G$57)^(CI1-$G$60)</f>
        <v>0.44479733463695009</v>
      </c>
      <c r="CJ51" s="219"/>
      <c r="CK51" s="219"/>
      <c r="CL51" s="219"/>
      <c r="CM51" s="219"/>
      <c r="CN51" s="219">
        <f>1/(1+$G$57)^(CN1-$G$60)</f>
        <v>0.4043612133063183</v>
      </c>
      <c r="CO51" s="219"/>
      <c r="CP51" s="219"/>
      <c r="CQ51" s="219"/>
      <c r="CR51" s="219"/>
      <c r="CS51" s="219">
        <f>1/(1+$G$57)^(CS1-$G$60)</f>
        <v>0.36760110300574383</v>
      </c>
      <c r="CT51" s="219"/>
      <c r="CU51" s="219"/>
      <c r="CV51" s="219"/>
      <c r="CW51" s="219"/>
      <c r="CX51" s="219">
        <f>1/(1+$G$57)^(CX1-$G$60)</f>
        <v>0.33418282091431251</v>
      </c>
      <c r="CY51" s="219">
        <f>1/(1+$G$57)^(CY1-$G$60)</f>
        <v>0.30380256446755688</v>
      </c>
    </row>
    <row r="52" spans="1:103">
      <c r="B52" s="125" t="s">
        <v>670</v>
      </c>
      <c r="V52" s="223"/>
      <c r="AA52" s="223">
        <f>AA51*AA48</f>
        <v>2201.5355036481606</v>
      </c>
      <c r="AF52" s="223">
        <f>AF51*AF48</f>
        <v>2512.8637991005103</v>
      </c>
      <c r="AK52" s="223">
        <f>AK51*AK48</f>
        <v>2831.7939096869309</v>
      </c>
      <c r="AP52" s="223">
        <f>AP51*AP48</f>
        <v>3315.7930619832523</v>
      </c>
      <c r="AU52" s="223">
        <f>AU51*AU48</f>
        <v>3051.0810683478967</v>
      </c>
      <c r="AZ52" s="223">
        <f>AZ51*AZ48</f>
        <v>2709.1982415045936</v>
      </c>
      <c r="BE52" s="223">
        <f>BE51*BE48</f>
        <v>2453.9339993291233</v>
      </c>
      <c r="BJ52" s="223">
        <f>BJ51*BJ48</f>
        <v>2248.7411634725631</v>
      </c>
      <c r="BO52" s="223">
        <f>BO51*BO48</f>
        <v>2031.4498543660832</v>
      </c>
      <c r="BT52" s="223">
        <f>BT51*BT48</f>
        <v>1863.2315358398275</v>
      </c>
      <c r="BY52" s="223">
        <f>BY51*BY48</f>
        <v>1727.3561155504831</v>
      </c>
      <c r="CD52" s="223">
        <f t="shared" ref="CD52:CY52" si="93">CD51*CD48</f>
        <v>1478.331259216299</v>
      </c>
      <c r="CE52" s="223"/>
      <c r="CF52" s="223"/>
      <c r="CG52" s="223"/>
      <c r="CH52" s="223"/>
      <c r="CI52" s="223">
        <f t="shared" si="93"/>
        <v>1221.800017347369</v>
      </c>
      <c r="CJ52" s="223"/>
      <c r="CK52" s="223"/>
      <c r="CL52" s="223"/>
      <c r="CM52" s="223"/>
      <c r="CN52" s="223">
        <f t="shared" si="93"/>
        <v>993.80958238004428</v>
      </c>
      <c r="CO52" s="223"/>
      <c r="CP52" s="223"/>
      <c r="CQ52" s="223"/>
      <c r="CR52" s="223"/>
      <c r="CS52" s="223">
        <f t="shared" si="93"/>
        <v>778.26678004543646</v>
      </c>
      <c r="CT52" s="223"/>
      <c r="CU52" s="223"/>
      <c r="CV52" s="223"/>
      <c r="CW52" s="223"/>
      <c r="CX52" s="223">
        <f t="shared" si="93"/>
        <v>758.8704065263837</v>
      </c>
      <c r="CY52" s="223">
        <f t="shared" si="93"/>
        <v>6898.8218775125797</v>
      </c>
    </row>
    <row r="56" spans="1:103" ht="13.5" thickBot="1"/>
    <row r="57" spans="1:103">
      <c r="A57" s="543" t="s">
        <v>668</v>
      </c>
      <c r="B57" s="544" t="s">
        <v>589</v>
      </c>
      <c r="C57" s="545"/>
      <c r="D57" s="545"/>
      <c r="E57" s="545"/>
      <c r="F57" s="545"/>
      <c r="G57" s="546">
        <f>DCF!C18</f>
        <v>0.1</v>
      </c>
    </row>
    <row r="58" spans="1:103">
      <c r="B58" s="547" t="s">
        <v>590</v>
      </c>
      <c r="C58" s="548"/>
      <c r="D58" s="548"/>
      <c r="E58" s="548"/>
      <c r="F58" s="548"/>
      <c r="G58" s="549">
        <v>0</v>
      </c>
    </row>
    <row r="59" spans="1:103">
      <c r="A59" s="543" t="s">
        <v>668</v>
      </c>
      <c r="B59" s="547" t="s">
        <v>591</v>
      </c>
      <c r="C59" s="548"/>
      <c r="D59" s="548"/>
      <c r="E59" s="548"/>
      <c r="F59" s="548"/>
      <c r="G59" s="550">
        <v>0</v>
      </c>
    </row>
    <row r="60" spans="1:103">
      <c r="A60" s="543" t="s">
        <v>668</v>
      </c>
      <c r="B60" s="547" t="s">
        <v>592</v>
      </c>
      <c r="C60" s="548"/>
      <c r="D60" s="548"/>
      <c r="E60" s="548"/>
      <c r="F60" s="548"/>
      <c r="G60" s="551">
        <f>DCF!C21</f>
        <v>2018.5</v>
      </c>
    </row>
    <row r="61" spans="1:103">
      <c r="A61" s="543" t="s">
        <v>668</v>
      </c>
      <c r="B61" s="547" t="s">
        <v>593</v>
      </c>
      <c r="C61" s="548"/>
      <c r="D61" s="548"/>
      <c r="E61" s="548"/>
      <c r="F61" s="548"/>
      <c r="G61" s="551">
        <f>DCF!C22</f>
        <v>117.50775</v>
      </c>
    </row>
    <row r="62" spans="1:103">
      <c r="B62" s="552"/>
      <c r="C62" s="548"/>
      <c r="D62" s="548"/>
      <c r="E62" s="548"/>
      <c r="F62" s="548"/>
      <c r="G62" s="549"/>
    </row>
    <row r="63" spans="1:103">
      <c r="B63" s="553" t="s">
        <v>669</v>
      </c>
      <c r="C63" s="548"/>
      <c r="D63" s="548"/>
      <c r="E63" s="548"/>
      <c r="F63" s="548"/>
      <c r="G63" s="554">
        <f>SUM(AU52:CY52)</f>
        <v>28214.891901438685</v>
      </c>
    </row>
    <row r="64" spans="1:103" ht="13.5" thickBot="1">
      <c r="B64" s="555" t="s">
        <v>588</v>
      </c>
      <c r="C64" s="556"/>
      <c r="D64" s="556"/>
      <c r="E64" s="556"/>
      <c r="F64" s="556"/>
      <c r="G64" s="557">
        <f>G63/G61</f>
        <v>240.11090248463344</v>
      </c>
    </row>
    <row r="66" spans="2:52">
      <c r="L66" s="178"/>
    </row>
    <row r="69" spans="2:52">
      <c r="B69" s="558" t="s">
        <v>672</v>
      </c>
      <c r="C69" s="558"/>
      <c r="D69" s="558"/>
      <c r="E69" s="558"/>
      <c r="F69" s="558"/>
      <c r="G69" s="558"/>
      <c r="H69" s="558"/>
      <c r="I69" s="558"/>
      <c r="J69" s="558"/>
      <c r="K69" s="558"/>
      <c r="L69" s="558"/>
      <c r="M69" s="558"/>
      <c r="N69" s="558"/>
      <c r="O69" s="558"/>
      <c r="P69" s="558"/>
      <c r="Q69" s="558"/>
      <c r="R69" s="558"/>
      <c r="S69" s="558"/>
      <c r="T69" s="558"/>
      <c r="U69" s="558"/>
      <c r="V69" s="558"/>
      <c r="W69" s="558"/>
      <c r="X69" s="558"/>
      <c r="Y69" s="558"/>
      <c r="Z69" s="558"/>
      <c r="AA69" s="558"/>
      <c r="AB69" s="558"/>
      <c r="AC69" s="558"/>
      <c r="AD69" s="558"/>
      <c r="AE69" s="558"/>
      <c r="AF69" s="558"/>
      <c r="AG69" s="558"/>
      <c r="AH69" s="558"/>
      <c r="AI69" s="558"/>
      <c r="AJ69" s="558"/>
      <c r="AK69" s="558"/>
      <c r="AL69" s="558"/>
      <c r="AM69" s="558"/>
      <c r="AN69" s="558"/>
      <c r="AO69" s="558"/>
      <c r="AP69" s="558"/>
      <c r="AQ69" s="558"/>
      <c r="AR69" s="558"/>
      <c r="AS69" s="558"/>
      <c r="AT69" s="558"/>
      <c r="AU69" s="558"/>
      <c r="AV69" s="558"/>
      <c r="AW69" s="558"/>
      <c r="AX69" s="558"/>
      <c r="AY69" s="558"/>
      <c r="AZ69" s="558"/>
    </row>
    <row r="70" spans="2:52" outlineLevel="1"/>
    <row r="71" spans="2:52" outlineLevel="1">
      <c r="B71" s="125" t="s">
        <v>658</v>
      </c>
      <c r="K71" s="125">
        <v>654</v>
      </c>
      <c r="M71" s="125">
        <f>3183-K71</f>
        <v>2529</v>
      </c>
      <c r="N71" s="125">
        <f>3893</f>
        <v>3893</v>
      </c>
      <c r="O71" s="125">
        <v>4271</v>
      </c>
      <c r="P71" s="125">
        <f>13327-O71-N71</f>
        <v>5163</v>
      </c>
      <c r="R71" s="125">
        <f>18760-P71-O71-N71</f>
        <v>5433</v>
      </c>
      <c r="S71" s="125">
        <v>4686</v>
      </c>
      <c r="T71" s="125">
        <v>5942</v>
      </c>
      <c r="U71" s="155">
        <f>17717-T71-S71</f>
        <v>7089</v>
      </c>
      <c r="W71" s="125">
        <v>7200</v>
      </c>
      <c r="X71" s="125">
        <v>9001</v>
      </c>
      <c r="Y71" s="125">
        <v>10500</v>
      </c>
    </row>
    <row r="72" spans="2:52" outlineLevel="1">
      <c r="B72" s="173" t="s">
        <v>687</v>
      </c>
      <c r="C72" s="173"/>
      <c r="D72" s="173"/>
      <c r="E72" s="173"/>
      <c r="F72" s="173"/>
      <c r="G72" s="173"/>
      <c r="H72" s="173"/>
      <c r="I72" s="173"/>
      <c r="J72" s="173"/>
      <c r="K72" s="225">
        <f>K71*K92</f>
        <v>8.0522659999999995</v>
      </c>
      <c r="L72" s="173"/>
      <c r="M72" s="225">
        <f>M71*Q89</f>
        <v>27.405086999999995</v>
      </c>
      <c r="N72" s="225">
        <f>N71*Q90</f>
        <v>39.41532733333333</v>
      </c>
      <c r="O72" s="225">
        <f>O71*Q91</f>
        <v>43.189775666666662</v>
      </c>
      <c r="P72" s="225">
        <f>P71*Q92</f>
        <v>51.402828</v>
      </c>
      <c r="R72" s="225">
        <f>R71*V89</f>
        <v>52.84498</v>
      </c>
      <c r="S72" s="225">
        <f>S71*V90</f>
        <v>45.87594</v>
      </c>
      <c r="T72" s="225">
        <f>T71*V91</f>
        <v>39.837544800000003</v>
      </c>
      <c r="U72" s="225">
        <f>U71*V92</f>
        <v>61.974400999999993</v>
      </c>
      <c r="W72" s="225">
        <f>W71*W89</f>
        <v>60.430753315787719</v>
      </c>
      <c r="X72" s="225">
        <f>X71*W90</f>
        <v>74.176597073717133</v>
      </c>
      <c r="Y72" s="225">
        <f>Y71*W91</f>
        <v>85.955351097634107</v>
      </c>
      <c r="Z72" s="225"/>
    </row>
    <row r="73" spans="2:52" outlineLevel="1">
      <c r="B73" s="243" t="s">
        <v>688</v>
      </c>
      <c r="K73" s="178"/>
      <c r="M73" s="238">
        <v>0.39400000000000002</v>
      </c>
      <c r="N73" s="238">
        <v>0.36799999999999999</v>
      </c>
      <c r="O73" s="238">
        <v>0.41699999999999998</v>
      </c>
      <c r="P73" s="178"/>
    </row>
    <row r="74" spans="2:52" outlineLevel="1">
      <c r="B74" s="243" t="s">
        <v>689</v>
      </c>
      <c r="K74" s="178"/>
      <c r="M74" s="238">
        <v>0.503</v>
      </c>
      <c r="N74" s="238">
        <v>0.51400000000000001</v>
      </c>
      <c r="O74" s="238">
        <v>0.497</v>
      </c>
      <c r="P74" s="178"/>
    </row>
    <row r="75" spans="2:52" outlineLevel="1">
      <c r="K75" s="178"/>
      <c r="M75" s="178"/>
      <c r="N75" s="178"/>
      <c r="O75" s="178"/>
      <c r="P75" s="178"/>
    </row>
    <row r="76" spans="2:52" ht="13.5" outlineLevel="1" thickBot="1">
      <c r="B76" s="240" t="s">
        <v>657</v>
      </c>
      <c r="C76" s="240"/>
      <c r="D76" s="240"/>
      <c r="E76" s="240"/>
      <c r="F76" s="240"/>
      <c r="G76" s="240"/>
      <c r="H76" s="240"/>
      <c r="I76" s="240"/>
      <c r="J76" s="240"/>
      <c r="K76" s="240">
        <v>2012</v>
      </c>
      <c r="L76" s="240"/>
      <c r="M76" s="240"/>
      <c r="N76" s="240"/>
      <c r="O76" s="240"/>
      <c r="P76" s="240"/>
      <c r="Q76" s="240">
        <v>2013</v>
      </c>
      <c r="V76" s="240">
        <v>2014</v>
      </c>
      <c r="W76" s="240">
        <v>2015</v>
      </c>
    </row>
    <row r="77" spans="2:52" outlineLevel="1">
      <c r="B77" s="125" t="s">
        <v>548</v>
      </c>
      <c r="Q77" s="125">
        <v>1.1212E-2</v>
      </c>
      <c r="V77" s="125">
        <v>9.6100000000000005E-3</v>
      </c>
      <c r="W77" s="125">
        <f>1/118.314541</f>
        <v>8.4520464817591599E-3</v>
      </c>
    </row>
    <row r="78" spans="2:52" outlineLevel="1">
      <c r="B78" s="125" t="s">
        <v>549</v>
      </c>
      <c r="Q78" s="125">
        <v>1.0744E-2</v>
      </c>
      <c r="V78" s="125">
        <v>9.7900000000000001E-3</v>
      </c>
      <c r="W78" s="125">
        <f>1/118.779936</f>
        <v>8.4189302812892573E-3</v>
      </c>
    </row>
    <row r="79" spans="2:52" outlineLevel="1">
      <c r="B79" s="125" t="s">
        <v>550</v>
      </c>
      <c r="Q79" s="125">
        <v>1.0553E-2</v>
      </c>
      <c r="V79" s="125">
        <v>9.7800000000000005E-3</v>
      </c>
      <c r="W79" s="125">
        <f>1/120.358614</f>
        <v>8.3085037851964635E-3</v>
      </c>
    </row>
    <row r="80" spans="2:52" outlineLevel="1">
      <c r="B80" s="125" t="s">
        <v>618</v>
      </c>
      <c r="Q80" s="125">
        <v>1.0212000000000001E-2</v>
      </c>
      <c r="V80" s="125">
        <v>9.75E-3</v>
      </c>
      <c r="W80" s="125">
        <f>1/119.447335</f>
        <v>8.3718904235075657E-3</v>
      </c>
    </row>
    <row r="81" spans="2:23" outlineLevel="1">
      <c r="B81" s="125" t="s">
        <v>552</v>
      </c>
      <c r="Q81" s="125">
        <v>9.8989999999999998E-3</v>
      </c>
      <c r="V81" s="125">
        <v>9.8200000000000006E-3</v>
      </c>
      <c r="W81" s="125">
        <f>1/120.886531</f>
        <v>8.2722201698384405E-3</v>
      </c>
    </row>
    <row r="82" spans="2:23" outlineLevel="1">
      <c r="B82" s="125" t="s">
        <v>619</v>
      </c>
      <c r="Q82" s="125">
        <v>1.0263E-2</v>
      </c>
      <c r="V82" s="125">
        <v>9.7999999999999997E-3</v>
      </c>
      <c r="W82" s="125">
        <f>1/123.782678</f>
        <v>8.0786747884061764E-3</v>
      </c>
    </row>
    <row r="83" spans="2:23" outlineLevel="1">
      <c r="B83" s="125" t="s">
        <v>620</v>
      </c>
      <c r="Q83" s="125">
        <v>1.0026999999999999E-2</v>
      </c>
      <c r="V83" s="125">
        <v>9.8300000000000002E-3</v>
      </c>
      <c r="W83" s="125">
        <f>1/123.308827</f>
        <v>8.109719509374622E-3</v>
      </c>
    </row>
    <row r="84" spans="2:23" outlineLevel="1">
      <c r="B84" s="125" t="s">
        <v>621</v>
      </c>
      <c r="Q84" s="125">
        <v>1.0220999999999999E-2</v>
      </c>
      <c r="V84" s="125">
        <v>9.7119999999999997E-4</v>
      </c>
      <c r="W84" s="125">
        <f>1/123.082288</f>
        <v>8.1246458466875428E-3</v>
      </c>
    </row>
    <row r="85" spans="2:23" outlineLevel="1">
      <c r="B85" s="125" t="s">
        <v>622</v>
      </c>
      <c r="Q85" s="125">
        <v>1.0089000000000001E-2</v>
      </c>
      <c r="V85" s="125">
        <v>9.3120000000000008E-3</v>
      </c>
      <c r="W85" s="125">
        <f>1/120.130129</f>
        <v>8.3243063861190066E-3</v>
      </c>
    </row>
    <row r="86" spans="2:23" outlineLevel="1">
      <c r="B86" s="125" t="s">
        <v>623</v>
      </c>
      <c r="K86" s="125">
        <v>1.2659999999999999E-2</v>
      </c>
      <c r="Q86" s="125">
        <v>1.0226000000000001E-2</v>
      </c>
      <c r="V86" s="125">
        <v>9.2560000000000003E-3</v>
      </c>
      <c r="W86" s="125">
        <f>1/120.130129</f>
        <v>8.3243063861190066E-3</v>
      </c>
    </row>
    <row r="87" spans="2:23" outlineLevel="1">
      <c r="B87" s="125" t="s">
        <v>624</v>
      </c>
      <c r="K87" s="125">
        <v>1.2345E-2</v>
      </c>
      <c r="Q87" s="125">
        <v>9.9850000000000008E-3</v>
      </c>
      <c r="V87" s="125">
        <v>8.6060000000000008E-3</v>
      </c>
    </row>
    <row r="88" spans="2:23" outlineLevel="1">
      <c r="B88" s="241" t="s">
        <v>625</v>
      </c>
      <c r="C88" s="241"/>
      <c r="D88" s="241"/>
      <c r="E88" s="241"/>
      <c r="F88" s="241"/>
      <c r="G88" s="241"/>
      <c r="H88" s="241"/>
      <c r="I88" s="241"/>
      <c r="J88" s="241"/>
      <c r="K88" s="241">
        <v>1.1932E-2</v>
      </c>
      <c r="L88" s="241"/>
      <c r="M88" s="241"/>
      <c r="N88" s="241"/>
      <c r="O88" s="241"/>
      <c r="P88" s="241"/>
      <c r="Q88" s="241">
        <v>9.6570000000000007E-3</v>
      </c>
      <c r="V88" s="241">
        <v>8.3649999999999992E-3</v>
      </c>
      <c r="W88" s="241"/>
    </row>
    <row r="89" spans="2:23" outlineLevel="1">
      <c r="B89" s="125" t="s">
        <v>626</v>
      </c>
      <c r="Q89" s="242">
        <f>AVERAGE(Q77:Q79)</f>
        <v>1.0836333333333331E-2</v>
      </c>
      <c r="V89" s="242">
        <f>AVERAGE(V77:V79)</f>
        <v>9.7266666666666664E-3</v>
      </c>
      <c r="W89" s="242">
        <f>AVERAGE(W77:W79)</f>
        <v>8.3931601827482941E-3</v>
      </c>
    </row>
    <row r="90" spans="2:23" outlineLevel="1">
      <c r="B90" s="125" t="s">
        <v>627</v>
      </c>
      <c r="Q90" s="242">
        <f>AVERAGE(Q80:Q82)</f>
        <v>1.0124666666666665E-2</v>
      </c>
      <c r="V90" s="242">
        <f>AVERAGE(V80:V82)</f>
        <v>9.7900000000000001E-3</v>
      </c>
      <c r="W90" s="242">
        <f>AVERAGE(W80:W82)</f>
        <v>8.2409284605840603E-3</v>
      </c>
    </row>
    <row r="91" spans="2:23" outlineLevel="1">
      <c r="B91" s="125" t="s">
        <v>628</v>
      </c>
      <c r="Q91" s="242">
        <f>AVERAGE(Q83:Q85)</f>
        <v>1.0112333333333333E-2</v>
      </c>
      <c r="V91" s="242">
        <f>AVERAGE(V83:V85)</f>
        <v>6.7044000000000001E-3</v>
      </c>
      <c r="W91" s="242">
        <f>AVERAGE(W83:W85)</f>
        <v>8.186223914060391E-3</v>
      </c>
    </row>
    <row r="92" spans="2:23" outlineLevel="1">
      <c r="B92" s="125" t="s">
        <v>629</v>
      </c>
      <c r="K92" s="125">
        <f>AVERAGE(K86:K88)</f>
        <v>1.2312333333333333E-2</v>
      </c>
      <c r="Q92" s="242">
        <f>AVERAGE(Q86:Q88)</f>
        <v>9.9559999999999996E-3</v>
      </c>
      <c r="V92" s="242">
        <f>AVERAGE(V86:V88)</f>
        <v>8.7423333333333329E-3</v>
      </c>
      <c r="W92" s="242"/>
    </row>
    <row r="93" spans="2:23">
      <c r="B93" s="125" t="s">
        <v>17</v>
      </c>
      <c r="Q93" s="242">
        <f>AVERAGE(Q77:Q88)</f>
        <v>1.0257333333333332E-2</v>
      </c>
      <c r="V93" s="242">
        <f>AVERAGE(V77:V88)</f>
        <v>8.7408500000000014E-3</v>
      </c>
      <c r="W93" s="242">
        <f>AVERAGE(W77:W88)</f>
        <v>8.2785244058297229E-3</v>
      </c>
    </row>
    <row r="99" spans="1:102">
      <c r="AA99" s="178"/>
      <c r="AF99" s="178"/>
    </row>
    <row r="100" spans="1:102">
      <c r="A100" s="465"/>
      <c r="B100" s="559" t="s">
        <v>678</v>
      </c>
      <c r="C100" s="558"/>
      <c r="D100" s="558"/>
      <c r="E100" s="558"/>
      <c r="F100" s="558"/>
      <c r="G100" s="558"/>
      <c r="H100" s="558"/>
      <c r="I100" s="558"/>
      <c r="J100" s="558"/>
      <c r="K100" s="558"/>
      <c r="L100" s="558"/>
      <c r="M100" s="558"/>
      <c r="N100" s="558"/>
      <c r="O100" s="558"/>
      <c r="P100" s="558"/>
      <c r="Q100" s="558"/>
      <c r="R100" s="558"/>
      <c r="S100" s="558"/>
      <c r="T100" s="558"/>
      <c r="U100" s="558"/>
      <c r="V100" s="558"/>
      <c r="W100" s="558"/>
      <c r="X100" s="558"/>
      <c r="Y100" s="558"/>
      <c r="Z100" s="558"/>
      <c r="AA100" s="558"/>
      <c r="AB100" s="558"/>
      <c r="AC100" s="558"/>
      <c r="AD100" s="558"/>
      <c r="AE100" s="558"/>
      <c r="AF100" s="558"/>
      <c r="AG100" s="558"/>
      <c r="AH100" s="558"/>
      <c r="AI100" s="558"/>
      <c r="AJ100" s="558"/>
      <c r="AK100" s="558"/>
      <c r="AL100" s="558"/>
      <c r="AM100" s="558"/>
      <c r="AN100" s="558"/>
      <c r="AO100" s="558"/>
      <c r="AP100" s="558"/>
      <c r="AQ100" s="558"/>
      <c r="AR100" s="558"/>
      <c r="AS100" s="558"/>
      <c r="AT100" s="558"/>
      <c r="AU100" s="558"/>
      <c r="AV100" s="558"/>
      <c r="AW100" s="558"/>
      <c r="AX100" s="558"/>
      <c r="AY100" s="558"/>
      <c r="AZ100" s="558"/>
      <c r="BE100" s="558"/>
      <c r="BJ100" s="558"/>
      <c r="BO100" s="558"/>
      <c r="BT100" s="558"/>
      <c r="BY100" s="558"/>
      <c r="CD100" s="558"/>
      <c r="CI100" s="558"/>
      <c r="CN100" s="558"/>
      <c r="CS100" s="558"/>
      <c r="CX100" s="558"/>
    </row>
    <row r="101" spans="1:102" outlineLevel="1">
      <c r="A101" s="465"/>
      <c r="B101" s="474" t="s">
        <v>824</v>
      </c>
      <c r="M101" s="178">
        <f t="shared" ref="M101:Q101" si="94">M26*0.018</f>
        <v>1.1663999999999999</v>
      </c>
      <c r="N101" s="178">
        <f t="shared" si="94"/>
        <v>1.7369999999999999</v>
      </c>
      <c r="O101" s="178">
        <f t="shared" si="94"/>
        <v>2.2464</v>
      </c>
      <c r="P101" s="178">
        <f t="shared" si="94"/>
        <v>3.3119999999999998</v>
      </c>
      <c r="Q101" s="178">
        <f t="shared" si="94"/>
        <v>8.4977999999999998</v>
      </c>
      <c r="R101" s="178">
        <f>R26*0.019</f>
        <v>4.1438999999999995</v>
      </c>
      <c r="S101" s="178">
        <f t="shared" ref="S101:BE101" si="95">S26*0.019</f>
        <v>4.6892000000000005</v>
      </c>
      <c r="T101" s="178">
        <f t="shared" si="95"/>
        <v>5.2629999999999999</v>
      </c>
      <c r="U101" s="178">
        <f t="shared" si="95"/>
        <v>5.6429999999999998</v>
      </c>
      <c r="V101" s="178">
        <f t="shared" si="95"/>
        <v>20.608399170922613</v>
      </c>
      <c r="W101" s="178">
        <f t="shared" si="95"/>
        <v>5.5442</v>
      </c>
      <c r="X101" s="178">
        <f t="shared" si="95"/>
        <v>6.4219999999999997</v>
      </c>
      <c r="Y101" s="178">
        <f t="shared" si="95"/>
        <v>7.0509000000000004</v>
      </c>
      <c r="Z101" s="178">
        <f t="shared" si="95"/>
        <v>7.8469999999999995</v>
      </c>
      <c r="AA101" s="178">
        <f t="shared" si="95"/>
        <v>25.23551093605149</v>
      </c>
      <c r="AB101" s="178">
        <f t="shared" si="95"/>
        <v>7.9609999999999994</v>
      </c>
      <c r="AC101" s="178">
        <f>AC26*0.019</f>
        <v>9.234</v>
      </c>
      <c r="AD101" s="178">
        <f t="shared" si="95"/>
        <v>8.9451999999999998</v>
      </c>
      <c r="AE101" s="178">
        <f t="shared" si="95"/>
        <v>9.4239999999999995</v>
      </c>
      <c r="AF101" s="178">
        <f t="shared" si="95"/>
        <v>35.5642</v>
      </c>
      <c r="AG101" s="178">
        <f t="shared" si="95"/>
        <v>9.1940999999999988</v>
      </c>
      <c r="AH101" s="178">
        <f t="shared" si="95"/>
        <v>10.3056</v>
      </c>
      <c r="AI101" s="178">
        <f t="shared" si="95"/>
        <v>10.7103</v>
      </c>
      <c r="AJ101" s="178">
        <f t="shared" si="95"/>
        <v>12.103</v>
      </c>
      <c r="AK101" s="178">
        <f t="shared" si="95"/>
        <v>42.320599999999999</v>
      </c>
      <c r="AL101" s="178">
        <f t="shared" si="95"/>
        <v>0</v>
      </c>
      <c r="AM101" s="178">
        <f t="shared" si="95"/>
        <v>0</v>
      </c>
      <c r="AN101" s="178">
        <f t="shared" si="95"/>
        <v>0</v>
      </c>
      <c r="AO101" s="178">
        <f t="shared" si="95"/>
        <v>0</v>
      </c>
      <c r="AP101" s="178">
        <f t="shared" si="95"/>
        <v>44.168279336997095</v>
      </c>
      <c r="AQ101" s="178">
        <f t="shared" si="95"/>
        <v>0</v>
      </c>
      <c r="AR101" s="178">
        <f t="shared" si="95"/>
        <v>0</v>
      </c>
      <c r="AS101" s="178">
        <f t="shared" si="95"/>
        <v>0</v>
      </c>
      <c r="AT101" s="178">
        <f t="shared" si="95"/>
        <v>0</v>
      </c>
      <c r="AU101" s="178">
        <f t="shared" si="95"/>
        <v>47.964446624193947</v>
      </c>
      <c r="AV101" s="178">
        <f t="shared" si="95"/>
        <v>0</v>
      </c>
      <c r="AW101" s="178">
        <f t="shared" si="95"/>
        <v>0</v>
      </c>
      <c r="AX101" s="178">
        <f t="shared" si="95"/>
        <v>0</v>
      </c>
      <c r="AY101" s="178">
        <f t="shared" si="95"/>
        <v>0</v>
      </c>
      <c r="AZ101" s="178">
        <f t="shared" si="95"/>
        <v>48.194631776025076</v>
      </c>
      <c r="BA101" s="178">
        <f t="shared" si="95"/>
        <v>0</v>
      </c>
      <c r="BB101" s="178">
        <f t="shared" si="95"/>
        <v>0</v>
      </c>
      <c r="BC101" s="178">
        <f t="shared" si="95"/>
        <v>0</v>
      </c>
      <c r="BD101" s="178">
        <f t="shared" si="95"/>
        <v>0</v>
      </c>
      <c r="BE101" s="178">
        <f t="shared" si="95"/>
        <v>48.242786940756403</v>
      </c>
      <c r="BF101" s="178"/>
      <c r="BG101" s="178"/>
      <c r="BH101" s="178"/>
      <c r="BI101" s="178"/>
      <c r="BJ101" s="178">
        <f t="shared" ref="BJ101" si="96">BJ26*0.019</f>
        <v>49.13404394454021</v>
      </c>
      <c r="BK101" s="178"/>
      <c r="BL101" s="178"/>
      <c r="BM101" s="178"/>
      <c r="BN101" s="178"/>
      <c r="BO101" s="178">
        <f t="shared" ref="BO101" si="97">BO26*0.019</f>
        <v>50.324271059731657</v>
      </c>
      <c r="BP101" s="178"/>
      <c r="BQ101" s="178"/>
      <c r="BR101" s="178"/>
      <c r="BS101" s="178"/>
      <c r="BT101" s="178">
        <f t="shared" ref="BT101" si="98">BT26*0.019</f>
        <v>50.916678239709142</v>
      </c>
      <c r="BU101" s="178"/>
      <c r="BV101" s="178"/>
      <c r="BW101" s="178"/>
      <c r="BX101" s="178"/>
      <c r="BY101" s="178">
        <f t="shared" ref="BY101" si="99">BY26*0.019</f>
        <v>52.387590014593023</v>
      </c>
      <c r="BZ101" s="178"/>
      <c r="CA101" s="178"/>
      <c r="CB101" s="178"/>
      <c r="CC101" s="178"/>
      <c r="CD101" s="178">
        <f t="shared" ref="CD101" si="100">CD26*0.019</f>
        <v>53.828621169379623</v>
      </c>
      <c r="CE101" s="178"/>
      <c r="CF101" s="178"/>
      <c r="CG101" s="178"/>
      <c r="CH101" s="178"/>
      <c r="CI101" s="178">
        <f t="shared" ref="CI101" si="101">CI26*0.019</f>
        <v>50.725312866853585</v>
      </c>
      <c r="CJ101" s="178"/>
      <c r="CK101" s="178"/>
      <c r="CL101" s="178"/>
      <c r="CM101" s="178"/>
      <c r="CN101" s="178">
        <f t="shared" ref="CN101" si="102">CN26*0.019</f>
        <v>48.586470939474921</v>
      </c>
      <c r="CO101" s="178"/>
      <c r="CP101" s="178"/>
      <c r="CQ101" s="178"/>
      <c r="CR101" s="178"/>
      <c r="CS101" s="178">
        <f t="shared" ref="CS101" si="103">CS26*0.019</f>
        <v>45.937849043100734</v>
      </c>
      <c r="CT101" s="178"/>
      <c r="CU101" s="178"/>
      <c r="CV101" s="178"/>
      <c r="CW101" s="178"/>
      <c r="CX101" s="178">
        <f t="shared" ref="CX101" si="104">CX26*0.019</f>
        <v>42.72103870164851</v>
      </c>
    </row>
    <row r="102" spans="1:102" outlineLevel="1">
      <c r="A102" s="465"/>
      <c r="B102" s="474" t="s">
        <v>680</v>
      </c>
      <c r="M102" s="178">
        <f t="shared" ref="M102:AB102" si="105">0.055*M26</f>
        <v>3.5640000000000001</v>
      </c>
      <c r="N102" s="178">
        <f t="shared" si="105"/>
        <v>5.3075000000000001</v>
      </c>
      <c r="O102" s="178">
        <f t="shared" si="105"/>
        <v>6.8639999999999999</v>
      </c>
      <c r="P102" s="178">
        <f t="shared" si="105"/>
        <v>10.119999999999999</v>
      </c>
      <c r="Q102" s="178">
        <f t="shared" si="105"/>
        <v>25.965500000000002</v>
      </c>
      <c r="R102" s="178">
        <f t="shared" si="105"/>
        <v>11.9955</v>
      </c>
      <c r="S102" s="178">
        <f t="shared" si="105"/>
        <v>13.574</v>
      </c>
      <c r="T102" s="178">
        <f t="shared" si="105"/>
        <v>15.234999999999999</v>
      </c>
      <c r="U102" s="178">
        <f t="shared" si="105"/>
        <v>16.335000000000001</v>
      </c>
      <c r="V102" s="178">
        <f t="shared" si="105"/>
        <v>59.655892336881251</v>
      </c>
      <c r="W102" s="178">
        <f t="shared" si="105"/>
        <v>16.048999999999999</v>
      </c>
      <c r="X102" s="178">
        <f t="shared" si="105"/>
        <v>18.59</v>
      </c>
      <c r="Y102" s="178">
        <f t="shared" si="105"/>
        <v>20.410500000000003</v>
      </c>
      <c r="Z102" s="178">
        <f t="shared" si="105"/>
        <v>22.715</v>
      </c>
      <c r="AA102" s="178">
        <f t="shared" si="105"/>
        <v>73.050163235938527</v>
      </c>
      <c r="AB102" s="178">
        <f t="shared" si="105"/>
        <v>23.045000000000002</v>
      </c>
      <c r="AC102" s="178">
        <f>0.055*AC26*2/3</f>
        <v>17.82</v>
      </c>
      <c r="AD102" s="178"/>
      <c r="AE102" s="178"/>
      <c r="AF102" s="560">
        <f>0.055*(AB26+AC26)</f>
        <v>49.774999999999999</v>
      </c>
      <c r="AG102" s="560"/>
      <c r="AH102" s="560"/>
      <c r="AI102" s="560"/>
      <c r="AJ102" s="560"/>
      <c r="AK102" s="560"/>
      <c r="AL102" s="178">
        <f>0.055*AL26</f>
        <v>0</v>
      </c>
      <c r="AM102" s="178">
        <f>0.055*AM26</f>
        <v>0</v>
      </c>
      <c r="AN102" s="178">
        <f>0.055*AN26</f>
        <v>0</v>
      </c>
      <c r="AO102" s="178">
        <f>0.055*AO26</f>
        <v>0</v>
      </c>
      <c r="AP102" s="178"/>
      <c r="AQ102" s="178">
        <f>0.055*AQ26</f>
        <v>0</v>
      </c>
      <c r="AR102" s="178">
        <f>0.055*AR26</f>
        <v>0</v>
      </c>
      <c r="AS102" s="178">
        <f>0.055*AS26</f>
        <v>0</v>
      </c>
      <c r="AT102" s="178">
        <f>0.055*AT26</f>
        <v>0</v>
      </c>
      <c r="AU102" s="178"/>
      <c r="AV102" s="178">
        <f>0.055*AV26</f>
        <v>0</v>
      </c>
      <c r="AW102" s="178">
        <f>0.055*AW26</f>
        <v>0</v>
      </c>
      <c r="AX102" s="178">
        <f>0.055*AX26</f>
        <v>0</v>
      </c>
      <c r="AY102" s="178">
        <f>0.055*AY26</f>
        <v>0</v>
      </c>
      <c r="AZ102" s="178"/>
      <c r="BA102" s="178">
        <f>0.055*BA34</f>
        <v>0</v>
      </c>
      <c r="BB102" s="178">
        <f>0.055*BB34</f>
        <v>0</v>
      </c>
      <c r="BC102" s="178">
        <f>0.055*BC34</f>
        <v>0</v>
      </c>
      <c r="BD102" s="178">
        <f>0.055*BD34</f>
        <v>0</v>
      </c>
    </row>
    <row r="103" spans="1:102">
      <c r="A103" s="465" t="s">
        <v>1</v>
      </c>
      <c r="B103" s="474" t="s">
        <v>828</v>
      </c>
      <c r="M103" s="178">
        <f>M102+M101</f>
        <v>4.7303999999999995</v>
      </c>
      <c r="N103" s="178">
        <f t="shared" ref="N103:AZ103" si="106">N102+N101</f>
        <v>7.0445000000000002</v>
      </c>
      <c r="O103" s="178">
        <f t="shared" si="106"/>
        <v>9.1104000000000003</v>
      </c>
      <c r="P103" s="178">
        <f t="shared" si="106"/>
        <v>13.431999999999999</v>
      </c>
      <c r="Q103" s="178">
        <f t="shared" si="106"/>
        <v>34.463300000000004</v>
      </c>
      <c r="R103" s="178">
        <f t="shared" si="106"/>
        <v>16.139399999999998</v>
      </c>
      <c r="S103" s="178">
        <f t="shared" si="106"/>
        <v>18.263200000000001</v>
      </c>
      <c r="T103" s="178">
        <f t="shared" si="106"/>
        <v>20.497999999999998</v>
      </c>
      <c r="U103" s="178">
        <f t="shared" si="106"/>
        <v>21.978000000000002</v>
      </c>
      <c r="V103" s="178">
        <f t="shared" si="106"/>
        <v>80.264291507803861</v>
      </c>
      <c r="W103" s="178">
        <f>W102+W101</f>
        <v>21.5932</v>
      </c>
      <c r="X103" s="178">
        <f t="shared" si="106"/>
        <v>25.012</v>
      </c>
      <c r="Y103" s="178">
        <f t="shared" si="106"/>
        <v>27.461400000000005</v>
      </c>
      <c r="Z103" s="178">
        <f t="shared" si="106"/>
        <v>30.561999999999998</v>
      </c>
      <c r="AA103" s="178">
        <f t="shared" si="106"/>
        <v>98.285674171990024</v>
      </c>
      <c r="AB103" s="178">
        <f t="shared" si="106"/>
        <v>31.006</v>
      </c>
      <c r="AC103" s="178">
        <f t="shared" si="106"/>
        <v>27.054000000000002</v>
      </c>
      <c r="AD103" s="178">
        <f t="shared" si="106"/>
        <v>8.9451999999999998</v>
      </c>
      <c r="AE103" s="178">
        <f t="shared" si="106"/>
        <v>9.4239999999999995</v>
      </c>
      <c r="AF103" s="178">
        <f t="shared" si="106"/>
        <v>85.339200000000005</v>
      </c>
      <c r="AG103" s="178">
        <f t="shared" si="106"/>
        <v>9.1940999999999988</v>
      </c>
      <c r="AH103" s="178">
        <f t="shared" si="106"/>
        <v>10.3056</v>
      </c>
      <c r="AI103" s="178">
        <f t="shared" si="106"/>
        <v>10.7103</v>
      </c>
      <c r="AJ103" s="178">
        <f t="shared" si="106"/>
        <v>12.103</v>
      </c>
      <c r="AK103" s="178">
        <f t="shared" si="106"/>
        <v>42.320599999999999</v>
      </c>
      <c r="AL103" s="178">
        <f t="shared" si="106"/>
        <v>0</v>
      </c>
      <c r="AM103" s="178">
        <f t="shared" si="106"/>
        <v>0</v>
      </c>
      <c r="AN103" s="178">
        <f t="shared" si="106"/>
        <v>0</v>
      </c>
      <c r="AO103" s="178">
        <f t="shared" si="106"/>
        <v>0</v>
      </c>
      <c r="AP103" s="178">
        <f t="shared" si="106"/>
        <v>44.168279336997095</v>
      </c>
      <c r="AQ103" s="178">
        <f t="shared" si="106"/>
        <v>0</v>
      </c>
      <c r="AR103" s="178">
        <f t="shared" si="106"/>
        <v>0</v>
      </c>
      <c r="AS103" s="178">
        <f t="shared" si="106"/>
        <v>0</v>
      </c>
      <c r="AT103" s="178">
        <f t="shared" si="106"/>
        <v>0</v>
      </c>
      <c r="AU103" s="178">
        <f t="shared" si="106"/>
        <v>47.964446624193947</v>
      </c>
      <c r="AV103" s="178">
        <f t="shared" si="106"/>
        <v>0</v>
      </c>
      <c r="AW103" s="178">
        <f t="shared" si="106"/>
        <v>0</v>
      </c>
      <c r="AX103" s="178">
        <f t="shared" si="106"/>
        <v>0</v>
      </c>
      <c r="AY103" s="178">
        <f t="shared" si="106"/>
        <v>0</v>
      </c>
      <c r="AZ103" s="178">
        <f t="shared" si="106"/>
        <v>48.194631776025076</v>
      </c>
      <c r="BA103" s="178">
        <f>BA102+BA101</f>
        <v>0</v>
      </c>
      <c r="BB103" s="178">
        <f>BB102+BB101</f>
        <v>0</v>
      </c>
      <c r="BC103" s="178">
        <f>BC102+BC101</f>
        <v>0</v>
      </c>
      <c r="BD103" s="178">
        <f>BD102+BD101</f>
        <v>0</v>
      </c>
      <c r="BE103" s="178">
        <f t="shared" ref="BE103:CX103" si="107">BE102+BE101</f>
        <v>48.242786940756403</v>
      </c>
      <c r="BF103" s="178">
        <f t="shared" si="107"/>
        <v>0</v>
      </c>
      <c r="BG103" s="178">
        <f t="shared" si="107"/>
        <v>0</v>
      </c>
      <c r="BH103" s="178">
        <f t="shared" si="107"/>
        <v>0</v>
      </c>
      <c r="BI103" s="178">
        <f t="shared" si="107"/>
        <v>0</v>
      </c>
      <c r="BJ103" s="178">
        <f t="shared" si="107"/>
        <v>49.13404394454021</v>
      </c>
      <c r="BK103" s="178">
        <f t="shared" si="107"/>
        <v>0</v>
      </c>
      <c r="BL103" s="178">
        <f t="shared" si="107"/>
        <v>0</v>
      </c>
      <c r="BM103" s="178">
        <f t="shared" si="107"/>
        <v>0</v>
      </c>
      <c r="BN103" s="178">
        <f t="shared" si="107"/>
        <v>0</v>
      </c>
      <c r="BO103" s="178">
        <f t="shared" si="107"/>
        <v>50.324271059731657</v>
      </c>
      <c r="BP103" s="178">
        <f t="shared" si="107"/>
        <v>0</v>
      </c>
      <c r="BQ103" s="178">
        <f t="shared" si="107"/>
        <v>0</v>
      </c>
      <c r="BR103" s="178">
        <f t="shared" si="107"/>
        <v>0</v>
      </c>
      <c r="BS103" s="178">
        <f t="shared" si="107"/>
        <v>0</v>
      </c>
      <c r="BT103" s="178">
        <f t="shared" si="107"/>
        <v>50.916678239709142</v>
      </c>
      <c r="BU103" s="178">
        <f t="shared" si="107"/>
        <v>0</v>
      </c>
      <c r="BV103" s="178">
        <f t="shared" si="107"/>
        <v>0</v>
      </c>
      <c r="BW103" s="178">
        <f t="shared" si="107"/>
        <v>0</v>
      </c>
      <c r="BX103" s="178">
        <f t="shared" si="107"/>
        <v>0</v>
      </c>
      <c r="BY103" s="178">
        <f t="shared" si="107"/>
        <v>52.387590014593023</v>
      </c>
      <c r="BZ103" s="178">
        <f t="shared" si="107"/>
        <v>0</v>
      </c>
      <c r="CA103" s="178">
        <f t="shared" si="107"/>
        <v>0</v>
      </c>
      <c r="CB103" s="178">
        <f t="shared" si="107"/>
        <v>0</v>
      </c>
      <c r="CC103" s="178">
        <f t="shared" si="107"/>
        <v>0</v>
      </c>
      <c r="CD103" s="178">
        <f t="shared" si="107"/>
        <v>53.828621169379623</v>
      </c>
      <c r="CE103" s="178">
        <f t="shared" si="107"/>
        <v>0</v>
      </c>
      <c r="CF103" s="178">
        <f t="shared" si="107"/>
        <v>0</v>
      </c>
      <c r="CG103" s="178">
        <f t="shared" si="107"/>
        <v>0</v>
      </c>
      <c r="CH103" s="178">
        <f t="shared" si="107"/>
        <v>0</v>
      </c>
      <c r="CI103" s="178">
        <f t="shared" si="107"/>
        <v>50.725312866853585</v>
      </c>
      <c r="CJ103" s="178">
        <f t="shared" si="107"/>
        <v>0</v>
      </c>
      <c r="CK103" s="178">
        <f t="shared" si="107"/>
        <v>0</v>
      </c>
      <c r="CL103" s="178">
        <f t="shared" si="107"/>
        <v>0</v>
      </c>
      <c r="CM103" s="178">
        <f t="shared" si="107"/>
        <v>0</v>
      </c>
      <c r="CN103" s="178">
        <f t="shared" si="107"/>
        <v>48.586470939474921</v>
      </c>
      <c r="CO103" s="178">
        <f t="shared" si="107"/>
        <v>0</v>
      </c>
      <c r="CP103" s="178">
        <f t="shared" si="107"/>
        <v>0</v>
      </c>
      <c r="CQ103" s="178">
        <f t="shared" si="107"/>
        <v>0</v>
      </c>
      <c r="CR103" s="178">
        <f t="shared" si="107"/>
        <v>0</v>
      </c>
      <c r="CS103" s="178">
        <f t="shared" si="107"/>
        <v>45.937849043100734</v>
      </c>
      <c r="CT103" s="178">
        <f t="shared" si="107"/>
        <v>0</v>
      </c>
      <c r="CU103" s="178">
        <f t="shared" si="107"/>
        <v>0</v>
      </c>
      <c r="CV103" s="178">
        <f t="shared" si="107"/>
        <v>0</v>
      </c>
      <c r="CW103" s="178">
        <f t="shared" si="107"/>
        <v>0</v>
      </c>
      <c r="CX103" s="178">
        <f t="shared" si="107"/>
        <v>42.72103870164851</v>
      </c>
    </row>
    <row r="104" spans="1:102">
      <c r="A104" s="465"/>
      <c r="B104" s="474" t="s">
        <v>825</v>
      </c>
      <c r="M104" s="178"/>
      <c r="N104" s="178"/>
      <c r="O104" s="178"/>
      <c r="P104" s="178"/>
      <c r="Q104" s="178"/>
      <c r="R104" s="178"/>
      <c r="S104" s="178"/>
      <c r="T104" s="178"/>
      <c r="U104" s="178"/>
      <c r="V104" s="178"/>
      <c r="W104" s="178"/>
      <c r="X104" s="178"/>
      <c r="Y104" s="178"/>
      <c r="Z104" s="178"/>
      <c r="AA104" s="178"/>
      <c r="AB104" s="178">
        <f>(Antibodies!N7+Antibodies!N24)*0.019</f>
        <v>0.247</v>
      </c>
      <c r="AC104" s="178">
        <f>(Antibodies!O7+Antibodies!O24)*0.019</f>
        <v>0.45599999999999996</v>
      </c>
      <c r="AD104" s="178">
        <f>(Antibodies!P7+Antibodies!P24)*0.019</f>
        <v>0.72199999999999998</v>
      </c>
      <c r="AE104" s="178">
        <f>(Antibodies!Q7+Antibodies!Q24)*0.019</f>
        <v>0.78470000000000006</v>
      </c>
      <c r="AF104" s="178"/>
      <c r="AG104" s="178">
        <f>(Antibodies!S7+Antibodies!S24)*0.019</f>
        <v>0.68399999999999994</v>
      </c>
      <c r="AH104" s="178">
        <f>(Antibodies!T7+Antibodies!T24)*0.019</f>
        <v>0.87590000000000001</v>
      </c>
      <c r="AI104" s="178">
        <f>(Antibodies!U7+Antibodies!U24)*0.019</f>
        <v>0.89622999999999997</v>
      </c>
      <c r="AJ104" s="178">
        <f>(Antibodies!V7+Antibodies!V24)*0.019</f>
        <v>1.1684173913043481</v>
      </c>
      <c r="AK104" s="178"/>
      <c r="AL104" s="178"/>
      <c r="AM104" s="178"/>
      <c r="AN104" s="178"/>
      <c r="AO104" s="178"/>
      <c r="AP104" s="178"/>
      <c r="AQ104" s="178"/>
      <c r="AR104" s="178"/>
      <c r="AS104" s="178"/>
      <c r="AT104" s="178"/>
      <c r="AU104" s="178"/>
      <c r="AV104" s="178"/>
      <c r="AW104" s="178"/>
      <c r="AX104" s="178"/>
      <c r="AY104" s="178"/>
      <c r="AZ104" s="178"/>
      <c r="BA104" s="178"/>
      <c r="BB104" s="178"/>
      <c r="BC104" s="178"/>
      <c r="BD104" s="178"/>
    </row>
    <row r="105" spans="1:102">
      <c r="A105" s="465"/>
      <c r="B105" s="474" t="s">
        <v>826</v>
      </c>
      <c r="M105" s="178"/>
      <c r="N105" s="178"/>
      <c r="O105" s="178"/>
      <c r="P105" s="178"/>
      <c r="Q105" s="178"/>
      <c r="R105" s="178"/>
      <c r="S105" s="178"/>
      <c r="T105" s="178"/>
      <c r="U105" s="178"/>
      <c r="V105" s="178"/>
      <c r="W105" s="178"/>
      <c r="X105" s="178"/>
      <c r="Y105" s="178"/>
      <c r="Z105" s="178"/>
      <c r="AA105" s="178"/>
      <c r="AB105" s="178"/>
      <c r="AC105" s="178"/>
      <c r="AD105" s="178">
        <f>AD108-AD103-AD104-AD106</f>
        <v>4.6598000000000006</v>
      </c>
      <c r="AE105" s="178">
        <f>AE108-AE103-AE104-AE106</f>
        <v>14.938299999999998</v>
      </c>
      <c r="AF105" s="178"/>
      <c r="AG105" s="178">
        <f>AG108-AG103-AG104-AG106</f>
        <v>8.036900000000001</v>
      </c>
      <c r="AH105" s="178">
        <f>(Antibodies!T81+Antibodies!T92)*0.02+5</f>
        <v>5.5720000000000001</v>
      </c>
      <c r="AI105" s="178">
        <f>(Antibodies!U81+Antibodies!U92)*0.02+3</f>
        <v>4.78</v>
      </c>
      <c r="AJ105" s="178">
        <f>(Antibodies!V81+Antibodies!V92)*0.02</f>
        <v>2.7909565217391314</v>
      </c>
      <c r="AK105" s="178"/>
      <c r="AL105" s="178"/>
      <c r="AM105" s="178"/>
      <c r="AN105" s="178"/>
      <c r="AO105" s="178"/>
      <c r="AP105" s="178">
        <f>(Antibodies!AB81+Antibodies!AB92)*0.02</f>
        <v>16.552301433216467</v>
      </c>
      <c r="AQ105" s="178"/>
      <c r="AR105" s="178"/>
      <c r="AS105" s="178"/>
      <c r="AT105" s="178"/>
      <c r="AU105" s="178">
        <f>(Antibodies!AG81+Antibodies!AG92)*0.02</f>
        <v>31.689969214490841</v>
      </c>
      <c r="AV105" s="178"/>
      <c r="AW105" s="178"/>
      <c r="AX105" s="178"/>
      <c r="AY105" s="178"/>
      <c r="AZ105" s="178">
        <f>(Antibodies!AL81+Antibodies!AL92)*0.02</f>
        <v>55.629449924745131</v>
      </c>
      <c r="BA105" s="178"/>
      <c r="BB105" s="178"/>
      <c r="BC105" s="178"/>
      <c r="BD105" s="178"/>
      <c r="BE105" s="178">
        <f>(Antibodies!AQ81+Antibodies!AQ92)*0.02</f>
        <v>85.756679402532981</v>
      </c>
      <c r="BJ105" s="178">
        <f>(Antibodies!AV81+Antibodies!AV92)*0.02</f>
        <v>118.53445603185502</v>
      </c>
      <c r="BK105" s="178"/>
      <c r="BL105" s="178"/>
      <c r="BM105" s="178"/>
      <c r="BN105" s="178"/>
      <c r="BO105" s="178">
        <f>(Antibodies!BA81+Antibodies!BA92)*0.02</f>
        <v>146.34212123551097</v>
      </c>
      <c r="BP105" s="178"/>
      <c r="BQ105" s="178"/>
      <c r="BR105" s="178"/>
      <c r="BS105" s="178"/>
      <c r="BT105" s="178">
        <f>(Antibodies!BF81+Antibodies!BF92)*0.02</f>
        <v>171.99098776818022</v>
      </c>
      <c r="BU105" s="178"/>
      <c r="BV105" s="178"/>
      <c r="BW105" s="178"/>
      <c r="BX105" s="178"/>
      <c r="BY105" s="178">
        <f>(Antibodies!BK81+Antibodies!BK92)*0.02</f>
        <v>193.34946193031982</v>
      </c>
      <c r="BZ105" s="178"/>
      <c r="CA105" s="178"/>
      <c r="CB105" s="178"/>
      <c r="CC105" s="178"/>
      <c r="CD105" s="178">
        <f>(Antibodies!BP81+Antibodies!BP92)*0.02</f>
        <v>207.90469056535014</v>
      </c>
      <c r="CE105" s="178"/>
      <c r="CF105" s="178"/>
      <c r="CG105" s="178"/>
      <c r="CH105" s="178"/>
      <c r="CI105" s="178">
        <f>(Antibodies!BU81+Antibodies!BU92)*0.02</f>
        <v>215.2679816895396</v>
      </c>
      <c r="CJ105" s="178"/>
      <c r="CK105" s="178"/>
      <c r="CL105" s="178"/>
      <c r="CM105" s="178"/>
      <c r="CN105" s="178">
        <f>(Antibodies!BZ81+Antibodies!BZ92)*0.02</f>
        <v>219.4065844361061</v>
      </c>
      <c r="CO105" s="178"/>
      <c r="CP105" s="178"/>
      <c r="CQ105" s="178"/>
      <c r="CR105" s="178"/>
      <c r="CS105" s="178">
        <f>(Antibodies!CE81+Antibodies!CE92)*0.02</f>
        <v>221.4359399550406</v>
      </c>
      <c r="CT105" s="178"/>
      <c r="CU105" s="178"/>
      <c r="CV105" s="178"/>
      <c r="CW105" s="178"/>
      <c r="CX105" s="178">
        <f>(Antibodies!CJ81+Antibodies!CJ92)*0.02</f>
        <v>218.73896376328048</v>
      </c>
    </row>
    <row r="106" spans="1:102">
      <c r="A106" s="465"/>
      <c r="B106" s="474" t="s">
        <v>827</v>
      </c>
      <c r="M106" s="178"/>
      <c r="N106" s="178"/>
      <c r="O106" s="178"/>
      <c r="P106" s="178"/>
      <c r="Q106" s="178"/>
      <c r="R106" s="178"/>
      <c r="S106" s="178"/>
      <c r="T106" s="178"/>
      <c r="U106" s="178"/>
      <c r="V106" s="178"/>
      <c r="W106" s="178"/>
      <c r="X106" s="178"/>
      <c r="Y106" s="178"/>
      <c r="Z106" s="178"/>
      <c r="AA106" s="178"/>
      <c r="AB106" s="178"/>
      <c r="AC106" s="178"/>
      <c r="AD106" s="178"/>
      <c r="AE106" s="178">
        <v>5</v>
      </c>
      <c r="AF106" s="178"/>
      <c r="AG106" s="178">
        <v>5</v>
      </c>
      <c r="AH106" s="178">
        <f>(Antibodies!T51+Antibodies!T62)*0.02+3</f>
        <v>3.016</v>
      </c>
      <c r="AI106" s="178">
        <f>(Antibodies!U51+Antibodies!U62)*0.02</f>
        <v>4.6800000000000001E-2</v>
      </c>
      <c r="AJ106" s="178">
        <f>(Antibodies!V51+Antibodies!V62)*0.02</f>
        <v>0.18921739130434787</v>
      </c>
      <c r="AK106" s="178"/>
      <c r="AL106" s="178">
        <f>(Antibodies!X51+Antibodies!X62)*0.02</f>
        <v>0.66</v>
      </c>
      <c r="AM106" s="178">
        <f>(Antibodies!Y51+Antibodies!Y62)*0.02</f>
        <v>0.69000000000000006</v>
      </c>
      <c r="AN106" s="178">
        <f>(Antibodies!Z51+Antibodies!Z62)*0.02</f>
        <v>0.72412499999999991</v>
      </c>
      <c r="AO106" s="178">
        <f>(Antibodies!AA51+Antibodies!AA62)*0.02</f>
        <v>0.5172210869565218</v>
      </c>
      <c r="AP106" s="178">
        <f>(Antibodies!AB51+Antibodies!AB62)*0.02</f>
        <v>2.5913460869565217</v>
      </c>
      <c r="AQ106" s="178">
        <f>(Antibodies!AC51+Antibodies!AC62)*0.02</f>
        <v>0</v>
      </c>
      <c r="AR106" s="178">
        <f>(Antibodies!AD51+Antibodies!AD62)*0.02</f>
        <v>0</v>
      </c>
      <c r="AS106" s="178">
        <f>(Antibodies!AE51+Antibodies!AE62)*0.02</f>
        <v>0</v>
      </c>
      <c r="AT106" s="178">
        <f>(Antibodies!AF51+Antibodies!AF62)*0.02</f>
        <v>0</v>
      </c>
      <c r="AU106" s="178">
        <f>(Antibodies!AG51+Antibodies!AG62)*0.02</f>
        <v>4.95</v>
      </c>
      <c r="AV106" s="178">
        <f>(Antibodies!AH51+Antibodies!AH62)*0.02</f>
        <v>0</v>
      </c>
      <c r="AW106" s="178">
        <f>(Antibodies!AI51+Antibodies!AI62)*0.02</f>
        <v>0</v>
      </c>
      <c r="AX106" s="178">
        <f>(Antibodies!AJ51+Antibodies!AJ62)*0.02</f>
        <v>0</v>
      </c>
      <c r="AY106" s="178">
        <f>(Antibodies!AK51+Antibodies!AK62)*0.02</f>
        <v>0</v>
      </c>
      <c r="AZ106" s="178">
        <f>(Antibodies!AL51+Antibodies!AL62)*0.02</f>
        <v>7.12</v>
      </c>
      <c r="BA106" s="178">
        <f>(Antibodies!AM51+Antibodies!AM62)*0.02</f>
        <v>0</v>
      </c>
      <c r="BB106" s="178">
        <f>(Antibodies!AN51+Antibodies!AN62)*0.02</f>
        <v>0</v>
      </c>
      <c r="BC106" s="178">
        <f>(Antibodies!AO51+Antibodies!AO62)*0.02</f>
        <v>0</v>
      </c>
      <c r="BD106" s="178">
        <f>(Antibodies!AP51+Antibodies!AP62)*0.02</f>
        <v>0</v>
      </c>
      <c r="BE106" s="178">
        <f>(Antibodies!AQ51+Antibodies!AQ62)*0.02</f>
        <v>9.43</v>
      </c>
      <c r="BJ106" s="178">
        <f>(Antibodies!AV51+Antibodies!AV62)*0.02</f>
        <v>11.35</v>
      </c>
      <c r="BO106" s="178">
        <f>(Antibodies!BA51+Antibodies!BA62)*0.02</f>
        <v>13.25</v>
      </c>
      <c r="BT106" s="178">
        <f>(Antibodies!BF51+Antibodies!BF62)*0.02</f>
        <v>15</v>
      </c>
      <c r="BY106" s="178">
        <f>(Antibodies!BK51+Antibodies!BK62)*0.02</f>
        <v>16.75</v>
      </c>
      <c r="CD106" s="178">
        <f>(Antibodies!BP51+Antibodies!BP62)*0.02</f>
        <v>18.5</v>
      </c>
      <c r="CI106" s="178">
        <f>(Antibodies!BU51+Antibodies!BU62)*0.02</f>
        <v>20.350000000000001</v>
      </c>
      <c r="CN106" s="178">
        <f>(Antibodies!BZ51+Antibodies!BZ62)*0.02</f>
        <v>20.872499999999999</v>
      </c>
      <c r="CS106" s="178">
        <f>(Antibodies!CE51+Antibodies!CE62)*0.02</f>
        <v>21.1371875</v>
      </c>
      <c r="CX106" s="178">
        <f>(Antibodies!CJ51+Antibodies!CJ62)*0.02</f>
        <v>20.865655937500001</v>
      </c>
    </row>
    <row r="107" spans="1:102">
      <c r="A107" s="465"/>
      <c r="B107" s="561" t="s">
        <v>184</v>
      </c>
      <c r="M107" s="178"/>
      <c r="N107" s="178"/>
      <c r="O107" s="178"/>
      <c r="P107" s="178"/>
      <c r="Q107" s="178"/>
      <c r="R107" s="178"/>
      <c r="S107" s="178"/>
      <c r="T107" s="178"/>
      <c r="U107" s="178"/>
      <c r="V107" s="178"/>
      <c r="W107" s="178"/>
      <c r="X107" s="178"/>
      <c r="Y107" s="178"/>
      <c r="Z107" s="178"/>
      <c r="AA107" s="178"/>
      <c r="AB107" s="178">
        <f>AB104+AB103</f>
        <v>31.253</v>
      </c>
      <c r="AC107" s="178">
        <f t="shared" ref="AC107:AE107" si="108">AC104+AC103</f>
        <v>27.51</v>
      </c>
      <c r="AD107" s="178">
        <f t="shared" si="108"/>
        <v>9.6671999999999993</v>
      </c>
      <c r="AE107" s="178">
        <f t="shared" si="108"/>
        <v>10.2087</v>
      </c>
      <c r="AF107" s="178"/>
      <c r="AG107" s="178">
        <f>SUM(AG103:AG106)</f>
        <v>22.914999999999999</v>
      </c>
      <c r="AH107" s="178">
        <f t="shared" ref="AH107:BE107" si="109">SUM(AH103:AH106)</f>
        <v>19.769500000000001</v>
      </c>
      <c r="AI107" s="178">
        <f t="shared" si="109"/>
        <v>16.433330000000002</v>
      </c>
      <c r="AJ107" s="178">
        <f t="shared" si="109"/>
        <v>16.251591304347826</v>
      </c>
      <c r="AK107" s="178">
        <f t="shared" si="109"/>
        <v>42.320599999999999</v>
      </c>
      <c r="AL107" s="178">
        <f t="shared" si="109"/>
        <v>0.66</v>
      </c>
      <c r="AM107" s="178">
        <f t="shared" si="109"/>
        <v>0.69000000000000006</v>
      </c>
      <c r="AN107" s="178">
        <f t="shared" si="109"/>
        <v>0.72412499999999991</v>
      </c>
      <c r="AO107" s="178">
        <f t="shared" si="109"/>
        <v>0.5172210869565218</v>
      </c>
      <c r="AP107" s="178">
        <f t="shared" si="109"/>
        <v>63.311926857170079</v>
      </c>
      <c r="AQ107" s="178">
        <f t="shared" si="109"/>
        <v>0</v>
      </c>
      <c r="AR107" s="178">
        <f t="shared" si="109"/>
        <v>0</v>
      </c>
      <c r="AS107" s="178">
        <f t="shared" si="109"/>
        <v>0</v>
      </c>
      <c r="AT107" s="178">
        <f t="shared" si="109"/>
        <v>0</v>
      </c>
      <c r="AU107" s="178">
        <f t="shared" si="109"/>
        <v>84.604415838684787</v>
      </c>
      <c r="AV107" s="178">
        <f t="shared" si="109"/>
        <v>0</v>
      </c>
      <c r="AW107" s="178">
        <f t="shared" si="109"/>
        <v>0</v>
      </c>
      <c r="AX107" s="178">
        <f t="shared" si="109"/>
        <v>0</v>
      </c>
      <c r="AY107" s="178">
        <f t="shared" si="109"/>
        <v>0</v>
      </c>
      <c r="AZ107" s="178">
        <f t="shared" si="109"/>
        <v>110.94408170077021</v>
      </c>
      <c r="BA107" s="178">
        <f t="shared" si="109"/>
        <v>0</v>
      </c>
      <c r="BB107" s="178">
        <f t="shared" si="109"/>
        <v>0</v>
      </c>
      <c r="BC107" s="178">
        <f t="shared" si="109"/>
        <v>0</v>
      </c>
      <c r="BD107" s="178">
        <f t="shared" si="109"/>
        <v>0</v>
      </c>
      <c r="BE107" s="178">
        <f t="shared" si="109"/>
        <v>143.42946634328939</v>
      </c>
      <c r="BJ107" s="178">
        <f t="shared" ref="BJ107" si="110">SUM(BJ103:BJ106)</f>
        <v>179.01849997639522</v>
      </c>
      <c r="BO107" s="178">
        <f t="shared" ref="BO107" si="111">SUM(BO103:BO106)</f>
        <v>209.91639229524264</v>
      </c>
      <c r="BT107" s="178">
        <f t="shared" ref="BT107" si="112">SUM(BT103:BT106)</f>
        <v>237.90766600788936</v>
      </c>
      <c r="BY107" s="178">
        <f t="shared" ref="BY107" si="113">SUM(BY103:BY106)</f>
        <v>262.48705194491288</v>
      </c>
      <c r="CD107" s="178">
        <f t="shared" ref="CD107" si="114">SUM(CD103:CD106)</f>
        <v>280.23331173472974</v>
      </c>
      <c r="CI107" s="178">
        <f t="shared" ref="CI107" si="115">SUM(CI103:CI106)</f>
        <v>286.34329455639318</v>
      </c>
      <c r="CN107" s="178">
        <f t="shared" ref="CN107" si="116">SUM(CN103:CN106)</f>
        <v>288.86555537558104</v>
      </c>
      <c r="CS107" s="178">
        <f t="shared" ref="CS107" si="117">SUM(CS103:CS106)</f>
        <v>288.5109764981413</v>
      </c>
      <c r="CX107" s="178">
        <f t="shared" ref="CX107" si="118">SUM(CX103:CX106)</f>
        <v>282.32565840242899</v>
      </c>
    </row>
    <row r="108" spans="1:102">
      <c r="A108" s="465"/>
      <c r="B108" s="561"/>
      <c r="M108" s="178"/>
      <c r="N108" s="178"/>
      <c r="O108" s="178"/>
      <c r="P108" s="178"/>
      <c r="Q108" s="178"/>
      <c r="R108" s="178"/>
      <c r="S108" s="178"/>
      <c r="T108" s="178"/>
      <c r="U108" s="178"/>
      <c r="V108" s="178"/>
      <c r="W108" s="178"/>
      <c r="X108" s="178"/>
      <c r="Y108" s="178"/>
      <c r="Z108" s="178"/>
      <c r="AA108" s="178"/>
      <c r="AB108" s="178">
        <f>IS!AL14</f>
        <v>32.81</v>
      </c>
      <c r="AC108" s="178">
        <f>IS!AM14</f>
        <v>27.786000000000001</v>
      </c>
      <c r="AD108" s="178">
        <f>IS!AN14</f>
        <v>14.327</v>
      </c>
      <c r="AE108" s="178">
        <f>IS!AO14</f>
        <v>30.146999999999998</v>
      </c>
      <c r="AF108" s="178"/>
      <c r="AG108" s="178">
        <f>IS!AQ14</f>
        <v>22.914999999999999</v>
      </c>
      <c r="AH108" s="178"/>
      <c r="AI108" s="178"/>
      <c r="AJ108" s="178"/>
      <c r="AK108" s="178"/>
      <c r="AL108" s="178"/>
      <c r="AM108" s="178"/>
      <c r="AN108" s="178"/>
      <c r="AO108" s="178"/>
      <c r="AP108" s="178"/>
      <c r="AQ108" s="178"/>
      <c r="AR108" s="178"/>
      <c r="AS108" s="178"/>
      <c r="AT108" s="178"/>
      <c r="AU108" s="178"/>
      <c r="AV108" s="178"/>
      <c r="AW108" s="178"/>
      <c r="AX108" s="178"/>
      <c r="AY108" s="178"/>
      <c r="AZ108" s="178"/>
      <c r="BA108" s="178"/>
      <c r="BB108" s="178"/>
      <c r="BC108" s="178"/>
      <c r="BD108" s="178"/>
    </row>
    <row r="109" spans="1:102">
      <c r="A109" s="465"/>
      <c r="B109" s="561"/>
      <c r="M109" s="178"/>
      <c r="N109" s="178"/>
      <c r="O109" s="178"/>
      <c r="P109" s="178"/>
      <c r="Q109" s="178"/>
      <c r="R109" s="178"/>
      <c r="S109" s="178"/>
      <c r="T109" s="178"/>
      <c r="U109" s="178"/>
      <c r="V109" s="178"/>
      <c r="W109" s="178"/>
      <c r="X109" s="178"/>
      <c r="Y109" s="178"/>
      <c r="Z109" s="178"/>
      <c r="AA109" s="178"/>
      <c r="AB109" s="178"/>
      <c r="AC109" s="178"/>
      <c r="AD109" s="178"/>
      <c r="AE109" s="178"/>
      <c r="AF109" s="178"/>
      <c r="AG109" s="178"/>
      <c r="AH109" s="178"/>
      <c r="AI109" s="178"/>
      <c r="AJ109" s="178"/>
      <c r="AK109" s="178"/>
      <c r="AL109" s="178"/>
      <c r="AM109" s="178"/>
      <c r="AN109" s="178"/>
      <c r="AO109" s="178"/>
      <c r="AP109" s="178"/>
      <c r="AQ109" s="178"/>
      <c r="AR109" s="178"/>
      <c r="AS109" s="178"/>
      <c r="AT109" s="178"/>
      <c r="AU109" s="178"/>
      <c r="AV109" s="178"/>
      <c r="AW109" s="178"/>
      <c r="AX109" s="178"/>
      <c r="AY109" s="178"/>
      <c r="AZ109" s="178"/>
      <c r="BA109" s="178"/>
      <c r="BB109" s="178"/>
      <c r="BC109" s="178"/>
      <c r="BD109" s="178"/>
    </row>
    <row r="110" spans="1:102">
      <c r="A110" s="465"/>
      <c r="B110" s="465"/>
      <c r="M110" s="178"/>
      <c r="N110" s="178"/>
      <c r="O110" s="178"/>
      <c r="P110" s="178"/>
      <c r="Q110" s="178"/>
      <c r="R110" s="178"/>
      <c r="S110" s="178"/>
      <c r="T110" s="178"/>
      <c r="U110" s="178"/>
      <c r="V110" s="178"/>
      <c r="W110" s="178"/>
      <c r="X110" s="178"/>
      <c r="Y110" s="178"/>
      <c r="Z110" s="178"/>
      <c r="AA110" s="178"/>
      <c r="AB110" s="178"/>
      <c r="AC110" s="178"/>
      <c r="AD110" s="178"/>
      <c r="AE110" s="178"/>
      <c r="AF110" s="178"/>
      <c r="AG110" s="178"/>
      <c r="AH110" s="178"/>
      <c r="AI110" s="178"/>
      <c r="AJ110" s="178"/>
      <c r="AK110" s="178"/>
      <c r="AL110" s="178"/>
      <c r="AM110" s="178"/>
      <c r="AN110" s="178"/>
      <c r="AO110" s="178"/>
      <c r="AP110" s="178"/>
      <c r="AQ110" s="178"/>
      <c r="AR110" s="178"/>
      <c r="AS110" s="178"/>
      <c r="AT110" s="178"/>
      <c r="AU110" s="178"/>
      <c r="AV110" s="178"/>
      <c r="AW110" s="178"/>
      <c r="AX110" s="178"/>
      <c r="AY110" s="178"/>
      <c r="AZ110" s="178"/>
      <c r="BA110" s="178"/>
      <c r="BB110" s="178"/>
      <c r="BC110" s="178"/>
      <c r="BD110" s="178"/>
    </row>
    <row r="111" spans="1:102">
      <c r="A111" s="465" t="s">
        <v>1</v>
      </c>
      <c r="B111" s="465" t="s">
        <v>683</v>
      </c>
      <c r="M111" s="178">
        <f>M103/2</f>
        <v>2.3651999999999997</v>
      </c>
      <c r="N111" s="178">
        <f t="shared" ref="N111:BE111" si="119">N103/2</f>
        <v>3.5222500000000001</v>
      </c>
      <c r="O111" s="178">
        <f t="shared" si="119"/>
        <v>4.5552000000000001</v>
      </c>
      <c r="P111" s="178">
        <f t="shared" si="119"/>
        <v>6.7159999999999993</v>
      </c>
      <c r="Q111" s="178">
        <f t="shared" si="119"/>
        <v>17.231650000000002</v>
      </c>
      <c r="R111" s="178">
        <f t="shared" si="119"/>
        <v>8.0696999999999992</v>
      </c>
      <c r="S111" s="178">
        <f t="shared" si="119"/>
        <v>9.1316000000000006</v>
      </c>
      <c r="T111" s="178">
        <f t="shared" si="119"/>
        <v>10.248999999999999</v>
      </c>
      <c r="U111" s="178">
        <f t="shared" si="119"/>
        <v>10.989000000000001</v>
      </c>
      <c r="V111" s="178">
        <f t="shared" si="119"/>
        <v>40.132145753901931</v>
      </c>
      <c r="W111" s="178">
        <f t="shared" si="119"/>
        <v>10.7966</v>
      </c>
      <c r="X111" s="178">
        <f t="shared" si="119"/>
        <v>12.506</v>
      </c>
      <c r="Y111" s="178">
        <f t="shared" si="119"/>
        <v>13.730700000000002</v>
      </c>
      <c r="Z111" s="178">
        <f t="shared" si="119"/>
        <v>15.280999999999999</v>
      </c>
      <c r="AA111" s="178">
        <f t="shared" si="119"/>
        <v>49.142837085995012</v>
      </c>
      <c r="AB111" s="178">
        <f t="shared" si="119"/>
        <v>15.503</v>
      </c>
      <c r="AC111" s="178">
        <f t="shared" si="119"/>
        <v>13.527000000000001</v>
      </c>
      <c r="AD111" s="178">
        <f t="shared" si="119"/>
        <v>4.4725999999999999</v>
      </c>
      <c r="AE111" s="178">
        <f t="shared" si="119"/>
        <v>4.7119999999999997</v>
      </c>
      <c r="AF111" s="178">
        <f t="shared" si="119"/>
        <v>42.669600000000003</v>
      </c>
      <c r="AG111" s="178">
        <f t="shared" si="119"/>
        <v>4.5970499999999994</v>
      </c>
      <c r="AH111" s="178">
        <f t="shared" si="119"/>
        <v>5.1528</v>
      </c>
      <c r="AI111" s="178">
        <f t="shared" si="119"/>
        <v>5.3551500000000001</v>
      </c>
      <c r="AJ111" s="178">
        <f t="shared" si="119"/>
        <v>6.0514999999999999</v>
      </c>
      <c r="AK111" s="178">
        <f t="shared" si="119"/>
        <v>21.160299999999999</v>
      </c>
      <c r="AL111" s="178">
        <f t="shared" si="119"/>
        <v>0</v>
      </c>
      <c r="AM111" s="178">
        <f t="shared" si="119"/>
        <v>0</v>
      </c>
      <c r="AN111" s="178">
        <f t="shared" si="119"/>
        <v>0</v>
      </c>
      <c r="AO111" s="178">
        <f t="shared" si="119"/>
        <v>0</v>
      </c>
      <c r="AP111" s="178">
        <f t="shared" si="119"/>
        <v>22.084139668498548</v>
      </c>
      <c r="AQ111" s="178">
        <f t="shared" si="119"/>
        <v>0</v>
      </c>
      <c r="AR111" s="178">
        <f t="shared" si="119"/>
        <v>0</v>
      </c>
      <c r="AS111" s="178">
        <f t="shared" si="119"/>
        <v>0</v>
      </c>
      <c r="AT111" s="178">
        <f t="shared" si="119"/>
        <v>0</v>
      </c>
      <c r="AU111" s="178">
        <f t="shared" si="119"/>
        <v>23.982223312096973</v>
      </c>
      <c r="AV111" s="178">
        <f t="shared" si="119"/>
        <v>0</v>
      </c>
      <c r="AW111" s="178">
        <f t="shared" si="119"/>
        <v>0</v>
      </c>
      <c r="AX111" s="178">
        <f t="shared" si="119"/>
        <v>0</v>
      </c>
      <c r="AY111" s="178">
        <f t="shared" si="119"/>
        <v>0</v>
      </c>
      <c r="AZ111" s="178">
        <f t="shared" si="119"/>
        <v>24.097315888012538</v>
      </c>
      <c r="BA111" s="178">
        <f t="shared" si="119"/>
        <v>0</v>
      </c>
      <c r="BB111" s="178">
        <f t="shared" si="119"/>
        <v>0</v>
      </c>
      <c r="BC111" s="178">
        <f t="shared" si="119"/>
        <v>0</v>
      </c>
      <c r="BD111" s="178">
        <f t="shared" si="119"/>
        <v>0</v>
      </c>
      <c r="BE111" s="178">
        <f t="shared" si="119"/>
        <v>24.121393470378202</v>
      </c>
      <c r="BJ111" s="178">
        <f t="shared" ref="BJ111" si="120">BJ103/2</f>
        <v>24.567021972270105</v>
      </c>
      <c r="BO111" s="178">
        <f t="shared" ref="BO111" si="121">BO103/2</f>
        <v>25.162135529865829</v>
      </c>
      <c r="BT111" s="178">
        <f t="shared" ref="BT111" si="122">BT103/2</f>
        <v>25.458339119854571</v>
      </c>
      <c r="BY111" s="178">
        <f t="shared" ref="BY111" si="123">BY103/2</f>
        <v>26.193795007296512</v>
      </c>
      <c r="CD111" s="178">
        <f t="shared" ref="CD111" si="124">CD103/2</f>
        <v>26.914310584689812</v>
      </c>
      <c r="CI111" s="178">
        <f t="shared" ref="CI111" si="125">CI103/2</f>
        <v>25.362656433426793</v>
      </c>
      <c r="CN111" s="178">
        <f t="shared" ref="CN111" si="126">CN103/2</f>
        <v>24.293235469737461</v>
      </c>
      <c r="CS111" s="178">
        <f t="shared" ref="CS111" si="127">CS103/2</f>
        <v>22.968924521550367</v>
      </c>
      <c r="CX111" s="178">
        <f t="shared" ref="CX111" si="128">CX103/2</f>
        <v>21.360519350824255</v>
      </c>
    </row>
    <row r="113" spans="2:20">
      <c r="B113" s="125" t="s">
        <v>40</v>
      </c>
    </row>
    <row r="114" spans="2:20">
      <c r="B114" s="125" t="s">
        <v>684</v>
      </c>
      <c r="M114" s="178">
        <f>M26+Zaltrap!H6</f>
        <v>78.900000000000006</v>
      </c>
      <c r="N114" s="178">
        <f>N26+Zaltrap!I6</f>
        <v>115.1</v>
      </c>
      <c r="O114" s="178">
        <f>O26+Zaltrap!J6</f>
        <v>142.6</v>
      </c>
      <c r="P114" s="178">
        <f>P26+Zaltrap!K6</f>
        <v>203.7</v>
      </c>
      <c r="Q114" s="178">
        <f>Q26+Zaltrap!L6</f>
        <v>542.30000000000007</v>
      </c>
      <c r="R114" s="178">
        <f>R26+Zaltrap!M6</f>
        <v>239.7</v>
      </c>
      <c r="S114" s="178">
        <f>S26+Zaltrap!N6</f>
        <v>268</v>
      </c>
      <c r="T114" s="178">
        <f>T26+Zaltrap!O6</f>
        <v>300.39999999999998</v>
      </c>
    </row>
    <row r="115" spans="2:20">
      <c r="B115" s="125" t="s">
        <v>685</v>
      </c>
      <c r="M115" s="178">
        <f>IS!W14</f>
        <v>1.0340000000000007</v>
      </c>
      <c r="N115" s="178">
        <f>IS!X14</f>
        <v>12.33</v>
      </c>
      <c r="O115" s="178">
        <f>IS!Y14</f>
        <v>10.32</v>
      </c>
      <c r="P115" s="178">
        <f>IS!Z14</f>
        <v>13.622999999999999</v>
      </c>
      <c r="Q115" s="178">
        <f>IS!AA14</f>
        <v>37.307000000000002</v>
      </c>
      <c r="R115" s="178">
        <f>IS!AB14</f>
        <v>16.099</v>
      </c>
      <c r="S115" s="178">
        <f>IS!AC14</f>
        <v>16.434000000000001</v>
      </c>
      <c r="T115" s="178">
        <f>IS!AD14</f>
        <v>21.937999999999999</v>
      </c>
    </row>
    <row r="116" spans="2:20">
      <c r="B116" s="125" t="s">
        <v>686</v>
      </c>
      <c r="M116" s="238">
        <f t="shared" ref="M116:T116" si="129">M115/M114</f>
        <v>1.3105196451204063E-2</v>
      </c>
      <c r="N116" s="238">
        <f t="shared" si="129"/>
        <v>0.10712423979148566</v>
      </c>
      <c r="O116" s="238">
        <f t="shared" si="129"/>
        <v>7.2370266479663395E-2</v>
      </c>
      <c r="P116" s="238">
        <f t="shared" si="129"/>
        <v>6.6877761413843884E-2</v>
      </c>
      <c r="Q116" s="238">
        <f t="shared" si="129"/>
        <v>6.8794025447169463E-2</v>
      </c>
      <c r="R116" s="238">
        <f t="shared" si="129"/>
        <v>6.7163120567375889E-2</v>
      </c>
      <c r="S116" s="238">
        <f t="shared" si="129"/>
        <v>6.1320895522388064E-2</v>
      </c>
      <c r="T116" s="238">
        <f t="shared" si="129"/>
        <v>7.3029294274300938E-2</v>
      </c>
    </row>
  </sheetData>
  <phoneticPr fontId="9" type="noConversion"/>
  <pageMargins left="0.25" right="0.25" top="0.25" bottom="0.25" header="0" footer="0"/>
  <pageSetup scale="36" orientation="landscape" r:id="rId1"/>
  <headerFooter alignWithMargins="0"/>
  <ignoredErrors>
    <ignoredError sqref="AB11 AA6 AF24:AF25 AB42 CI25" formula="1"/>
  </ignoredError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B2:BX95"/>
  <sheetViews>
    <sheetView zoomScaleNormal="100" workbookViewId="0">
      <pane xSplit="2" ySplit="2" topLeftCell="BJ76" activePane="bottomRight" state="frozen"/>
      <selection pane="topRight" activeCell="C1" sqref="C1"/>
      <selection pane="bottomLeft" activeCell="A4" sqref="A4"/>
      <selection pane="bottomRight" activeCell="BO94" sqref="BO94"/>
    </sheetView>
  </sheetViews>
  <sheetFormatPr defaultRowHeight="12.75" outlineLevelRow="1" outlineLevelCol="1"/>
  <cols>
    <col min="1" max="1" width="1.625" style="465" customWidth="1"/>
    <col min="2" max="2" width="18.5" style="465" bestFit="1" customWidth="1"/>
    <col min="3" max="6" width="9" style="693" hidden="1" customWidth="1" outlineLevel="1"/>
    <col min="7" max="7" width="9" style="465" customWidth="1" collapsed="1"/>
    <col min="8" max="11" width="9" style="465" hidden="1" customWidth="1" outlineLevel="1"/>
    <col min="12" max="12" width="9" style="465" customWidth="1" collapsed="1"/>
    <col min="13" max="16" width="9" style="465" hidden="1" customWidth="1" outlineLevel="1"/>
    <col min="17" max="17" width="9" style="465" customWidth="1" collapsed="1"/>
    <col min="18" max="21" width="9" style="465" hidden="1" customWidth="1" outlineLevel="1"/>
    <col min="22" max="22" width="9" style="465" customWidth="1" collapsed="1"/>
    <col min="23" max="26" width="9" style="465" hidden="1" customWidth="1" outlineLevel="1"/>
    <col min="27" max="27" width="9" style="465" customWidth="1" collapsed="1"/>
    <col min="28" max="31" width="9" style="465" hidden="1" customWidth="1" outlineLevel="1"/>
    <col min="32" max="32" width="9" style="465" customWidth="1" collapsed="1"/>
    <col min="33" max="36" width="9" style="465" hidden="1" customWidth="1" outlineLevel="1"/>
    <col min="37" max="37" width="9" style="465" customWidth="1" collapsed="1"/>
    <col min="38" max="41" width="9" style="465" hidden="1" customWidth="1" outlineLevel="1"/>
    <col min="42" max="42" width="9" style="465" customWidth="1" collapsed="1"/>
    <col min="43" max="46" width="9" style="465" hidden="1" customWidth="1" outlineLevel="1"/>
    <col min="47" max="47" width="9" style="465" collapsed="1"/>
    <col min="48" max="51" width="9" style="465" hidden="1" customWidth="1" outlineLevel="1"/>
    <col min="52" max="52" width="9" style="465" collapsed="1"/>
    <col min="53" max="56" width="9" style="465" hidden="1" customWidth="1" outlineLevel="1"/>
    <col min="57" max="57" width="9" style="465" collapsed="1"/>
    <col min="58" max="61" width="9" style="465" hidden="1" customWidth="1" outlineLevel="1"/>
    <col min="62" max="62" width="9" style="465" collapsed="1"/>
    <col min="63" max="64" width="9" style="465"/>
    <col min="65" max="67" width="9" style="465" customWidth="1"/>
    <col min="68" max="16384" width="9" style="465"/>
  </cols>
  <sheetData>
    <row r="2" spans="2:75" s="691" customFormat="1">
      <c r="B2" s="691" t="s">
        <v>748</v>
      </c>
      <c r="C2" s="692" t="s">
        <v>608</v>
      </c>
      <c r="D2" s="692" t="s">
        <v>609</v>
      </c>
      <c r="E2" s="692" t="s">
        <v>610</v>
      </c>
      <c r="F2" s="692" t="s">
        <v>611</v>
      </c>
      <c r="G2" s="691">
        <v>2006</v>
      </c>
      <c r="H2" s="692" t="s">
        <v>612</v>
      </c>
      <c r="I2" s="692" t="s">
        <v>613</v>
      </c>
      <c r="J2" s="692" t="s">
        <v>614</v>
      </c>
      <c r="K2" s="692" t="s">
        <v>615</v>
      </c>
      <c r="L2" s="691">
        <v>2007</v>
      </c>
      <c r="M2" s="692" t="s">
        <v>176</v>
      </c>
      <c r="N2" s="692" t="s">
        <v>177</v>
      </c>
      <c r="O2" s="692" t="s">
        <v>178</v>
      </c>
      <c r="P2" s="692" t="s">
        <v>179</v>
      </c>
      <c r="Q2" s="691">
        <v>2008</v>
      </c>
      <c r="R2" s="692" t="s">
        <v>94</v>
      </c>
      <c r="S2" s="692" t="s">
        <v>95</v>
      </c>
      <c r="T2" s="692" t="s">
        <v>96</v>
      </c>
      <c r="U2" s="692" t="s">
        <v>97</v>
      </c>
      <c r="V2" s="691">
        <v>2009</v>
      </c>
      <c r="W2" s="692" t="s">
        <v>98</v>
      </c>
      <c r="X2" s="692" t="s">
        <v>99</v>
      </c>
      <c r="Y2" s="692" t="s">
        <v>100</v>
      </c>
      <c r="Z2" s="692" t="s">
        <v>101</v>
      </c>
      <c r="AA2" s="691">
        <v>2010</v>
      </c>
      <c r="AB2" s="692" t="s">
        <v>102</v>
      </c>
      <c r="AC2" s="692" t="s">
        <v>103</v>
      </c>
      <c r="AD2" s="692" t="s">
        <v>104</v>
      </c>
      <c r="AE2" s="692" t="s">
        <v>105</v>
      </c>
      <c r="AF2" s="691">
        <v>2011</v>
      </c>
      <c r="AG2" s="692" t="s">
        <v>181</v>
      </c>
      <c r="AH2" s="692" t="s">
        <v>185</v>
      </c>
      <c r="AI2" s="692" t="s">
        <v>189</v>
      </c>
      <c r="AJ2" s="692" t="s">
        <v>220</v>
      </c>
      <c r="AK2" s="691">
        <v>2012</v>
      </c>
      <c r="AL2" s="692" t="s">
        <v>231</v>
      </c>
      <c r="AM2" s="692" t="s">
        <v>273</v>
      </c>
      <c r="AN2" s="692" t="s">
        <v>495</v>
      </c>
      <c r="AO2" s="692" t="s">
        <v>496</v>
      </c>
      <c r="AP2" s="692">
        <v>2013</v>
      </c>
      <c r="AQ2" s="692" t="s">
        <v>497</v>
      </c>
      <c r="AR2" s="692" t="s">
        <v>498</v>
      </c>
      <c r="AS2" s="692" t="s">
        <v>499</v>
      </c>
      <c r="AT2" s="692" t="s">
        <v>500</v>
      </c>
      <c r="AU2" s="692">
        <v>2014</v>
      </c>
      <c r="AV2" s="692" t="s">
        <v>501</v>
      </c>
      <c r="AW2" s="692" t="s">
        <v>502</v>
      </c>
      <c r="AX2" s="692" t="s">
        <v>503</v>
      </c>
      <c r="AY2" s="692" t="s">
        <v>504</v>
      </c>
      <c r="AZ2" s="692">
        <v>2015</v>
      </c>
      <c r="BA2" s="692" t="s">
        <v>807</v>
      </c>
      <c r="BB2" s="692" t="s">
        <v>808</v>
      </c>
      <c r="BC2" s="692" t="s">
        <v>809</v>
      </c>
      <c r="BD2" s="692" t="s">
        <v>810</v>
      </c>
      <c r="BE2" s="692">
        <v>2016</v>
      </c>
      <c r="BF2" s="692" t="s">
        <v>829</v>
      </c>
      <c r="BG2" s="692" t="s">
        <v>830</v>
      </c>
      <c r="BH2" s="692" t="s">
        <v>831</v>
      </c>
      <c r="BI2" s="692" t="s">
        <v>832</v>
      </c>
      <c r="BJ2" s="692">
        <v>2017</v>
      </c>
      <c r="BK2" s="691">
        <f>BJ2+1</f>
        <v>2018</v>
      </c>
      <c r="BL2" s="691">
        <f t="shared" ref="BL2:BW2" si="0">BK2+1</f>
        <v>2019</v>
      </c>
      <c r="BM2" s="691">
        <f t="shared" si="0"/>
        <v>2020</v>
      </c>
      <c r="BN2" s="691">
        <f t="shared" si="0"/>
        <v>2021</v>
      </c>
      <c r="BO2" s="691">
        <f t="shared" si="0"/>
        <v>2022</v>
      </c>
      <c r="BP2" s="691">
        <f t="shared" si="0"/>
        <v>2023</v>
      </c>
      <c r="BQ2" s="691">
        <f t="shared" si="0"/>
        <v>2024</v>
      </c>
      <c r="BR2" s="691">
        <f t="shared" si="0"/>
        <v>2025</v>
      </c>
      <c r="BS2" s="691">
        <f t="shared" si="0"/>
        <v>2026</v>
      </c>
      <c r="BT2" s="691">
        <f t="shared" si="0"/>
        <v>2027</v>
      </c>
      <c r="BU2" s="691">
        <f t="shared" si="0"/>
        <v>2028</v>
      </c>
      <c r="BV2" s="691">
        <f t="shared" si="0"/>
        <v>2029</v>
      </c>
      <c r="BW2" s="691">
        <f t="shared" si="0"/>
        <v>2030</v>
      </c>
    </row>
    <row r="3" spans="2:75">
      <c r="B3" s="691"/>
      <c r="H3" s="693"/>
      <c r="I3" s="693"/>
      <c r="J3" s="693"/>
      <c r="K3" s="693"/>
      <c r="M3" s="693"/>
      <c r="N3" s="693"/>
      <c r="O3" s="693"/>
      <c r="P3" s="693"/>
      <c r="R3" s="693"/>
      <c r="S3" s="693"/>
      <c r="T3" s="693"/>
      <c r="U3" s="693"/>
      <c r="W3" s="693"/>
      <c r="X3" s="693"/>
      <c r="Y3" s="693"/>
      <c r="Z3" s="693"/>
      <c r="AB3" s="693"/>
      <c r="AC3" s="693"/>
      <c r="AD3" s="693"/>
      <c r="AE3" s="693"/>
      <c r="AG3" s="693"/>
      <c r="AH3" s="693"/>
      <c r="AI3" s="693"/>
      <c r="AJ3" s="693"/>
      <c r="AL3" s="693"/>
      <c r="AM3" s="693"/>
      <c r="AN3" s="693"/>
      <c r="AO3" s="693"/>
      <c r="AP3" s="693"/>
      <c r="AQ3" s="693"/>
      <c r="AR3" s="693"/>
      <c r="AS3" s="693"/>
      <c r="AT3" s="693"/>
      <c r="AU3" s="693"/>
      <c r="AV3" s="693"/>
      <c r="AW3" s="693"/>
      <c r="AX3" s="693"/>
      <c r="AY3" s="693"/>
      <c r="AZ3" s="793">
        <f>AZ7/AU7-1</f>
        <v>0.47728093621324863</v>
      </c>
      <c r="BA3" s="661"/>
      <c r="BB3" s="661"/>
      <c r="BC3" s="661"/>
      <c r="BD3" s="661"/>
      <c r="BE3" s="661">
        <f>BE7/AZ7-1</f>
        <v>0.27041564792176032</v>
      </c>
      <c r="BF3" s="661"/>
      <c r="BG3" s="661"/>
      <c r="BH3" s="661"/>
      <c r="BI3" s="661"/>
      <c r="BJ3" s="661">
        <f>BJ7/BE7-1</f>
        <v>0.14104426481909171</v>
      </c>
      <c r="BK3" s="661">
        <f>BK6/BJ6-1</f>
        <v>4.3659100697936548E-2</v>
      </c>
    </row>
    <row r="4" spans="2:75">
      <c r="B4" s="559" t="s">
        <v>221</v>
      </c>
      <c r="C4" s="694"/>
      <c r="D4" s="694"/>
      <c r="E4" s="694"/>
      <c r="F4" s="694"/>
      <c r="G4" s="559"/>
      <c r="H4" s="559"/>
      <c r="I4" s="559"/>
      <c r="J4" s="559"/>
      <c r="K4" s="559"/>
      <c r="L4" s="559"/>
      <c r="M4" s="559"/>
      <c r="N4" s="559"/>
      <c r="O4" s="559"/>
      <c r="P4" s="559"/>
      <c r="Q4" s="559"/>
      <c r="R4" s="559"/>
      <c r="S4" s="559"/>
      <c r="T4" s="559"/>
      <c r="U4" s="559"/>
      <c r="V4" s="559"/>
      <c r="W4" s="559"/>
      <c r="X4" s="559"/>
      <c r="Y4" s="559"/>
      <c r="Z4" s="559"/>
      <c r="AA4" s="559"/>
      <c r="AB4" s="559"/>
      <c r="AC4" s="559"/>
      <c r="AD4" s="559"/>
      <c r="AE4" s="559"/>
      <c r="AF4" s="559"/>
      <c r="AG4" s="559"/>
      <c r="AH4" s="559"/>
      <c r="AI4" s="559"/>
      <c r="AJ4" s="559"/>
      <c r="AK4" s="559"/>
      <c r="AL4" s="559"/>
      <c r="AM4" s="559"/>
      <c r="AN4" s="559"/>
      <c r="AO4" s="559"/>
      <c r="AP4" s="559"/>
      <c r="AQ4" s="559"/>
      <c r="AR4" s="559"/>
      <c r="AS4" s="559"/>
      <c r="AT4" s="559"/>
      <c r="AU4" s="559"/>
      <c r="AV4" s="559"/>
      <c r="AW4" s="559"/>
      <c r="AX4" s="559"/>
      <c r="AY4" s="559"/>
      <c r="AZ4" s="559"/>
      <c r="BA4" s="559"/>
      <c r="BB4" s="559"/>
      <c r="BC4" s="559"/>
      <c r="BD4" s="559"/>
      <c r="BE4" s="559"/>
      <c r="BF4" s="559"/>
      <c r="BG4" s="559"/>
      <c r="BH4" s="559"/>
      <c r="BI4" s="559"/>
      <c r="BJ4" s="559"/>
      <c r="BK4" s="559"/>
      <c r="BL4" s="559"/>
      <c r="BM4" s="559"/>
      <c r="BN4" s="559"/>
      <c r="BO4" s="559"/>
      <c r="BP4" s="559"/>
      <c r="BQ4" s="559"/>
      <c r="BR4" s="559"/>
      <c r="BS4" s="559"/>
      <c r="BT4" s="559"/>
      <c r="BU4" s="559"/>
      <c r="BV4" s="559"/>
      <c r="BW4" s="559"/>
    </row>
    <row r="5" spans="2:75">
      <c r="B5" s="474" t="s">
        <v>599</v>
      </c>
      <c r="AE5" s="695">
        <v>25</v>
      </c>
      <c r="AF5" s="696">
        <f>SUM(AB5:AE5)</f>
        <v>25</v>
      </c>
      <c r="AG5" s="695">
        <v>124</v>
      </c>
      <c r="AH5" s="695">
        <v>194</v>
      </c>
      <c r="AI5" s="695">
        <v>244</v>
      </c>
      <c r="AJ5" s="695">
        <v>276</v>
      </c>
      <c r="AK5" s="696">
        <f>SUM(AG5:AJ5)</f>
        <v>838</v>
      </c>
      <c r="AL5" s="695">
        <v>314</v>
      </c>
      <c r="AM5" s="695">
        <v>368</v>
      </c>
      <c r="AN5" s="695">
        <v>363</v>
      </c>
      <c r="AO5" s="697">
        <v>402</v>
      </c>
      <c r="AP5" s="696">
        <f>SUM(AL5:AO5)</f>
        <v>1447</v>
      </c>
      <c r="AQ5" s="695">
        <v>359</v>
      </c>
      <c r="AR5" s="695">
        <v>407</v>
      </c>
      <c r="AS5" s="695">
        <v>446</v>
      </c>
      <c r="AT5" s="697">
        <v>517.5</v>
      </c>
      <c r="AU5" s="696">
        <f>SUM(AQ5:AT5)</f>
        <v>1729.5</v>
      </c>
      <c r="AV5" s="695">
        <v>541</v>
      </c>
      <c r="AW5" s="695">
        <v>655</v>
      </c>
      <c r="AX5" s="695">
        <v>734</v>
      </c>
      <c r="AY5" s="697">
        <v>746</v>
      </c>
      <c r="AZ5" s="696">
        <f>SUM(AV5:AY5)</f>
        <v>2676</v>
      </c>
      <c r="BA5" s="695">
        <v>781</v>
      </c>
      <c r="BB5" s="695">
        <v>831</v>
      </c>
      <c r="BC5" s="695">
        <v>854</v>
      </c>
      <c r="BD5" s="697">
        <v>858</v>
      </c>
      <c r="BE5" s="696">
        <f>SUM(BA5:BD5)</f>
        <v>3324</v>
      </c>
      <c r="BF5" s="695">
        <v>854</v>
      </c>
      <c r="BG5" s="695">
        <v>919.46600000000001</v>
      </c>
      <c r="BH5" s="695">
        <v>953</v>
      </c>
      <c r="BI5" s="697">
        <v>975</v>
      </c>
      <c r="BJ5" s="696">
        <f>SUM(BF5:BI5)</f>
        <v>3701.4659999999999</v>
      </c>
      <c r="BK5" s="696">
        <f t="shared" ref="BK5:BW5" si="1">BK80*BK21</f>
        <v>3948.2325990669938</v>
      </c>
      <c r="BL5" s="696">
        <f t="shared" si="1"/>
        <v>3881.7246444619586</v>
      </c>
      <c r="BM5" s="696">
        <f t="shared" si="1"/>
        <v>3789.8893730272107</v>
      </c>
      <c r="BN5" s="696">
        <f t="shared" si="1"/>
        <v>3790.1208027266271</v>
      </c>
      <c r="BO5" s="696">
        <f t="shared" si="1"/>
        <v>3808.8473736544433</v>
      </c>
      <c r="BP5" s="696">
        <f t="shared" si="1"/>
        <v>3756.2333464040989</v>
      </c>
      <c r="BQ5" s="696">
        <f t="shared" si="1"/>
        <v>3781.3084826025879</v>
      </c>
      <c r="BR5" s="696">
        <f t="shared" si="1"/>
        <v>3793.7733006183239</v>
      </c>
      <c r="BS5" s="696">
        <f t="shared" si="1"/>
        <v>3501.9729302713736</v>
      </c>
      <c r="BT5" s="696">
        <f t="shared" si="1"/>
        <v>3226.3745929237066</v>
      </c>
      <c r="BU5" s="696">
        <f t="shared" si="1"/>
        <v>2900.1526360904463</v>
      </c>
      <c r="BV5" s="696">
        <f t="shared" si="1"/>
        <v>2517.8903922137602</v>
      </c>
      <c r="BW5" s="696">
        <f t="shared" si="1"/>
        <v>2807.7853754296857</v>
      </c>
    </row>
    <row r="6" spans="2:75">
      <c r="B6" s="474" t="s">
        <v>600</v>
      </c>
      <c r="AE6" s="465">
        <v>0</v>
      </c>
      <c r="AF6" s="465">
        <v>0</v>
      </c>
      <c r="AG6" s="697">
        <v>0</v>
      </c>
      <c r="AH6" s="697">
        <v>0</v>
      </c>
      <c r="AI6" s="697">
        <v>0</v>
      </c>
      <c r="AJ6" s="697">
        <v>19</v>
      </c>
      <c r="AK6" s="696">
        <f>SUM(AG6:AJ6)</f>
        <v>19</v>
      </c>
      <c r="AL6" s="695">
        <v>65</v>
      </c>
      <c r="AM6" s="695">
        <v>96.5</v>
      </c>
      <c r="AN6" s="695">
        <v>125</v>
      </c>
      <c r="AO6" s="697">
        <v>184</v>
      </c>
      <c r="AP6" s="696">
        <f>SUM(AL6:AO6)</f>
        <v>470.5</v>
      </c>
      <c r="AQ6" s="695">
        <v>218.1</v>
      </c>
      <c r="AR6" s="695">
        <v>247</v>
      </c>
      <c r="AS6" s="695">
        <v>277</v>
      </c>
      <c r="AT6" s="697">
        <v>297</v>
      </c>
      <c r="AU6" s="696">
        <f>SUM(AQ6:AT6)</f>
        <v>1039.0999999999999</v>
      </c>
      <c r="AV6" s="695">
        <v>292</v>
      </c>
      <c r="AW6" s="695">
        <v>338</v>
      </c>
      <c r="AX6" s="695">
        <v>371</v>
      </c>
      <c r="AY6" s="697">
        <v>413</v>
      </c>
      <c r="AZ6" s="696">
        <f>SUM(AV6:AY6)</f>
        <v>1414</v>
      </c>
      <c r="BA6" s="695">
        <v>419</v>
      </c>
      <c r="BB6" s="695">
        <v>486</v>
      </c>
      <c r="BC6" s="695">
        <v>471</v>
      </c>
      <c r="BD6" s="697">
        <v>496</v>
      </c>
      <c r="BE6" s="696">
        <f>SUM(BA6:BD6)</f>
        <v>1872</v>
      </c>
      <c r="BF6" s="695">
        <v>484</v>
      </c>
      <c r="BG6" s="695">
        <v>542.4</v>
      </c>
      <c r="BH6" s="695">
        <v>564</v>
      </c>
      <c r="BI6" s="697">
        <v>637</v>
      </c>
      <c r="BJ6" s="696">
        <f>SUM(BF6:BI6)</f>
        <v>2227.4</v>
      </c>
      <c r="BK6" s="696">
        <f t="shared" ref="BK6:BW6" si="2">BK91*BK22</f>
        <v>2324.6462808945839</v>
      </c>
      <c r="BL6" s="696">
        <f t="shared" si="2"/>
        <v>2524.4445591681024</v>
      </c>
      <c r="BM6" s="696">
        <f t="shared" si="2"/>
        <v>2536.5595671592146</v>
      </c>
      <c r="BN6" s="696">
        <f t="shared" si="2"/>
        <v>2539.0940495134951</v>
      </c>
      <c r="BO6" s="696">
        <f t="shared" si="2"/>
        <v>2586.0023128705375</v>
      </c>
      <c r="BP6" s="696">
        <f t="shared" si="2"/>
        <v>2648.6458452490347</v>
      </c>
      <c r="BQ6" s="696">
        <f t="shared" si="2"/>
        <v>2679.8251705110074</v>
      </c>
      <c r="BR6" s="696">
        <f t="shared" si="2"/>
        <v>2757.2415797154222</v>
      </c>
      <c r="BS6" s="696">
        <f t="shared" si="2"/>
        <v>2833.085324704191</v>
      </c>
      <c r="BT6" s="696">
        <f t="shared" si="2"/>
        <v>2669.7533087817678</v>
      </c>
      <c r="BU6" s="696">
        <f t="shared" si="2"/>
        <v>2557.1826810249959</v>
      </c>
      <c r="BV6" s="696">
        <f t="shared" si="2"/>
        <v>2417.7815285842494</v>
      </c>
      <c r="BW6" s="696">
        <f t="shared" si="2"/>
        <v>2248.4757211393953</v>
      </c>
    </row>
    <row r="7" spans="2:75">
      <c r="B7" s="698" t="s">
        <v>637</v>
      </c>
      <c r="C7" s="699"/>
      <c r="D7" s="699"/>
      <c r="E7" s="699"/>
      <c r="F7" s="699"/>
      <c r="G7" s="698"/>
      <c r="H7" s="698"/>
      <c r="I7" s="698"/>
      <c r="J7" s="698"/>
      <c r="K7" s="698"/>
      <c r="L7" s="698"/>
      <c r="M7" s="698"/>
      <c r="N7" s="698"/>
      <c r="O7" s="698"/>
      <c r="P7" s="698"/>
      <c r="Q7" s="698"/>
      <c r="R7" s="698"/>
      <c r="S7" s="698"/>
      <c r="T7" s="698"/>
      <c r="U7" s="698"/>
      <c r="V7" s="698"/>
      <c r="W7" s="698"/>
      <c r="X7" s="698"/>
      <c r="Y7" s="698"/>
      <c r="Z7" s="698"/>
      <c r="AA7" s="698"/>
      <c r="AB7" s="698"/>
      <c r="AC7" s="698"/>
      <c r="AD7" s="698"/>
      <c r="AE7" s="700">
        <f t="shared" ref="AE7:AP7" si="3">AE6+AE5</f>
        <v>25</v>
      </c>
      <c r="AF7" s="700">
        <f t="shared" si="3"/>
        <v>25</v>
      </c>
      <c r="AG7" s="700">
        <f t="shared" si="3"/>
        <v>124</v>
      </c>
      <c r="AH7" s="700">
        <f t="shared" si="3"/>
        <v>194</v>
      </c>
      <c r="AI7" s="700">
        <f t="shared" si="3"/>
        <v>244</v>
      </c>
      <c r="AJ7" s="700">
        <f t="shared" si="3"/>
        <v>295</v>
      </c>
      <c r="AK7" s="700">
        <f t="shared" si="3"/>
        <v>857</v>
      </c>
      <c r="AL7" s="700">
        <f t="shared" si="3"/>
        <v>379</v>
      </c>
      <c r="AM7" s="700">
        <f t="shared" si="3"/>
        <v>464.5</v>
      </c>
      <c r="AN7" s="700">
        <f t="shared" si="3"/>
        <v>488</v>
      </c>
      <c r="AO7" s="700">
        <f t="shared" si="3"/>
        <v>586</v>
      </c>
      <c r="AP7" s="700">
        <f t="shared" si="3"/>
        <v>1917.5</v>
      </c>
      <c r="AQ7" s="700">
        <f t="shared" ref="AQ7:AU7" si="4">AQ6+AQ5</f>
        <v>577.1</v>
      </c>
      <c r="AR7" s="700">
        <f t="shared" si="4"/>
        <v>654</v>
      </c>
      <c r="AS7" s="700">
        <f t="shared" si="4"/>
        <v>723</v>
      </c>
      <c r="AT7" s="700">
        <f t="shared" si="4"/>
        <v>814.5</v>
      </c>
      <c r="AU7" s="700">
        <f t="shared" si="4"/>
        <v>2768.6</v>
      </c>
      <c r="AV7" s="700">
        <f t="shared" ref="AV7:BW7" si="5">AV6+AV5</f>
        <v>833</v>
      </c>
      <c r="AW7" s="700">
        <f t="shared" si="5"/>
        <v>993</v>
      </c>
      <c r="AX7" s="700">
        <f t="shared" si="5"/>
        <v>1105</v>
      </c>
      <c r="AY7" s="700">
        <f t="shared" si="5"/>
        <v>1159</v>
      </c>
      <c r="AZ7" s="700">
        <f t="shared" si="5"/>
        <v>4090</v>
      </c>
      <c r="BA7" s="700">
        <f t="shared" si="5"/>
        <v>1200</v>
      </c>
      <c r="BB7" s="700">
        <f t="shared" si="5"/>
        <v>1317</v>
      </c>
      <c r="BC7" s="700">
        <f t="shared" si="5"/>
        <v>1325</v>
      </c>
      <c r="BD7" s="700">
        <f t="shared" si="5"/>
        <v>1354</v>
      </c>
      <c r="BE7" s="700">
        <f t="shared" si="5"/>
        <v>5196</v>
      </c>
      <c r="BF7" s="700">
        <f t="shared" si="5"/>
        <v>1338</v>
      </c>
      <c r="BG7" s="700">
        <f>BG6+BG5</f>
        <v>1461.866</v>
      </c>
      <c r="BH7" s="700">
        <f t="shared" si="5"/>
        <v>1517</v>
      </c>
      <c r="BI7" s="700">
        <f t="shared" si="5"/>
        <v>1612</v>
      </c>
      <c r="BJ7" s="700">
        <f t="shared" si="5"/>
        <v>5928.866</v>
      </c>
      <c r="BK7" s="700">
        <f t="shared" si="5"/>
        <v>6272.8788799615777</v>
      </c>
      <c r="BL7" s="700">
        <f t="shared" si="5"/>
        <v>6406.169203630061</v>
      </c>
      <c r="BM7" s="700">
        <f t="shared" si="5"/>
        <v>6326.4489401864248</v>
      </c>
      <c r="BN7" s="700">
        <f t="shared" si="5"/>
        <v>6329.2148522401221</v>
      </c>
      <c r="BO7" s="700">
        <f t="shared" si="5"/>
        <v>6394.8496865249808</v>
      </c>
      <c r="BP7" s="700">
        <f t="shared" si="5"/>
        <v>6404.8791916531336</v>
      </c>
      <c r="BQ7" s="700">
        <f t="shared" si="5"/>
        <v>6461.1336531135948</v>
      </c>
      <c r="BR7" s="700">
        <f t="shared" si="5"/>
        <v>6551.0148803337461</v>
      </c>
      <c r="BS7" s="700">
        <f t="shared" si="5"/>
        <v>6335.0582549755645</v>
      </c>
      <c r="BT7" s="700">
        <f t="shared" si="5"/>
        <v>5896.1279017054749</v>
      </c>
      <c r="BU7" s="700">
        <f t="shared" si="5"/>
        <v>5457.3353171154422</v>
      </c>
      <c r="BV7" s="700">
        <f t="shared" si="5"/>
        <v>4935.6719207980095</v>
      </c>
      <c r="BW7" s="700">
        <f t="shared" si="5"/>
        <v>5056.261096569081</v>
      </c>
    </row>
    <row r="8" spans="2:75">
      <c r="AT8" s="821"/>
      <c r="AY8" s="821"/>
      <c r="BD8" s="821"/>
      <c r="BI8" s="821"/>
      <c r="BJ8" s="821"/>
    </row>
    <row r="9" spans="2:75">
      <c r="B9" s="559" t="s">
        <v>638</v>
      </c>
      <c r="C9" s="694"/>
      <c r="D9" s="694"/>
      <c r="E9" s="694"/>
      <c r="F9" s="694"/>
      <c r="G9" s="559"/>
      <c r="H9" s="559"/>
      <c r="I9" s="559"/>
      <c r="J9" s="559"/>
      <c r="K9" s="559"/>
      <c r="L9" s="559"/>
      <c r="M9" s="559"/>
      <c r="N9" s="559"/>
      <c r="O9" s="559"/>
      <c r="P9" s="559"/>
      <c r="Q9" s="559"/>
      <c r="R9" s="559"/>
      <c r="S9" s="559"/>
      <c r="T9" s="559"/>
      <c r="U9" s="559"/>
      <c r="V9" s="559"/>
      <c r="W9" s="559"/>
      <c r="X9" s="559"/>
      <c r="Y9" s="559"/>
      <c r="Z9" s="559"/>
      <c r="AA9" s="559"/>
      <c r="AB9" s="559"/>
      <c r="AC9" s="559"/>
      <c r="AD9" s="559"/>
      <c r="AE9" s="559"/>
      <c r="AF9" s="559"/>
      <c r="AG9" s="559"/>
      <c r="AH9" s="559"/>
      <c r="AI9" s="559"/>
      <c r="AJ9" s="559"/>
      <c r="AK9" s="559"/>
      <c r="AL9" s="559"/>
      <c r="AM9" s="559"/>
      <c r="AN9" s="559"/>
      <c r="AO9" s="701"/>
      <c r="AP9" s="559"/>
      <c r="AQ9" s="559"/>
      <c r="AR9" s="559"/>
      <c r="AS9" s="559"/>
      <c r="AT9" s="701"/>
      <c r="AU9" s="559"/>
      <c r="AV9" s="559"/>
      <c r="AW9" s="559"/>
      <c r="AX9" s="559"/>
      <c r="AY9" s="701"/>
      <c r="AZ9" s="559"/>
      <c r="BA9" s="559"/>
      <c r="BB9" s="559"/>
      <c r="BC9" s="559"/>
      <c r="BD9" s="701"/>
      <c r="BE9" s="559"/>
      <c r="BF9" s="559"/>
      <c r="BG9" s="559"/>
      <c r="BH9" s="559"/>
      <c r="BI9" s="701"/>
      <c r="BJ9" s="559"/>
    </row>
    <row r="10" spans="2:75" outlineLevel="1">
      <c r="B10" s="465" t="s">
        <v>616</v>
      </c>
      <c r="R10" s="465">
        <f>E68</f>
        <v>1.1473623333333334</v>
      </c>
      <c r="S10" s="465">
        <f>E69</f>
        <v>1.1119963333333331</v>
      </c>
      <c r="T10" s="465">
        <f>E70</f>
        <v>1.0622496666666665</v>
      </c>
      <c r="U10" s="465">
        <f>E71</f>
        <v>1.0221113333333334</v>
      </c>
      <c r="V10" s="1025">
        <f>E72</f>
        <v>1.0859299166666665</v>
      </c>
      <c r="W10" s="1025">
        <f>F68</f>
        <v>1.0580013333333333</v>
      </c>
      <c r="X10" s="1025">
        <f>F69</f>
        <v>1.0689869666666667</v>
      </c>
      <c r="Y10" s="1025">
        <f>F70</f>
        <v>1.031782</v>
      </c>
      <c r="Z10" s="1025">
        <f>F71</f>
        <v>0.97410736666666675</v>
      </c>
      <c r="AA10" s="1025">
        <f>F72</f>
        <v>1.0332194166666666</v>
      </c>
      <c r="AB10" s="1025">
        <f>G68</f>
        <v>0.94154433333333332</v>
      </c>
      <c r="AC10" s="1025">
        <f>G69</f>
        <v>0.87017633333333333</v>
      </c>
      <c r="AD10" s="1025">
        <f>G70</f>
        <v>0.82449500000000009</v>
      </c>
      <c r="AE10" s="1025">
        <f>G71</f>
        <v>0.91213233333333343</v>
      </c>
      <c r="AF10" s="1025">
        <f>G72</f>
        <v>0.88708699999999985</v>
      </c>
      <c r="AG10" s="1025">
        <f>H68</f>
        <v>0.92121599999999992</v>
      </c>
      <c r="AH10" s="1025">
        <f>H69</f>
        <v>0.93632466666666669</v>
      </c>
      <c r="AI10" s="1025">
        <f>H70</f>
        <v>0.96181866666666671</v>
      </c>
      <c r="AJ10" s="1025">
        <f>H71</f>
        <v>0.9309736666666667</v>
      </c>
      <c r="AK10" s="1025">
        <f>H72</f>
        <v>0.93758324999999998</v>
      </c>
      <c r="AL10" s="1025">
        <f>I68</f>
        <v>0.93025599999999997</v>
      </c>
      <c r="AM10" s="1025">
        <f>I69</f>
        <v>0.94250966666666658</v>
      </c>
      <c r="AN10" s="1025">
        <f>I70</f>
        <v>0.93142266666666673</v>
      </c>
      <c r="AO10" s="1025">
        <f>I71</f>
        <v>0.90317100000000006</v>
      </c>
      <c r="AP10" s="1025">
        <f>I72</f>
        <v>0.92683983333333331</v>
      </c>
      <c r="AQ10" s="1025">
        <f>J68</f>
        <v>0.89298</v>
      </c>
      <c r="AR10" s="1025">
        <f>AVERAGE(0.882969,0.888702,0.895578)</f>
        <v>0.88908299999999996</v>
      </c>
      <c r="AS10" s="1025">
        <f>J70</f>
        <v>0.91478812609011051</v>
      </c>
      <c r="AT10" s="1025">
        <f>J71</f>
        <v>0.96491631957400525</v>
      </c>
      <c r="AU10" s="1025">
        <f>J72</f>
        <v>0.91544176228640073</v>
      </c>
      <c r="AV10" s="1025">
        <f>AVERAGE(0.943839,0.934474,0.979167)</f>
        <v>0.9524933333333333</v>
      </c>
      <c r="AW10" s="1025">
        <f>AVERAGE(0.961354,0.931947,0.931242)</f>
        <v>0.94151433333333345</v>
      </c>
      <c r="AX10" s="1025">
        <f>AVERAGE(0.952688,0.96792,0.972293)</f>
        <v>0.96430033333333343</v>
      </c>
      <c r="AY10" s="1025">
        <f>AVERAGE(0.968989,1.009177,0.993679)</f>
        <v>0.99061500000000002</v>
      </c>
      <c r="AZ10" s="1025">
        <f>AVERAGE(0.943839,0.934474,0.979167,0.961354,0.931947,0.931242,0.952688,0.96792,0.972293,0.968989,1.009177,0.993679)</f>
        <v>0.96223075000000013</v>
      </c>
      <c r="BA10" s="1025">
        <f>AVERAGE(1.006324,0.992003,0.982191)</f>
        <v>0.993506</v>
      </c>
      <c r="BB10" s="1025">
        <f>AVERAGE(0.96407,0.978497,0.96958)</f>
        <v>0.97071566666666664</v>
      </c>
      <c r="BC10" s="1025">
        <f>AVERAGE(0.981319,0.971556,0.974783)</f>
        <v>0.97588600000000003</v>
      </c>
      <c r="BD10" s="1025">
        <f>AVERAGE(0.98557,0.995807,1.019961)</f>
        <v>1.0004459999999999</v>
      </c>
      <c r="BE10" s="1025">
        <f>AVERAGE(1.006324,0.992003,0.982191,0.96407,0.978497,0.96958,0.981319,0.971556,0.974783,0.98557,0.995807,1.019961)</f>
        <v>0.98513841666666657</v>
      </c>
      <c r="BF10" s="1025">
        <f>AVERAGE(1.008948,1.001146,1.002201)</f>
        <v>1.0040983333333333</v>
      </c>
      <c r="BG10" s="1025">
        <f>AVERAGE(1.001239,0.98655,0.96849)</f>
        <v>0.98542633333333329</v>
      </c>
      <c r="BH10" s="1025">
        <f>AVERAGE(0.959879,0.965125,0.961617)</f>
        <v>0.96220699999999992</v>
      </c>
      <c r="BI10" s="1025">
        <f>AVERAGE(0.981165,0.99176,0.986718)</f>
        <v>0.9865476666666666</v>
      </c>
      <c r="BJ10" s="1025">
        <f>AVERAGE(BF10:BI10)</f>
        <v>0.98456983333333326</v>
      </c>
    </row>
    <row r="11" spans="2:75" outlineLevel="1">
      <c r="B11" s="474" t="s">
        <v>842</v>
      </c>
      <c r="R11" s="697">
        <v>274</v>
      </c>
      <c r="S11" s="697">
        <v>279</v>
      </c>
      <c r="T11" s="697">
        <v>294</v>
      </c>
      <c r="U11" s="697">
        <v>329</v>
      </c>
      <c r="V11" s="465">
        <f>SUM(R11:U11)</f>
        <v>1176</v>
      </c>
      <c r="W11" s="697">
        <v>327</v>
      </c>
      <c r="X11" s="697">
        <v>370</v>
      </c>
      <c r="Y11" s="697">
        <v>384</v>
      </c>
      <c r="Z11" s="697">
        <v>377</v>
      </c>
      <c r="AA11" s="465">
        <f>SUM(W11:Z11)</f>
        <v>1458</v>
      </c>
      <c r="AB11" s="697">
        <v>392</v>
      </c>
      <c r="AC11" s="697">
        <v>377</v>
      </c>
      <c r="AD11" s="697">
        <v>359</v>
      </c>
      <c r="AE11" s="697">
        <v>395</v>
      </c>
      <c r="AF11" s="465">
        <f>SUM(AB11:AE11)</f>
        <v>1523</v>
      </c>
      <c r="AG11" s="697">
        <v>385</v>
      </c>
      <c r="AH11" s="697">
        <v>360</v>
      </c>
      <c r="AI11" s="697">
        <v>368</v>
      </c>
      <c r="AJ11" s="697">
        <v>368</v>
      </c>
      <c r="AK11" s="465">
        <f>SUM(AG11:AJ11)</f>
        <v>1481</v>
      </c>
      <c r="AL11" s="697">
        <v>393</v>
      </c>
      <c r="AM11" s="697">
        <v>427</v>
      </c>
      <c r="AN11" s="697">
        <v>431</v>
      </c>
      <c r="AO11" s="697">
        <v>438</v>
      </c>
      <c r="AP11" s="465">
        <f>SUM(AL11:AO11)</f>
        <v>1689</v>
      </c>
      <c r="AQ11" s="697">
        <v>407</v>
      </c>
      <c r="AR11" s="697">
        <f>828-AQ11</f>
        <v>421</v>
      </c>
      <c r="AS11" s="697">
        <v>432</v>
      </c>
      <c r="AT11" s="697">
        <f>1701-AS11-AQ11-AR11</f>
        <v>441</v>
      </c>
      <c r="AU11" s="465">
        <f>SUM(AQ11:AT11)</f>
        <v>1701</v>
      </c>
      <c r="AV11" s="697">
        <v>394</v>
      </c>
      <c r="AW11" s="833">
        <f>769-AV11</f>
        <v>375</v>
      </c>
      <c r="AX11" s="833">
        <f>1142-AV11-AW11</f>
        <v>373</v>
      </c>
      <c r="AY11" s="833">
        <f>1520-AV11-AW11-AX11</f>
        <v>378</v>
      </c>
      <c r="AZ11" s="696">
        <f>SUM(AV11:AY11)</f>
        <v>1520</v>
      </c>
      <c r="BA11" s="697">
        <v>355</v>
      </c>
      <c r="BB11" s="833">
        <f>704-BA11</f>
        <v>349</v>
      </c>
      <c r="BC11" s="833">
        <f>1077-BA11-BB11</f>
        <v>373</v>
      </c>
      <c r="BD11" s="833">
        <f>1406-BA11-BB11-BC11</f>
        <v>329</v>
      </c>
      <c r="BE11" s="696">
        <f>SUM(BA11:BD11)</f>
        <v>1406</v>
      </c>
      <c r="BF11" s="697">
        <v>392</v>
      </c>
      <c r="BG11" s="833">
        <f>727-BF11</f>
        <v>335</v>
      </c>
      <c r="BH11" s="697">
        <f>1126-SUM(BF11:BG11)</f>
        <v>399</v>
      </c>
      <c r="BI11" s="695">
        <f>BJ11-SUM(BF11:BH11)</f>
        <v>288</v>
      </c>
      <c r="BJ11" s="695">
        <v>1414</v>
      </c>
    </row>
    <row r="12" spans="2:75">
      <c r="B12" s="474" t="s">
        <v>843</v>
      </c>
      <c r="C12" s="702">
        <v>0</v>
      </c>
      <c r="D12" s="702">
        <v>10</v>
      </c>
      <c r="E12" s="702">
        <v>153</v>
      </c>
      <c r="F12" s="702">
        <v>217</v>
      </c>
      <c r="G12" s="465">
        <f>SUM(C12:F12)</f>
        <v>380</v>
      </c>
      <c r="H12" s="702">
        <v>211</v>
      </c>
      <c r="I12" s="702">
        <v>209</v>
      </c>
      <c r="J12" s="702">
        <v>198</v>
      </c>
      <c r="K12" s="702">
        <v>197</v>
      </c>
      <c r="L12" s="465">
        <f>SUM(H12:K12)</f>
        <v>815</v>
      </c>
      <c r="M12" s="702">
        <v>198</v>
      </c>
      <c r="N12" s="702">
        <v>216</v>
      </c>
      <c r="O12" s="702">
        <v>225</v>
      </c>
      <c r="P12" s="702">
        <v>236</v>
      </c>
      <c r="Q12" s="465">
        <f>SUM(M12:P12)</f>
        <v>875</v>
      </c>
      <c r="R12" s="703">
        <f>R11/R10</f>
        <v>238.80860652272878</v>
      </c>
      <c r="S12" s="703">
        <f>S11/S10</f>
        <v>250.90010788404882</v>
      </c>
      <c r="T12" s="703">
        <f>T11/T10</f>
        <v>276.77109179292131</v>
      </c>
      <c r="U12" s="703">
        <f>U11/U10</f>
        <v>321.88274336716091</v>
      </c>
      <c r="V12" s="696">
        <f>SUM(R12:U12)</f>
        <v>1088.3625495668598</v>
      </c>
      <c r="W12" s="703">
        <f>W11/W10</f>
        <v>309.07333450115374</v>
      </c>
      <c r="X12" s="703">
        <f>X11/X10</f>
        <v>346.12208711369072</v>
      </c>
      <c r="Y12" s="703">
        <f>Y11/Y10</f>
        <v>372.17164090864156</v>
      </c>
      <c r="Z12" s="703">
        <f>Z11/Z10</f>
        <v>387.02099265512174</v>
      </c>
      <c r="AA12" s="696">
        <f>SUM(W12:Z12)</f>
        <v>1414.3880551786078</v>
      </c>
      <c r="AB12" s="703">
        <f>AB11/AB10</f>
        <v>416.33727284217099</v>
      </c>
      <c r="AC12" s="703">
        <f>AC11/AC10</f>
        <v>433.24552226770896</v>
      </c>
      <c r="AD12" s="703">
        <f>AD11/AD10</f>
        <v>435.41804377224844</v>
      </c>
      <c r="AE12" s="703">
        <f>AE11/AE10</f>
        <v>433.051198345854</v>
      </c>
      <c r="AF12" s="696">
        <f>SUM(AB12:AE12)</f>
        <v>1718.0520372279825</v>
      </c>
      <c r="AG12" s="703">
        <f>AG11/AG10</f>
        <v>417.92587189106575</v>
      </c>
      <c r="AH12" s="703">
        <f>AH11/AH10</f>
        <v>384.48202083750152</v>
      </c>
      <c r="AI12" s="703">
        <f>AI11/AI10</f>
        <v>382.60850278084297</v>
      </c>
      <c r="AJ12" s="703">
        <f>AJ11/AJ10</f>
        <v>395.28507967106839</v>
      </c>
      <c r="AK12" s="696">
        <f>SUM(AG12:AJ12)</f>
        <v>1580.3014751804787</v>
      </c>
      <c r="AL12" s="703">
        <f>AL11/AL10</f>
        <v>422.46435389828179</v>
      </c>
      <c r="AM12" s="703">
        <f>AM11/AM10</f>
        <v>453.04575125489436</v>
      </c>
      <c r="AN12" s="703">
        <f>AN11/AN10</f>
        <v>462.73299483084656</v>
      </c>
      <c r="AO12" s="703">
        <f>AO11/AO10</f>
        <v>484.95799798709214</v>
      </c>
      <c r="AP12" s="696">
        <f>SUM(AL12:AO12)</f>
        <v>1823.2010979711147</v>
      </c>
      <c r="AQ12" s="703">
        <f>AQ11/AQ10</f>
        <v>455.77728504557774</v>
      </c>
      <c r="AR12" s="703">
        <f>AR11/AR10</f>
        <v>473.52159472175265</v>
      </c>
      <c r="AS12" s="703">
        <f>AS11/AS10</f>
        <v>472.24049774936208</v>
      </c>
      <c r="AT12" s="703">
        <f>AT11/AT10</f>
        <v>457.0344506088303</v>
      </c>
      <c r="AU12" s="696">
        <f>SUM(AQ12:AT12)</f>
        <v>1858.5738281255226</v>
      </c>
      <c r="AV12" s="703">
        <f>AV11/AV10</f>
        <v>413.65118915967918</v>
      </c>
      <c r="AW12" s="703">
        <f>AW11/AW10</f>
        <v>398.29452056491965</v>
      </c>
      <c r="AX12" s="703">
        <f>AX11/AX10</f>
        <v>386.80895060010693</v>
      </c>
      <c r="AY12" s="703">
        <f>AY11/AY10</f>
        <v>381.58113898941565</v>
      </c>
      <c r="AZ12" s="696">
        <f>SUM(AV12:AY12)</f>
        <v>1580.3357993141215</v>
      </c>
      <c r="BA12" s="703">
        <f>BA11/BA10</f>
        <v>357.32043893041413</v>
      </c>
      <c r="BB12" s="703">
        <f>BB11/BB10</f>
        <v>359.52855401873603</v>
      </c>
      <c r="BC12" s="703">
        <f>BC11/BC10</f>
        <v>382.21677532006811</v>
      </c>
      <c r="BD12" s="703">
        <f>BD11/BD10</f>
        <v>328.85333141418931</v>
      </c>
      <c r="BE12" s="696">
        <f>SUM(BA12:BD12)</f>
        <v>1427.9190996834077</v>
      </c>
      <c r="BF12" s="703">
        <f>BF11/BF10</f>
        <v>390.40001062312956</v>
      </c>
      <c r="BG12" s="703">
        <f>BG11/BG10</f>
        <v>339.95438184285041</v>
      </c>
      <c r="BH12" s="703">
        <f>BH11/BH10</f>
        <v>414.67168706941442</v>
      </c>
      <c r="BI12" s="703">
        <f>BI11/BI10</f>
        <v>291.92710066720889</v>
      </c>
      <c r="BJ12" s="696">
        <f>SUM(BF12:BI12)</f>
        <v>1436.9531802026033</v>
      </c>
    </row>
    <row r="13" spans="2:75">
      <c r="B13" s="474" t="s">
        <v>844</v>
      </c>
      <c r="AG13" s="465">
        <v>567</v>
      </c>
      <c r="AH13" s="465">
        <v>604</v>
      </c>
      <c r="AI13" s="465">
        <v>593</v>
      </c>
      <c r="AJ13" s="465">
        <v>634</v>
      </c>
      <c r="AK13" s="696">
        <f>SUM(AG13:AJ13)</f>
        <v>2398</v>
      </c>
      <c r="AL13" s="697">
        <v>596</v>
      </c>
      <c r="AM13" s="697">
        <v>576</v>
      </c>
      <c r="AN13" s="697">
        <v>581</v>
      </c>
      <c r="AO13" s="697">
        <v>630</v>
      </c>
      <c r="AP13" s="696">
        <f>SUM(AL13:AO13)</f>
        <v>2383</v>
      </c>
      <c r="AQ13" s="697">
        <v>620</v>
      </c>
      <c r="AR13" s="697">
        <v>619</v>
      </c>
      <c r="AS13" s="697">
        <v>614</v>
      </c>
      <c r="AT13" s="697">
        <v>588</v>
      </c>
      <c r="AU13" s="696">
        <f>SUM(AQ13:AT13)</f>
        <v>2441</v>
      </c>
      <c r="AV13" s="697">
        <v>539</v>
      </c>
      <c r="AW13" s="697">
        <v>537</v>
      </c>
      <c r="AX13" s="697">
        <v>485</v>
      </c>
      <c r="AY13" s="697">
        <v>499</v>
      </c>
      <c r="AZ13" s="696">
        <f>SUM(AV13:AY13)</f>
        <v>2060</v>
      </c>
      <c r="BA13" s="697">
        <v>452</v>
      </c>
      <c r="BB13" s="697">
        <v>475</v>
      </c>
      <c r="BC13" s="697">
        <v>456</v>
      </c>
      <c r="BD13" s="697">
        <v>452</v>
      </c>
      <c r="BE13" s="696">
        <f>SUM(BA13:BD13)</f>
        <v>1835</v>
      </c>
      <c r="BF13" s="697">
        <v>445</v>
      </c>
      <c r="BG13" s="697">
        <v>477</v>
      </c>
      <c r="BH13" s="697">
        <v>481</v>
      </c>
      <c r="BI13" s="697">
        <v>485</v>
      </c>
      <c r="BJ13" s="696">
        <f>SUM(BF13:BI13)</f>
        <v>1888</v>
      </c>
    </row>
    <row r="14" spans="2:75">
      <c r="B14" s="704" t="s">
        <v>637</v>
      </c>
      <c r="C14" s="700">
        <f>C13+C12</f>
        <v>0</v>
      </c>
      <c r="D14" s="700">
        <f t="shared" ref="D14:AP14" si="6">D13+D12</f>
        <v>10</v>
      </c>
      <c r="E14" s="700">
        <f t="shared" si="6"/>
        <v>153</v>
      </c>
      <c r="F14" s="700">
        <f t="shared" si="6"/>
        <v>217</v>
      </c>
      <c r="G14" s="700">
        <f t="shared" si="6"/>
        <v>380</v>
      </c>
      <c r="H14" s="700">
        <f t="shared" si="6"/>
        <v>211</v>
      </c>
      <c r="I14" s="700">
        <f t="shared" si="6"/>
        <v>209</v>
      </c>
      <c r="J14" s="700">
        <f t="shared" si="6"/>
        <v>198</v>
      </c>
      <c r="K14" s="700">
        <f t="shared" si="6"/>
        <v>197</v>
      </c>
      <c r="L14" s="700">
        <f t="shared" si="6"/>
        <v>815</v>
      </c>
      <c r="M14" s="700">
        <f t="shared" si="6"/>
        <v>198</v>
      </c>
      <c r="N14" s="700">
        <f t="shared" si="6"/>
        <v>216</v>
      </c>
      <c r="O14" s="700">
        <f t="shared" si="6"/>
        <v>225</v>
      </c>
      <c r="P14" s="700">
        <f t="shared" si="6"/>
        <v>236</v>
      </c>
      <c r="Q14" s="700">
        <f t="shared" si="6"/>
        <v>875</v>
      </c>
      <c r="R14" s="700">
        <f t="shared" si="6"/>
        <v>238.80860652272878</v>
      </c>
      <c r="S14" s="700">
        <f t="shared" si="6"/>
        <v>250.90010788404882</v>
      </c>
      <c r="T14" s="700">
        <f t="shared" si="6"/>
        <v>276.77109179292131</v>
      </c>
      <c r="U14" s="700">
        <f t="shared" si="6"/>
        <v>321.88274336716091</v>
      </c>
      <c r="V14" s="700">
        <f t="shared" si="6"/>
        <v>1088.3625495668598</v>
      </c>
      <c r="W14" s="700">
        <f t="shared" si="6"/>
        <v>309.07333450115374</v>
      </c>
      <c r="X14" s="700">
        <f t="shared" si="6"/>
        <v>346.12208711369072</v>
      </c>
      <c r="Y14" s="700">
        <f t="shared" si="6"/>
        <v>372.17164090864156</v>
      </c>
      <c r="Z14" s="700">
        <f t="shared" si="6"/>
        <v>387.02099265512174</v>
      </c>
      <c r="AA14" s="700">
        <f t="shared" si="6"/>
        <v>1414.3880551786078</v>
      </c>
      <c r="AB14" s="700">
        <f t="shared" si="6"/>
        <v>416.33727284217099</v>
      </c>
      <c r="AC14" s="700">
        <f t="shared" si="6"/>
        <v>433.24552226770896</v>
      </c>
      <c r="AD14" s="700">
        <f t="shared" si="6"/>
        <v>435.41804377224844</v>
      </c>
      <c r="AE14" s="700">
        <f t="shared" si="6"/>
        <v>433.051198345854</v>
      </c>
      <c r="AF14" s="700">
        <f t="shared" si="6"/>
        <v>1718.0520372279825</v>
      </c>
      <c r="AG14" s="700">
        <f t="shared" si="6"/>
        <v>984.92587189106575</v>
      </c>
      <c r="AH14" s="700">
        <f t="shared" si="6"/>
        <v>988.48202083750152</v>
      </c>
      <c r="AI14" s="700">
        <f t="shared" si="6"/>
        <v>975.60850278084297</v>
      </c>
      <c r="AJ14" s="700">
        <f t="shared" si="6"/>
        <v>1029.2850796710684</v>
      </c>
      <c r="AK14" s="700">
        <f t="shared" si="6"/>
        <v>3978.3014751804785</v>
      </c>
      <c r="AL14" s="700">
        <f t="shared" si="6"/>
        <v>1018.4643538982818</v>
      </c>
      <c r="AM14" s="700">
        <f t="shared" si="6"/>
        <v>1029.0457512548944</v>
      </c>
      <c r="AN14" s="700">
        <f t="shared" si="6"/>
        <v>1043.7329948308466</v>
      </c>
      <c r="AO14" s="700">
        <f t="shared" si="6"/>
        <v>1114.9579979870921</v>
      </c>
      <c r="AP14" s="700">
        <f t="shared" si="6"/>
        <v>4206.2010979711149</v>
      </c>
      <c r="AQ14" s="700">
        <f t="shared" ref="AQ14:AU14" si="7">AQ13+AQ12</f>
        <v>1075.7772850455776</v>
      </c>
      <c r="AR14" s="700">
        <f t="shared" si="7"/>
        <v>1092.5215947217525</v>
      </c>
      <c r="AS14" s="700">
        <f t="shared" si="7"/>
        <v>1086.240497749362</v>
      </c>
      <c r="AT14" s="700">
        <f t="shared" si="7"/>
        <v>1045.0344506088304</v>
      </c>
      <c r="AU14" s="700">
        <f t="shared" si="7"/>
        <v>4299.5738281255226</v>
      </c>
      <c r="AV14" s="700">
        <f t="shared" ref="AV14:BJ14" si="8">AV13+AV12</f>
        <v>952.65118915967923</v>
      </c>
      <c r="AW14" s="700">
        <f t="shared" si="8"/>
        <v>935.29452056491959</v>
      </c>
      <c r="AX14" s="700">
        <f t="shared" si="8"/>
        <v>871.80895060010698</v>
      </c>
      <c r="AY14" s="700">
        <f t="shared" si="8"/>
        <v>880.58113898941565</v>
      </c>
      <c r="AZ14" s="700">
        <f t="shared" si="8"/>
        <v>3640.3357993141217</v>
      </c>
      <c r="BA14" s="700">
        <f t="shared" si="8"/>
        <v>809.32043893041418</v>
      </c>
      <c r="BB14" s="700">
        <f t="shared" si="8"/>
        <v>834.52855401873603</v>
      </c>
      <c r="BC14" s="700">
        <f t="shared" si="8"/>
        <v>838.21677532006811</v>
      </c>
      <c r="BD14" s="700">
        <f t="shared" si="8"/>
        <v>780.85333141418937</v>
      </c>
      <c r="BE14" s="700">
        <f t="shared" si="8"/>
        <v>3262.9190996834077</v>
      </c>
      <c r="BF14" s="700">
        <f t="shared" si="8"/>
        <v>835.40001062312956</v>
      </c>
      <c r="BG14" s="700">
        <f t="shared" si="8"/>
        <v>816.95438184285035</v>
      </c>
      <c r="BH14" s="700">
        <f t="shared" si="8"/>
        <v>895.67168706941447</v>
      </c>
      <c r="BI14" s="700">
        <f t="shared" si="8"/>
        <v>776.92710066720883</v>
      </c>
      <c r="BJ14" s="700">
        <f t="shared" si="8"/>
        <v>3324.9531802026031</v>
      </c>
    </row>
    <row r="16" spans="2:75">
      <c r="B16" s="474" t="s">
        <v>601</v>
      </c>
      <c r="C16" s="661"/>
      <c r="D16" s="661"/>
      <c r="E16" s="661"/>
      <c r="F16" s="661"/>
      <c r="G16" s="661"/>
      <c r="H16" s="661"/>
      <c r="I16" s="661">
        <f t="shared" ref="I16:Q16" si="9">I12/D12-1</f>
        <v>19.899999999999999</v>
      </c>
      <c r="J16" s="661">
        <f t="shared" si="9"/>
        <v>0.29411764705882359</v>
      </c>
      <c r="K16" s="661">
        <f t="shared" si="9"/>
        <v>-9.2165898617511566E-2</v>
      </c>
      <c r="L16" s="661">
        <f t="shared" si="9"/>
        <v>1.1447368421052633</v>
      </c>
      <c r="M16" s="661">
        <f t="shared" si="9"/>
        <v>-6.1611374407582908E-2</v>
      </c>
      <c r="N16" s="661">
        <f t="shared" si="9"/>
        <v>3.3492822966507241E-2</v>
      </c>
      <c r="O16" s="661">
        <f t="shared" si="9"/>
        <v>0.13636363636363646</v>
      </c>
      <c r="P16" s="661">
        <f t="shared" si="9"/>
        <v>0.19796954314720816</v>
      </c>
      <c r="Q16" s="661">
        <f t="shared" si="9"/>
        <v>7.361963190184051E-2</v>
      </c>
      <c r="R16" s="484">
        <v>0.21</v>
      </c>
      <c r="S16" s="484">
        <v>0.21</v>
      </c>
      <c r="T16" s="484">
        <v>0.21</v>
      </c>
      <c r="U16" s="484">
        <v>0.34</v>
      </c>
      <c r="V16" s="484">
        <v>0.24</v>
      </c>
      <c r="W16" s="484">
        <v>0.27</v>
      </c>
      <c r="X16" s="484">
        <v>0.27</v>
      </c>
      <c r="Y16" s="484">
        <v>0.34</v>
      </c>
      <c r="Z16" s="484">
        <v>0.2</v>
      </c>
      <c r="AA16" s="484">
        <v>0.27</v>
      </c>
      <c r="AB16" s="484">
        <v>0.35</v>
      </c>
      <c r="AC16" s="484">
        <v>0.28999999999999998</v>
      </c>
      <c r="AD16" s="484">
        <v>0.17</v>
      </c>
      <c r="AE16" s="484">
        <v>0.13</v>
      </c>
      <c r="AF16" s="484">
        <v>0.23</v>
      </c>
      <c r="AG16" s="484">
        <v>0</v>
      </c>
      <c r="AH16" s="484">
        <v>-0.11</v>
      </c>
      <c r="AI16" s="484">
        <v>-0.12</v>
      </c>
      <c r="AJ16" s="484">
        <v>-0.09</v>
      </c>
      <c r="AK16" s="484">
        <v>-0.08</v>
      </c>
      <c r="AL16" s="484">
        <v>0.01</v>
      </c>
      <c r="AM16" s="484">
        <v>0.18</v>
      </c>
      <c r="AN16" s="484">
        <v>0.21</v>
      </c>
      <c r="AO16" s="484">
        <v>0.22</v>
      </c>
      <c r="AP16" s="484">
        <v>0.15</v>
      </c>
      <c r="AQ16" s="484">
        <v>0.08</v>
      </c>
      <c r="AR16" s="484">
        <v>0.04</v>
      </c>
      <c r="AS16" s="484">
        <v>0.02</v>
      </c>
      <c r="AT16" s="484">
        <v>-0.05</v>
      </c>
      <c r="AU16" s="484">
        <v>0.02</v>
      </c>
      <c r="AV16" s="484">
        <v>-0.09</v>
      </c>
      <c r="AW16" s="484">
        <v>-0.16</v>
      </c>
      <c r="AX16" s="705">
        <f>AX12/AS12-1</f>
        <v>-0.18090686325381033</v>
      </c>
      <c r="AY16" s="705">
        <f>AY12/AT12-1</f>
        <v>-0.16509326926865331</v>
      </c>
      <c r="AZ16" s="705">
        <f>AZ12/AU12-1</f>
        <v>-0.14970512583404882</v>
      </c>
      <c r="BA16" s="705">
        <f t="shared" ref="BA16:BJ16" si="10">BA12/AV12-1</f>
        <v>-0.13617935039350282</v>
      </c>
      <c r="BB16" s="705">
        <f t="shared" si="10"/>
        <v>-9.732990173000633E-2</v>
      </c>
      <c r="BC16" s="705">
        <f t="shared" si="10"/>
        <v>-1.1871946791599308E-2</v>
      </c>
      <c r="BD16" s="705">
        <f t="shared" si="10"/>
        <v>-0.1381824261934731</v>
      </c>
      <c r="BE16" s="705">
        <f t="shared" si="10"/>
        <v>-9.6445767853176378E-2</v>
      </c>
      <c r="BF16" s="705">
        <f t="shared" si="10"/>
        <v>9.2576768884909733E-2</v>
      </c>
      <c r="BG16" s="705">
        <f t="shared" si="10"/>
        <v>-5.4443998834277751E-2</v>
      </c>
      <c r="BH16" s="705">
        <f t="shared" si="10"/>
        <v>8.4912316373787045E-2</v>
      </c>
      <c r="BI16" s="705">
        <f t="shared" si="10"/>
        <v>-0.1122878414768802</v>
      </c>
      <c r="BJ16" s="705">
        <f t="shared" si="10"/>
        <v>6.3267453465667423E-3</v>
      </c>
    </row>
    <row r="17" spans="2:75">
      <c r="B17" s="474" t="s">
        <v>633</v>
      </c>
      <c r="C17" s="661"/>
      <c r="D17" s="661"/>
      <c r="E17" s="661"/>
      <c r="F17" s="661"/>
      <c r="G17" s="661"/>
      <c r="H17" s="661"/>
      <c r="I17" s="661"/>
      <c r="J17" s="661"/>
      <c r="K17" s="661"/>
      <c r="L17" s="661"/>
      <c r="M17" s="661"/>
      <c r="N17" s="661"/>
      <c r="O17" s="661"/>
      <c r="P17" s="661"/>
      <c r="Q17" s="661"/>
      <c r="R17" s="484"/>
      <c r="S17" s="484"/>
      <c r="T17" s="484"/>
      <c r="U17" s="484"/>
      <c r="V17" s="484"/>
      <c r="W17" s="484"/>
      <c r="X17" s="484"/>
      <c r="Y17" s="484"/>
      <c r="Z17" s="484"/>
      <c r="AA17" s="484"/>
      <c r="AB17" s="484"/>
      <c r="AC17" s="484"/>
      <c r="AD17" s="484"/>
      <c r="AE17" s="484"/>
      <c r="AF17" s="484"/>
      <c r="AG17" s="484"/>
      <c r="AH17" s="484"/>
      <c r="AI17" s="484"/>
      <c r="AJ17" s="484"/>
      <c r="AK17" s="484"/>
      <c r="AL17" s="484">
        <v>7.0000000000000007E-2</v>
      </c>
      <c r="AM17" s="484">
        <v>-0.03</v>
      </c>
      <c r="AN17" s="484">
        <v>-0.01</v>
      </c>
      <c r="AO17" s="484">
        <v>0.01</v>
      </c>
      <c r="AP17" s="484">
        <v>0.01</v>
      </c>
      <c r="AQ17" s="484">
        <v>0.06</v>
      </c>
      <c r="AR17" s="484">
        <v>7.0000000000000007E-2</v>
      </c>
      <c r="AS17" s="484">
        <v>7.0000000000000007E-2</v>
      </c>
      <c r="AT17" s="484">
        <v>0.01</v>
      </c>
      <c r="AU17" s="484"/>
      <c r="AV17" s="484">
        <v>0</v>
      </c>
      <c r="AW17" s="484">
        <v>0.02</v>
      </c>
      <c r="AX17" s="484">
        <v>-0.08</v>
      </c>
      <c r="AY17" s="484">
        <v>-0.04</v>
      </c>
      <c r="AZ17" s="484">
        <v>-0.02</v>
      </c>
      <c r="BA17" s="484">
        <v>-0.11</v>
      </c>
      <c r="BB17" s="484">
        <v>-0.1</v>
      </c>
      <c r="BC17" s="484">
        <v>-0.04</v>
      </c>
      <c r="BD17" s="484">
        <v>-0.06</v>
      </c>
      <c r="BE17" s="484">
        <v>-0.08</v>
      </c>
      <c r="BF17" s="484">
        <v>0.03</v>
      </c>
      <c r="BG17" s="484">
        <v>0.05</v>
      </c>
      <c r="BH17" s="484">
        <v>0.05</v>
      </c>
      <c r="BI17" s="484">
        <v>0.02</v>
      </c>
      <c r="BJ17" s="484">
        <v>0.04</v>
      </c>
    </row>
    <row r="18" spans="2:75">
      <c r="B18" s="474" t="s">
        <v>634</v>
      </c>
      <c r="C18" s="661"/>
      <c r="D18" s="661"/>
      <c r="E18" s="661"/>
      <c r="F18" s="661"/>
      <c r="G18" s="661"/>
      <c r="H18" s="661"/>
      <c r="I18" s="661"/>
      <c r="J18" s="661"/>
      <c r="K18" s="661"/>
      <c r="L18" s="661"/>
      <c r="M18" s="661"/>
      <c r="N18" s="661"/>
      <c r="O18" s="661"/>
      <c r="P18" s="661"/>
      <c r="Q18" s="661"/>
      <c r="R18" s="484"/>
      <c r="S18" s="484"/>
      <c r="T18" s="484"/>
      <c r="U18" s="484"/>
      <c r="V18" s="484"/>
      <c r="W18" s="484"/>
      <c r="X18" s="484"/>
      <c r="Y18" s="484"/>
      <c r="Z18" s="484"/>
      <c r="AA18" s="484"/>
      <c r="AB18" s="484"/>
      <c r="AC18" s="484"/>
      <c r="AD18" s="484"/>
      <c r="AE18" s="484"/>
      <c r="AF18" s="484"/>
      <c r="AG18" s="484"/>
      <c r="AH18" s="484"/>
      <c r="AI18" s="484"/>
      <c r="AJ18" s="484"/>
      <c r="AK18" s="484"/>
      <c r="AL18" s="705">
        <f>AL13/AG13-1</f>
        <v>5.1146384479717755E-2</v>
      </c>
      <c r="AM18" s="705">
        <f>AM13/AH13-1</f>
        <v>-4.635761589403975E-2</v>
      </c>
      <c r="AN18" s="705">
        <f>AN13/AI13-1</f>
        <v>-2.02360876897133E-2</v>
      </c>
      <c r="AO18" s="705">
        <f>AO13/AJ13-1</f>
        <v>-6.3091482649841879E-3</v>
      </c>
      <c r="AP18" s="484"/>
      <c r="AQ18" s="705">
        <f>AQ13/AL13-1</f>
        <v>4.0268456375838868E-2</v>
      </c>
      <c r="AR18" s="705">
        <f>AR13/AM13-1</f>
        <v>7.4652777777777679E-2</v>
      </c>
      <c r="AS18" s="705">
        <f>AS13/AN13-1</f>
        <v>5.6798623063683218E-2</v>
      </c>
      <c r="AT18" s="705">
        <f>AT13/AO13-1</f>
        <v>-6.6666666666666652E-2</v>
      </c>
      <c r="AU18" s="484"/>
      <c r="AV18" s="705">
        <f t="shared" ref="AV18:BJ18" si="11">AV13/AQ13-1</f>
        <v>-0.13064516129032255</v>
      </c>
      <c r="AW18" s="705">
        <f t="shared" si="11"/>
        <v>-0.13247172859450729</v>
      </c>
      <c r="AX18" s="705">
        <f t="shared" si="11"/>
        <v>-0.21009771986970682</v>
      </c>
      <c r="AY18" s="705">
        <f t="shared" si="11"/>
        <v>-0.15136054421768708</v>
      </c>
      <c r="AZ18" s="705">
        <f t="shared" si="11"/>
        <v>-0.15608357230643177</v>
      </c>
      <c r="BA18" s="705">
        <f t="shared" si="11"/>
        <v>-0.16141001855287573</v>
      </c>
      <c r="BB18" s="705">
        <f t="shared" si="11"/>
        <v>-0.11545623836126628</v>
      </c>
      <c r="BC18" s="705">
        <f t="shared" si="11"/>
        <v>-5.97938144329897E-2</v>
      </c>
      <c r="BD18" s="705">
        <f t="shared" si="11"/>
        <v>-9.4188376753506997E-2</v>
      </c>
      <c r="BE18" s="705">
        <f t="shared" si="11"/>
        <v>-0.10922330097087374</v>
      </c>
      <c r="BF18" s="705">
        <f t="shared" si="11"/>
        <v>-1.5486725663716783E-2</v>
      </c>
      <c r="BG18" s="705">
        <f t="shared" si="11"/>
        <v>4.2105263157894424E-3</v>
      </c>
      <c r="BH18" s="705">
        <f t="shared" si="11"/>
        <v>5.4824561403508776E-2</v>
      </c>
      <c r="BI18" s="705">
        <f t="shared" si="11"/>
        <v>7.3008849557522071E-2</v>
      </c>
      <c r="BJ18" s="705">
        <f t="shared" si="11"/>
        <v>2.8882833787466033E-2</v>
      </c>
    </row>
    <row r="19" spans="2:75">
      <c r="C19" s="661"/>
      <c r="D19" s="661"/>
      <c r="E19" s="661"/>
      <c r="F19" s="661"/>
      <c r="G19" s="661"/>
      <c r="H19" s="661"/>
      <c r="I19" s="661"/>
      <c r="J19" s="661"/>
      <c r="K19" s="661"/>
      <c r="L19" s="661"/>
      <c r="M19" s="661"/>
      <c r="N19" s="661"/>
      <c r="O19" s="661"/>
      <c r="P19" s="661"/>
      <c r="Q19" s="661"/>
      <c r="R19" s="484"/>
      <c r="S19" s="484"/>
      <c r="T19" s="484"/>
      <c r="U19" s="484"/>
      <c r="V19" s="484"/>
      <c r="W19" s="484"/>
      <c r="X19" s="484"/>
      <c r="Y19" s="484"/>
      <c r="Z19" s="484"/>
      <c r="AA19" s="484"/>
      <c r="AB19" s="484"/>
      <c r="AC19" s="484"/>
      <c r="AD19" s="484"/>
      <c r="AE19" s="484"/>
      <c r="AF19" s="484"/>
      <c r="AG19" s="484"/>
      <c r="AH19" s="484"/>
      <c r="AI19" s="484"/>
      <c r="AJ19" s="484"/>
      <c r="AK19" s="484"/>
      <c r="AL19" s="484"/>
      <c r="AM19" s="484"/>
      <c r="AN19" s="484"/>
      <c r="AO19" s="484"/>
      <c r="AP19" s="484"/>
      <c r="AQ19" s="484"/>
      <c r="AR19" s="484"/>
      <c r="AS19" s="484"/>
      <c r="AT19" s="484"/>
      <c r="AU19" s="484"/>
      <c r="AV19" s="484"/>
      <c r="AW19" s="484"/>
      <c r="AX19" s="484"/>
      <c r="AY19" s="484"/>
      <c r="AZ19" s="484"/>
      <c r="BA19" s="484"/>
      <c r="BB19" s="484"/>
      <c r="BC19" s="484"/>
      <c r="BD19" s="484"/>
      <c r="BE19" s="484"/>
      <c r="BF19" s="484"/>
      <c r="BG19" s="484"/>
      <c r="BH19" s="484"/>
      <c r="BI19" s="484"/>
      <c r="BJ19" s="484"/>
    </row>
    <row r="20" spans="2:75">
      <c r="B20" s="465" t="s">
        <v>636</v>
      </c>
    </row>
    <row r="21" spans="2:75">
      <c r="B21" s="474" t="s">
        <v>225</v>
      </c>
      <c r="C21" s="706">
        <f t="shared" ref="C21:AP21" si="12">C12+C5</f>
        <v>0</v>
      </c>
      <c r="D21" s="706">
        <f t="shared" si="12"/>
        <v>10</v>
      </c>
      <c r="E21" s="706">
        <f t="shared" si="12"/>
        <v>153</v>
      </c>
      <c r="F21" s="706">
        <f t="shared" si="12"/>
        <v>217</v>
      </c>
      <c r="G21" s="706">
        <f t="shared" si="12"/>
        <v>380</v>
      </c>
      <c r="H21" s="706">
        <f t="shared" si="12"/>
        <v>211</v>
      </c>
      <c r="I21" s="706">
        <f t="shared" si="12"/>
        <v>209</v>
      </c>
      <c r="J21" s="706">
        <f t="shared" si="12"/>
        <v>198</v>
      </c>
      <c r="K21" s="706">
        <f t="shared" si="12"/>
        <v>197</v>
      </c>
      <c r="L21" s="706">
        <f t="shared" si="12"/>
        <v>815</v>
      </c>
      <c r="M21" s="706">
        <f t="shared" si="12"/>
        <v>198</v>
      </c>
      <c r="N21" s="706">
        <f t="shared" si="12"/>
        <v>216</v>
      </c>
      <c r="O21" s="706">
        <f t="shared" si="12"/>
        <v>225</v>
      </c>
      <c r="P21" s="706">
        <f t="shared" si="12"/>
        <v>236</v>
      </c>
      <c r="Q21" s="706">
        <f t="shared" si="12"/>
        <v>875</v>
      </c>
      <c r="R21" s="706">
        <f t="shared" si="12"/>
        <v>238.80860652272878</v>
      </c>
      <c r="S21" s="706">
        <f t="shared" si="12"/>
        <v>250.90010788404882</v>
      </c>
      <c r="T21" s="706">
        <f t="shared" si="12"/>
        <v>276.77109179292131</v>
      </c>
      <c r="U21" s="706">
        <f t="shared" si="12"/>
        <v>321.88274336716091</v>
      </c>
      <c r="V21" s="706">
        <f t="shared" si="12"/>
        <v>1088.3625495668598</v>
      </c>
      <c r="W21" s="706">
        <f t="shared" si="12"/>
        <v>309.07333450115374</v>
      </c>
      <c r="X21" s="706">
        <f t="shared" si="12"/>
        <v>346.12208711369072</v>
      </c>
      <c r="Y21" s="706">
        <f t="shared" si="12"/>
        <v>372.17164090864156</v>
      </c>
      <c r="Z21" s="706">
        <f t="shared" si="12"/>
        <v>387.02099265512174</v>
      </c>
      <c r="AA21" s="706">
        <f t="shared" si="12"/>
        <v>1414.3880551786078</v>
      </c>
      <c r="AB21" s="706">
        <f t="shared" si="12"/>
        <v>416.33727284217099</v>
      </c>
      <c r="AC21" s="706">
        <f t="shared" si="12"/>
        <v>433.24552226770896</v>
      </c>
      <c r="AD21" s="706">
        <f t="shared" si="12"/>
        <v>435.41804377224844</v>
      </c>
      <c r="AE21" s="706">
        <f t="shared" si="12"/>
        <v>458.051198345854</v>
      </c>
      <c r="AF21" s="706">
        <f t="shared" si="12"/>
        <v>1743.0520372279825</v>
      </c>
      <c r="AG21" s="706">
        <f t="shared" si="12"/>
        <v>541.92587189106575</v>
      </c>
      <c r="AH21" s="706">
        <f t="shared" si="12"/>
        <v>578.48202083750152</v>
      </c>
      <c r="AI21" s="706">
        <f t="shared" si="12"/>
        <v>626.60850278084297</v>
      </c>
      <c r="AJ21" s="706">
        <f t="shared" si="12"/>
        <v>671.28507967106839</v>
      </c>
      <c r="AK21" s="706">
        <f t="shared" si="12"/>
        <v>2418.3014751804785</v>
      </c>
      <c r="AL21" s="706">
        <f t="shared" si="12"/>
        <v>736.46435389828184</v>
      </c>
      <c r="AM21" s="706">
        <f t="shared" si="12"/>
        <v>821.04575125489441</v>
      </c>
      <c r="AN21" s="706">
        <f t="shared" si="12"/>
        <v>825.73299483084656</v>
      </c>
      <c r="AO21" s="706">
        <f t="shared" si="12"/>
        <v>886.95799798709209</v>
      </c>
      <c r="AP21" s="706">
        <f t="shared" si="12"/>
        <v>3270.2010979711149</v>
      </c>
      <c r="AQ21" s="706">
        <f t="shared" ref="AQ21:AU21" si="13">AQ12+AQ5</f>
        <v>814.77728504557774</v>
      </c>
      <c r="AR21" s="706">
        <f t="shared" si="13"/>
        <v>880.52159472175265</v>
      </c>
      <c r="AS21" s="706">
        <f t="shared" si="13"/>
        <v>918.24049774936202</v>
      </c>
      <c r="AT21" s="706">
        <f t="shared" si="13"/>
        <v>974.5344506088303</v>
      </c>
      <c r="AU21" s="706">
        <f t="shared" si="13"/>
        <v>3588.0738281255226</v>
      </c>
      <c r="AV21" s="706">
        <f t="shared" ref="AV21:BI21" si="14">AV12+AV5</f>
        <v>954.65118915967923</v>
      </c>
      <c r="AW21" s="706">
        <f t="shared" si="14"/>
        <v>1053.2945205649196</v>
      </c>
      <c r="AX21" s="706">
        <f t="shared" si="14"/>
        <v>1120.808950600107</v>
      </c>
      <c r="AY21" s="706">
        <f t="shared" si="14"/>
        <v>1127.5811389894156</v>
      </c>
      <c r="AZ21" s="706">
        <f t="shared" si="14"/>
        <v>4256.3357993141217</v>
      </c>
      <c r="BA21" s="706">
        <f t="shared" si="14"/>
        <v>1138.3204389304142</v>
      </c>
      <c r="BB21" s="706">
        <f t="shared" si="14"/>
        <v>1190.528554018736</v>
      </c>
      <c r="BC21" s="706">
        <f t="shared" si="14"/>
        <v>1236.2167753200681</v>
      </c>
      <c r="BD21" s="706">
        <f t="shared" si="14"/>
        <v>1186.8533314141894</v>
      </c>
      <c r="BE21" s="706">
        <f t="shared" si="14"/>
        <v>4751.9190996834077</v>
      </c>
      <c r="BF21" s="706">
        <f t="shared" si="14"/>
        <v>1244.4000106231297</v>
      </c>
      <c r="BG21" s="706">
        <f t="shared" si="14"/>
        <v>1259.4203818428505</v>
      </c>
      <c r="BH21" s="706">
        <f t="shared" si="14"/>
        <v>1367.6716870694145</v>
      </c>
      <c r="BI21" s="706">
        <f t="shared" si="14"/>
        <v>1266.9271006672088</v>
      </c>
      <c r="BJ21" s="706">
        <f>BE21*(1+BJ25)</f>
        <v>5155.8322231564971</v>
      </c>
      <c r="BK21" s="696">
        <f>BJ21*(1+BK25)</f>
        <v>5516.7404787774522</v>
      </c>
      <c r="BL21" s="696">
        <f t="shared" ref="BL21:BW21" si="15">BK21*(1+BL25)</f>
        <v>5875.3286098979861</v>
      </c>
      <c r="BM21" s="696">
        <f t="shared" si="15"/>
        <v>6257.2249695413548</v>
      </c>
      <c r="BN21" s="696">
        <f t="shared" si="15"/>
        <v>6663.9445925615428</v>
      </c>
      <c r="BO21" s="696">
        <f t="shared" si="15"/>
        <v>7097.1009910780431</v>
      </c>
      <c r="BP21" s="696">
        <f t="shared" si="15"/>
        <v>7558.4125554981156</v>
      </c>
      <c r="BQ21" s="696">
        <f t="shared" si="15"/>
        <v>8049.7093716054924</v>
      </c>
      <c r="BR21" s="696">
        <f t="shared" si="15"/>
        <v>8572.9404807598494</v>
      </c>
      <c r="BS21" s="696">
        <f t="shared" si="15"/>
        <v>9130.181612009239</v>
      </c>
      <c r="BT21" s="696">
        <f t="shared" si="15"/>
        <v>9723.6434167898387</v>
      </c>
      <c r="BU21" s="696">
        <f t="shared" si="15"/>
        <v>10355.680238881178</v>
      </c>
      <c r="BV21" s="696">
        <f t="shared" si="15"/>
        <v>11028.799454408454</v>
      </c>
      <c r="BW21" s="696">
        <f t="shared" si="15"/>
        <v>11745.671418945003</v>
      </c>
    </row>
    <row r="22" spans="2:75">
      <c r="B22" s="474" t="s">
        <v>600</v>
      </c>
      <c r="C22" s="706">
        <f t="shared" ref="C22:AP22" si="16">C13+C6</f>
        <v>0</v>
      </c>
      <c r="D22" s="706">
        <f t="shared" si="16"/>
        <v>0</v>
      </c>
      <c r="E22" s="706">
        <f t="shared" si="16"/>
        <v>0</v>
      </c>
      <c r="F22" s="706">
        <f t="shared" si="16"/>
        <v>0</v>
      </c>
      <c r="G22" s="706">
        <f t="shared" si="16"/>
        <v>0</v>
      </c>
      <c r="H22" s="706">
        <f t="shared" si="16"/>
        <v>0</v>
      </c>
      <c r="I22" s="706">
        <f t="shared" si="16"/>
        <v>0</v>
      </c>
      <c r="J22" s="706">
        <f t="shared" si="16"/>
        <v>0</v>
      </c>
      <c r="K22" s="706">
        <f t="shared" si="16"/>
        <v>0</v>
      </c>
      <c r="L22" s="706">
        <f t="shared" si="16"/>
        <v>0</v>
      </c>
      <c r="M22" s="706">
        <f t="shared" si="16"/>
        <v>0</v>
      </c>
      <c r="N22" s="706">
        <f t="shared" si="16"/>
        <v>0</v>
      </c>
      <c r="O22" s="706">
        <f t="shared" si="16"/>
        <v>0</v>
      </c>
      <c r="P22" s="706">
        <f t="shared" si="16"/>
        <v>0</v>
      </c>
      <c r="Q22" s="706">
        <f t="shared" si="16"/>
        <v>0</v>
      </c>
      <c r="R22" s="706">
        <f t="shared" si="16"/>
        <v>0</v>
      </c>
      <c r="S22" s="706">
        <f t="shared" si="16"/>
        <v>0</v>
      </c>
      <c r="T22" s="706">
        <f t="shared" si="16"/>
        <v>0</v>
      </c>
      <c r="U22" s="706">
        <f t="shared" si="16"/>
        <v>0</v>
      </c>
      <c r="V22" s="706">
        <f t="shared" si="16"/>
        <v>0</v>
      </c>
      <c r="W22" s="706">
        <f t="shared" si="16"/>
        <v>0</v>
      </c>
      <c r="X22" s="706">
        <f t="shared" si="16"/>
        <v>0</v>
      </c>
      <c r="Y22" s="706">
        <f t="shared" si="16"/>
        <v>0</v>
      </c>
      <c r="Z22" s="706">
        <f t="shared" si="16"/>
        <v>0</v>
      </c>
      <c r="AA22" s="706">
        <f t="shared" si="16"/>
        <v>0</v>
      </c>
      <c r="AB22" s="706">
        <f t="shared" si="16"/>
        <v>0</v>
      </c>
      <c r="AC22" s="706">
        <f t="shared" si="16"/>
        <v>0</v>
      </c>
      <c r="AD22" s="706">
        <f t="shared" si="16"/>
        <v>0</v>
      </c>
      <c r="AE22" s="706">
        <f t="shared" si="16"/>
        <v>0</v>
      </c>
      <c r="AF22" s="706">
        <f t="shared" si="16"/>
        <v>0</v>
      </c>
      <c r="AG22" s="706">
        <f t="shared" si="16"/>
        <v>567</v>
      </c>
      <c r="AH22" s="706">
        <f t="shared" si="16"/>
        <v>604</v>
      </c>
      <c r="AI22" s="706">
        <f t="shared" si="16"/>
        <v>593</v>
      </c>
      <c r="AJ22" s="706">
        <f t="shared" si="16"/>
        <v>653</v>
      </c>
      <c r="AK22" s="706">
        <f t="shared" si="16"/>
        <v>2417</v>
      </c>
      <c r="AL22" s="706">
        <f t="shared" si="16"/>
        <v>661</v>
      </c>
      <c r="AM22" s="706">
        <f t="shared" si="16"/>
        <v>672.5</v>
      </c>
      <c r="AN22" s="706">
        <f t="shared" si="16"/>
        <v>706</v>
      </c>
      <c r="AO22" s="706">
        <f t="shared" si="16"/>
        <v>814</v>
      </c>
      <c r="AP22" s="706">
        <f t="shared" si="16"/>
        <v>2853.5</v>
      </c>
      <c r="AQ22" s="706">
        <f t="shared" ref="AQ22:AU22" si="17">AQ13+AQ6</f>
        <v>838.1</v>
      </c>
      <c r="AR22" s="706">
        <f t="shared" si="17"/>
        <v>866</v>
      </c>
      <c r="AS22" s="706">
        <f t="shared" si="17"/>
        <v>891</v>
      </c>
      <c r="AT22" s="706">
        <f t="shared" si="17"/>
        <v>885</v>
      </c>
      <c r="AU22" s="706">
        <f t="shared" si="17"/>
        <v>3480.1</v>
      </c>
      <c r="AV22" s="706">
        <f t="shared" ref="AV22:BI22" si="18">AV13+AV6</f>
        <v>831</v>
      </c>
      <c r="AW22" s="706">
        <f t="shared" si="18"/>
        <v>875</v>
      </c>
      <c r="AX22" s="706">
        <f t="shared" si="18"/>
        <v>856</v>
      </c>
      <c r="AY22" s="706">
        <f t="shared" si="18"/>
        <v>912</v>
      </c>
      <c r="AZ22" s="706">
        <f t="shared" si="18"/>
        <v>3474</v>
      </c>
      <c r="BA22" s="706">
        <f t="shared" si="18"/>
        <v>871</v>
      </c>
      <c r="BB22" s="706">
        <f t="shared" si="18"/>
        <v>961</v>
      </c>
      <c r="BC22" s="706">
        <f t="shared" si="18"/>
        <v>927</v>
      </c>
      <c r="BD22" s="706">
        <f t="shared" si="18"/>
        <v>948</v>
      </c>
      <c r="BE22" s="706">
        <f t="shared" si="18"/>
        <v>3707</v>
      </c>
      <c r="BF22" s="706">
        <f t="shared" si="18"/>
        <v>929</v>
      </c>
      <c r="BG22" s="706">
        <f t="shared" si="18"/>
        <v>1019.4</v>
      </c>
      <c r="BH22" s="706">
        <f t="shared" si="18"/>
        <v>1045</v>
      </c>
      <c r="BI22" s="706">
        <f t="shared" si="18"/>
        <v>1122</v>
      </c>
      <c r="BJ22" s="706">
        <f>BE22*(1+BJ26)</f>
        <v>3955.6272308578004</v>
      </c>
      <c r="BK22" s="696">
        <f>BJ22*(1+BK26)</f>
        <v>4219.032947723188</v>
      </c>
      <c r="BL22" s="696">
        <f t="shared" ref="BL22:BW22" si="19">BK22*(1+BL26)</f>
        <v>4499.9788845405765</v>
      </c>
      <c r="BM22" s="696">
        <f t="shared" si="19"/>
        <v>4799.6330467717517</v>
      </c>
      <c r="BN22" s="696">
        <f t="shared" si="19"/>
        <v>5119.2412175097097</v>
      </c>
      <c r="BO22" s="696">
        <f t="shared" si="19"/>
        <v>5460.1321367009423</v>
      </c>
      <c r="BP22" s="696">
        <f t="shared" si="19"/>
        <v>5823.7230252527852</v>
      </c>
      <c r="BQ22" s="696">
        <f t="shared" si="19"/>
        <v>6211.5254769917765</v>
      </c>
      <c r="BR22" s="696">
        <f t="shared" si="19"/>
        <v>6625.1517429682672</v>
      </c>
      <c r="BS22" s="696">
        <f t="shared" si="19"/>
        <v>7066.3214342336632</v>
      </c>
      <c r="BT22" s="696">
        <f t="shared" si="19"/>
        <v>7536.8686709564563</v>
      </c>
      <c r="BU22" s="696">
        <f t="shared" si="19"/>
        <v>8038.7497075987922</v>
      </c>
      <c r="BV22" s="696">
        <f t="shared" si="19"/>
        <v>8574.0510658545099</v>
      </c>
      <c r="BW22" s="696">
        <f t="shared" si="19"/>
        <v>9144.9982091605507</v>
      </c>
    </row>
    <row r="23" spans="2:75">
      <c r="B23" s="698" t="s">
        <v>184</v>
      </c>
      <c r="C23" s="700">
        <f>C22+C21</f>
        <v>0</v>
      </c>
      <c r="D23" s="700">
        <f t="shared" ref="D23:AP23" si="20">D22+D21</f>
        <v>10</v>
      </c>
      <c r="E23" s="700">
        <f t="shared" si="20"/>
        <v>153</v>
      </c>
      <c r="F23" s="700">
        <f t="shared" si="20"/>
        <v>217</v>
      </c>
      <c r="G23" s="700">
        <f t="shared" si="20"/>
        <v>380</v>
      </c>
      <c r="H23" s="700">
        <f t="shared" si="20"/>
        <v>211</v>
      </c>
      <c r="I23" s="700">
        <f t="shared" si="20"/>
        <v>209</v>
      </c>
      <c r="J23" s="700">
        <f t="shared" si="20"/>
        <v>198</v>
      </c>
      <c r="K23" s="700">
        <f t="shared" si="20"/>
        <v>197</v>
      </c>
      <c r="L23" s="700">
        <f t="shared" si="20"/>
        <v>815</v>
      </c>
      <c r="M23" s="700">
        <f t="shared" si="20"/>
        <v>198</v>
      </c>
      <c r="N23" s="700">
        <f t="shared" si="20"/>
        <v>216</v>
      </c>
      <c r="O23" s="700">
        <f t="shared" si="20"/>
        <v>225</v>
      </c>
      <c r="P23" s="700">
        <f t="shared" si="20"/>
        <v>236</v>
      </c>
      <c r="Q23" s="700">
        <f t="shared" si="20"/>
        <v>875</v>
      </c>
      <c r="R23" s="700">
        <f t="shared" si="20"/>
        <v>238.80860652272878</v>
      </c>
      <c r="S23" s="700">
        <f t="shared" si="20"/>
        <v>250.90010788404882</v>
      </c>
      <c r="T23" s="700">
        <f t="shared" si="20"/>
        <v>276.77109179292131</v>
      </c>
      <c r="U23" s="700">
        <f t="shared" si="20"/>
        <v>321.88274336716091</v>
      </c>
      <c r="V23" s="700">
        <f t="shared" si="20"/>
        <v>1088.3625495668598</v>
      </c>
      <c r="W23" s="700">
        <f t="shared" si="20"/>
        <v>309.07333450115374</v>
      </c>
      <c r="X23" s="700">
        <f t="shared" si="20"/>
        <v>346.12208711369072</v>
      </c>
      <c r="Y23" s="700">
        <f t="shared" si="20"/>
        <v>372.17164090864156</v>
      </c>
      <c r="Z23" s="700">
        <f t="shared" si="20"/>
        <v>387.02099265512174</v>
      </c>
      <c r="AA23" s="700">
        <f t="shared" si="20"/>
        <v>1414.3880551786078</v>
      </c>
      <c r="AB23" s="700">
        <f t="shared" si="20"/>
        <v>416.33727284217099</v>
      </c>
      <c r="AC23" s="700">
        <f t="shared" si="20"/>
        <v>433.24552226770896</v>
      </c>
      <c r="AD23" s="700">
        <f t="shared" si="20"/>
        <v>435.41804377224844</v>
      </c>
      <c r="AE23" s="700">
        <f t="shared" si="20"/>
        <v>458.051198345854</v>
      </c>
      <c r="AF23" s="700">
        <f t="shared" si="20"/>
        <v>1743.0520372279825</v>
      </c>
      <c r="AG23" s="700">
        <f t="shared" si="20"/>
        <v>1108.9258718910658</v>
      </c>
      <c r="AH23" s="700">
        <f t="shared" si="20"/>
        <v>1182.4820208375015</v>
      </c>
      <c r="AI23" s="700">
        <f t="shared" si="20"/>
        <v>1219.6085027808431</v>
      </c>
      <c r="AJ23" s="700">
        <f t="shared" si="20"/>
        <v>1324.2850796710684</v>
      </c>
      <c r="AK23" s="700">
        <f t="shared" si="20"/>
        <v>4835.3014751804785</v>
      </c>
      <c r="AL23" s="700">
        <f t="shared" si="20"/>
        <v>1397.4643538982818</v>
      </c>
      <c r="AM23" s="700">
        <f t="shared" si="20"/>
        <v>1493.5457512548944</v>
      </c>
      <c r="AN23" s="700">
        <f t="shared" si="20"/>
        <v>1531.7329948308466</v>
      </c>
      <c r="AO23" s="700">
        <f t="shared" si="20"/>
        <v>1700.9579979870921</v>
      </c>
      <c r="AP23" s="700">
        <f t="shared" si="20"/>
        <v>6123.7010979711149</v>
      </c>
      <c r="AQ23" s="700">
        <f t="shared" ref="AQ23:AU23" si="21">AQ22+AQ21</f>
        <v>1652.8772850455778</v>
      </c>
      <c r="AR23" s="700">
        <f t="shared" si="21"/>
        <v>1746.5215947217525</v>
      </c>
      <c r="AS23" s="700">
        <f t="shared" si="21"/>
        <v>1809.240497749362</v>
      </c>
      <c r="AT23" s="700">
        <f t="shared" si="21"/>
        <v>1859.5344506088304</v>
      </c>
      <c r="AU23" s="700">
        <f t="shared" si="21"/>
        <v>7068.173828125522</v>
      </c>
      <c r="AV23" s="700">
        <f t="shared" ref="AV23:BW23" si="22">AV22+AV21</f>
        <v>1785.6511891596792</v>
      </c>
      <c r="AW23" s="700">
        <f t="shared" si="22"/>
        <v>1928.2945205649196</v>
      </c>
      <c r="AX23" s="700">
        <f t="shared" si="22"/>
        <v>1976.808950600107</v>
      </c>
      <c r="AY23" s="700">
        <f t="shared" si="22"/>
        <v>2039.5811389894156</v>
      </c>
      <c r="AZ23" s="700">
        <f t="shared" si="22"/>
        <v>7730.3357993141217</v>
      </c>
      <c r="BA23" s="700">
        <f t="shared" si="22"/>
        <v>2009.3204389304142</v>
      </c>
      <c r="BB23" s="700">
        <f t="shared" si="22"/>
        <v>2151.528554018736</v>
      </c>
      <c r="BC23" s="700">
        <f t="shared" si="22"/>
        <v>2163.2167753200683</v>
      </c>
      <c r="BD23" s="700">
        <f t="shared" si="22"/>
        <v>2134.8533314141896</v>
      </c>
      <c r="BE23" s="700">
        <f t="shared" si="22"/>
        <v>8458.9190996834077</v>
      </c>
      <c r="BF23" s="700">
        <f t="shared" si="22"/>
        <v>2173.4000106231297</v>
      </c>
      <c r="BG23" s="700">
        <f t="shared" si="22"/>
        <v>2278.8203818428506</v>
      </c>
      <c r="BH23" s="700">
        <f t="shared" si="22"/>
        <v>2412.6716870694145</v>
      </c>
      <c r="BI23" s="700">
        <f t="shared" si="22"/>
        <v>2388.9271006672088</v>
      </c>
      <c r="BJ23" s="700">
        <f t="shared" si="22"/>
        <v>9111.4594540142971</v>
      </c>
      <c r="BK23" s="700">
        <f t="shared" si="22"/>
        <v>9735.7734265006402</v>
      </c>
      <c r="BL23" s="700">
        <f t="shared" si="22"/>
        <v>10375.307494438563</v>
      </c>
      <c r="BM23" s="700">
        <f t="shared" si="22"/>
        <v>11056.858016313106</v>
      </c>
      <c r="BN23" s="700">
        <f t="shared" si="22"/>
        <v>11783.185810071252</v>
      </c>
      <c r="BO23" s="700">
        <f t="shared" si="22"/>
        <v>12557.233127778985</v>
      </c>
      <c r="BP23" s="700">
        <f t="shared" si="22"/>
        <v>13382.135580750901</v>
      </c>
      <c r="BQ23" s="700">
        <f t="shared" si="22"/>
        <v>14261.234848597269</v>
      </c>
      <c r="BR23" s="700">
        <f t="shared" si="22"/>
        <v>15198.092223728116</v>
      </c>
      <c r="BS23" s="700">
        <f t="shared" si="22"/>
        <v>16196.503046242902</v>
      </c>
      <c r="BT23" s="700">
        <f t="shared" si="22"/>
        <v>17260.512087746294</v>
      </c>
      <c r="BU23" s="700">
        <f t="shared" si="22"/>
        <v>18394.42994647997</v>
      </c>
      <c r="BV23" s="700">
        <f t="shared" si="22"/>
        <v>19602.850520262964</v>
      </c>
      <c r="BW23" s="700">
        <f t="shared" si="22"/>
        <v>20890.669628105556</v>
      </c>
    </row>
    <row r="24" spans="2:75">
      <c r="B24" s="791"/>
      <c r="C24" s="792"/>
      <c r="D24" s="792"/>
      <c r="E24" s="792"/>
      <c r="F24" s="792"/>
      <c r="G24" s="792"/>
      <c r="H24" s="792"/>
      <c r="I24" s="792"/>
      <c r="J24" s="792"/>
      <c r="K24" s="792"/>
      <c r="L24" s="792"/>
      <c r="M24" s="792"/>
      <c r="N24" s="792"/>
      <c r="O24" s="792"/>
      <c r="P24" s="792"/>
      <c r="Q24" s="792"/>
      <c r="R24" s="792"/>
      <c r="S24" s="792"/>
      <c r="T24" s="792"/>
      <c r="U24" s="792"/>
      <c r="V24" s="792"/>
      <c r="W24" s="792"/>
      <c r="X24" s="792"/>
      <c r="Y24" s="792"/>
      <c r="Z24" s="792"/>
      <c r="AA24" s="792"/>
      <c r="AB24" s="792"/>
      <c r="AC24" s="792"/>
      <c r="AD24" s="792"/>
      <c r="AE24" s="792"/>
      <c r="AF24" s="792"/>
      <c r="AG24" s="792"/>
      <c r="AH24" s="792"/>
      <c r="AI24" s="792"/>
      <c r="AJ24" s="792"/>
      <c r="AK24" s="792"/>
      <c r="AL24" s="792"/>
      <c r="AM24" s="792"/>
      <c r="AN24" s="792"/>
      <c r="AO24" s="792"/>
      <c r="AP24" s="792"/>
      <c r="AQ24" s="792"/>
      <c r="AR24" s="792"/>
      <c r="AS24" s="792"/>
      <c r="AT24" s="792"/>
      <c r="AU24" s="792"/>
      <c r="AV24" s="792"/>
      <c r="AW24" s="792"/>
      <c r="AX24" s="792"/>
      <c r="AY24" s="792"/>
      <c r="AZ24" s="792"/>
      <c r="BA24" s="792"/>
      <c r="BB24" s="792"/>
      <c r="BC24" s="792"/>
      <c r="BD24" s="792"/>
      <c r="BE24" s="792"/>
      <c r="BF24" s="792"/>
      <c r="BG24" s="792"/>
      <c r="BH24" s="792"/>
      <c r="BI24" s="792"/>
      <c r="BJ24" s="792"/>
    </row>
    <row r="25" spans="2:75">
      <c r="B25" s="474" t="s">
        <v>225</v>
      </c>
      <c r="C25" s="706"/>
      <c r="D25" s="706"/>
      <c r="E25" s="706"/>
      <c r="F25" s="706"/>
      <c r="G25" s="706"/>
      <c r="H25" s="793" t="e">
        <f>H21/C21-1</f>
        <v>#DIV/0!</v>
      </c>
      <c r="I25" s="793">
        <f t="shared" ref="I25:AU27" si="23">I21/D21-1</f>
        <v>19.899999999999999</v>
      </c>
      <c r="J25" s="793">
        <f t="shared" si="23"/>
        <v>0.29411764705882359</v>
      </c>
      <c r="K25" s="793">
        <f t="shared" si="23"/>
        <v>-9.2165898617511566E-2</v>
      </c>
      <c r="L25" s="793">
        <f t="shared" si="23"/>
        <v>1.1447368421052633</v>
      </c>
      <c r="M25" s="793">
        <f t="shared" si="23"/>
        <v>-6.1611374407582908E-2</v>
      </c>
      <c r="N25" s="793">
        <f t="shared" si="23"/>
        <v>3.3492822966507241E-2</v>
      </c>
      <c r="O25" s="793">
        <f t="shared" si="23"/>
        <v>0.13636363636363646</v>
      </c>
      <c r="P25" s="793">
        <f t="shared" si="23"/>
        <v>0.19796954314720816</v>
      </c>
      <c r="Q25" s="793">
        <f t="shared" si="23"/>
        <v>7.361963190184051E-2</v>
      </c>
      <c r="R25" s="793">
        <f t="shared" si="23"/>
        <v>0.20610407334711511</v>
      </c>
      <c r="S25" s="793">
        <f t="shared" si="23"/>
        <v>0.16157457353726312</v>
      </c>
      <c r="T25" s="793">
        <f t="shared" si="23"/>
        <v>0.23009374130187243</v>
      </c>
      <c r="U25" s="793">
        <f t="shared" si="23"/>
        <v>0.36390992952186818</v>
      </c>
      <c r="V25" s="793">
        <f t="shared" si="23"/>
        <v>0.243842913790697</v>
      </c>
      <c r="W25" s="793">
        <f t="shared" si="23"/>
        <v>0.29423030016188911</v>
      </c>
      <c r="X25" s="793">
        <f t="shared" si="23"/>
        <v>0.37952147582833184</v>
      </c>
      <c r="Y25" s="793">
        <f t="shared" si="23"/>
        <v>0.34469116155779167</v>
      </c>
      <c r="Z25" s="793">
        <f t="shared" si="23"/>
        <v>0.20236639158272562</v>
      </c>
      <c r="AA25" s="793">
        <f t="shared" si="23"/>
        <v>0.29955597584784388</v>
      </c>
      <c r="AB25" s="793">
        <f t="shared" si="23"/>
        <v>0.34705012166171478</v>
      </c>
      <c r="AC25" s="793">
        <f t="shared" si="23"/>
        <v>0.25171301802938917</v>
      </c>
      <c r="AD25" s="793">
        <f t="shared" si="23"/>
        <v>0.16993880218598445</v>
      </c>
      <c r="AE25" s="793">
        <f t="shared" si="23"/>
        <v>0.18353062763711114</v>
      </c>
      <c r="AF25" s="793">
        <f t="shared" si="23"/>
        <v>0.23237185922633596</v>
      </c>
      <c r="AG25" s="793">
        <f t="shared" si="23"/>
        <v>0.30165110654530336</v>
      </c>
      <c r="AH25" s="793">
        <f t="shared" si="23"/>
        <v>0.33522908167542176</v>
      </c>
      <c r="AI25" s="793">
        <f t="shared" si="23"/>
        <v>0.43909631615679978</v>
      </c>
      <c r="AJ25" s="793">
        <f t="shared" si="23"/>
        <v>0.46552412065563686</v>
      </c>
      <c r="AK25" s="793">
        <f t="shared" si="23"/>
        <v>0.38739488181107973</v>
      </c>
      <c r="AL25" s="793">
        <f t="shared" si="23"/>
        <v>0.35897618493165595</v>
      </c>
      <c r="AM25" s="793">
        <f t="shared" si="23"/>
        <v>0.41931075068887957</v>
      </c>
      <c r="AN25" s="793">
        <f t="shared" si="23"/>
        <v>0.31778134379968281</v>
      </c>
      <c r="AO25" s="793">
        <f t="shared" si="23"/>
        <v>0.32128364661658204</v>
      </c>
      <c r="AP25" s="793">
        <f t="shared" si="23"/>
        <v>0.35227188650127217</v>
      </c>
      <c r="AQ25" s="793">
        <f t="shared" si="23"/>
        <v>0.10633634979448336</v>
      </c>
      <c r="AR25" s="793">
        <f t="shared" si="23"/>
        <v>7.2439134330766208E-2</v>
      </c>
      <c r="AS25" s="793">
        <f t="shared" si="23"/>
        <v>0.11203076962846303</v>
      </c>
      <c r="AT25" s="793">
        <f t="shared" si="23"/>
        <v>9.8737993028405802E-2</v>
      </c>
      <c r="AU25" s="793">
        <f t="shared" si="23"/>
        <v>9.7202808216173997E-2</v>
      </c>
      <c r="AV25" s="793">
        <f t="shared" ref="AV25:AV27" si="24">AV21/AQ21-1</f>
        <v>0.17167133483142827</v>
      </c>
      <c r="AW25" s="793">
        <f t="shared" ref="AW25:AW27" si="25">AW21/AR21-1</f>
        <v>0.196216568541699</v>
      </c>
      <c r="AX25" s="793">
        <f t="shared" ref="AX25:AX27" si="26">AX21/AS21-1</f>
        <v>0.22060500854323783</v>
      </c>
      <c r="AY25" s="793">
        <f t="shared" ref="AY25:AY27" si="27">AY21/AT21-1</f>
        <v>0.15704594977116604</v>
      </c>
      <c r="AZ25" s="793">
        <f t="shared" ref="AZ25:AZ27" si="28">AZ21/AU21-1</f>
        <v>0.18624532359126844</v>
      </c>
      <c r="BA25" s="793">
        <f t="shared" ref="BA25:BA27" si="29">BA21/AV21-1</f>
        <v>0.19239409310578415</v>
      </c>
      <c r="BB25" s="793">
        <f t="shared" ref="BB25:BB27" si="30">BB21/AW21-1</f>
        <v>0.13029027567732232</v>
      </c>
      <c r="BC25" s="793">
        <f t="shared" ref="BC25:BC27" si="31">BC21/AX21-1</f>
        <v>0.10296832895398378</v>
      </c>
      <c r="BD25" s="793">
        <f t="shared" ref="BD25:BD27" si="32">BD21/AY21-1</f>
        <v>5.2565789170521127E-2</v>
      </c>
      <c r="BE25" s="793">
        <f t="shared" ref="BE25:BE27" si="33">BE21/AZ21-1</f>
        <v>0.11643425794768025</v>
      </c>
      <c r="BF25" s="793">
        <f t="shared" ref="BF25:BF27" si="34">BF21/BA21-1</f>
        <v>9.318955196165124E-2</v>
      </c>
      <c r="BG25" s="793">
        <f t="shared" ref="BG25:BG27" si="35">BG21/BB21-1</f>
        <v>5.7866590088548442E-2</v>
      </c>
      <c r="BH25" s="793">
        <f t="shared" ref="BH25:BH27" si="36">BH21/BC21-1</f>
        <v>0.10633645682029469</v>
      </c>
      <c r="BI25" s="793">
        <f t="shared" ref="BI25:BI27" si="37">BI21/BD21-1</f>
        <v>6.7467282716060506E-2</v>
      </c>
      <c r="BJ25" s="1033">
        <v>8.5000000000000006E-2</v>
      </c>
      <c r="BK25" s="661">
        <v>7.0000000000000007E-2</v>
      </c>
      <c r="BL25" s="705">
        <v>6.5000000000000002E-2</v>
      </c>
      <c r="BM25" s="705">
        <f t="shared" ref="BM25:BW25" si="38">BL25</f>
        <v>6.5000000000000002E-2</v>
      </c>
      <c r="BN25" s="705">
        <f t="shared" si="38"/>
        <v>6.5000000000000002E-2</v>
      </c>
      <c r="BO25" s="705">
        <f t="shared" si="38"/>
        <v>6.5000000000000002E-2</v>
      </c>
      <c r="BP25" s="705">
        <f t="shared" si="38"/>
        <v>6.5000000000000002E-2</v>
      </c>
      <c r="BQ25" s="705">
        <f t="shared" si="38"/>
        <v>6.5000000000000002E-2</v>
      </c>
      <c r="BR25" s="705">
        <f t="shared" si="38"/>
        <v>6.5000000000000002E-2</v>
      </c>
      <c r="BS25" s="705">
        <f t="shared" si="38"/>
        <v>6.5000000000000002E-2</v>
      </c>
      <c r="BT25" s="705">
        <f t="shared" si="38"/>
        <v>6.5000000000000002E-2</v>
      </c>
      <c r="BU25" s="705">
        <f t="shared" si="38"/>
        <v>6.5000000000000002E-2</v>
      </c>
      <c r="BV25" s="705">
        <f t="shared" si="38"/>
        <v>6.5000000000000002E-2</v>
      </c>
      <c r="BW25" s="705">
        <f t="shared" si="38"/>
        <v>6.5000000000000002E-2</v>
      </c>
    </row>
    <row r="26" spans="2:75">
      <c r="B26" s="474" t="s">
        <v>600</v>
      </c>
      <c r="C26" s="706"/>
      <c r="D26" s="706"/>
      <c r="E26" s="706"/>
      <c r="F26" s="706"/>
      <c r="G26" s="706"/>
      <c r="H26" s="793" t="e">
        <f t="shared" ref="H26:H27" si="39">H22/C22-1</f>
        <v>#DIV/0!</v>
      </c>
      <c r="I26" s="793" t="e">
        <f t="shared" si="23"/>
        <v>#DIV/0!</v>
      </c>
      <c r="J26" s="793" t="e">
        <f t="shared" si="23"/>
        <v>#DIV/0!</v>
      </c>
      <c r="K26" s="793" t="e">
        <f t="shared" si="23"/>
        <v>#DIV/0!</v>
      </c>
      <c r="L26" s="793" t="str">
        <f>IFERROR(L22/G22-1,"NA")</f>
        <v>NA</v>
      </c>
      <c r="M26" s="793" t="e">
        <f t="shared" si="23"/>
        <v>#DIV/0!</v>
      </c>
      <c r="N26" s="793" t="e">
        <f t="shared" si="23"/>
        <v>#DIV/0!</v>
      </c>
      <c r="O26" s="793" t="e">
        <f t="shared" si="23"/>
        <v>#DIV/0!</v>
      </c>
      <c r="P26" s="793" t="e">
        <f t="shared" si="23"/>
        <v>#DIV/0!</v>
      </c>
      <c r="Q26" s="793" t="str">
        <f t="shared" ref="Q26:AK26" si="40">IFERROR(Q22/L22-1,"NA")</f>
        <v>NA</v>
      </c>
      <c r="R26" s="793" t="str">
        <f t="shared" si="40"/>
        <v>NA</v>
      </c>
      <c r="S26" s="793" t="str">
        <f t="shared" si="40"/>
        <v>NA</v>
      </c>
      <c r="T26" s="793" t="str">
        <f t="shared" si="40"/>
        <v>NA</v>
      </c>
      <c r="U26" s="793" t="str">
        <f t="shared" si="40"/>
        <v>NA</v>
      </c>
      <c r="V26" s="793" t="str">
        <f t="shared" si="40"/>
        <v>NA</v>
      </c>
      <c r="W26" s="793" t="str">
        <f t="shared" si="40"/>
        <v>NA</v>
      </c>
      <c r="X26" s="793" t="str">
        <f t="shared" si="40"/>
        <v>NA</v>
      </c>
      <c r="Y26" s="793" t="str">
        <f t="shared" si="40"/>
        <v>NA</v>
      </c>
      <c r="Z26" s="793" t="str">
        <f t="shared" si="40"/>
        <v>NA</v>
      </c>
      <c r="AA26" s="793" t="str">
        <f t="shared" si="40"/>
        <v>NA</v>
      </c>
      <c r="AB26" s="793" t="str">
        <f t="shared" si="40"/>
        <v>NA</v>
      </c>
      <c r="AC26" s="793" t="str">
        <f t="shared" si="40"/>
        <v>NA</v>
      </c>
      <c r="AD26" s="793" t="str">
        <f t="shared" si="40"/>
        <v>NA</v>
      </c>
      <c r="AE26" s="793" t="str">
        <f t="shared" si="40"/>
        <v>NA</v>
      </c>
      <c r="AF26" s="793" t="str">
        <f t="shared" si="40"/>
        <v>NA</v>
      </c>
      <c r="AG26" s="793" t="str">
        <f t="shared" si="40"/>
        <v>NA</v>
      </c>
      <c r="AH26" s="793" t="str">
        <f t="shared" si="40"/>
        <v>NA</v>
      </c>
      <c r="AI26" s="793" t="str">
        <f t="shared" si="40"/>
        <v>NA</v>
      </c>
      <c r="AJ26" s="793" t="str">
        <f t="shared" si="40"/>
        <v>NA</v>
      </c>
      <c r="AK26" s="793" t="str">
        <f t="shared" si="40"/>
        <v>NA</v>
      </c>
      <c r="AL26" s="793">
        <f t="shared" si="23"/>
        <v>0.16578483245149922</v>
      </c>
      <c r="AM26" s="793">
        <f t="shared" si="23"/>
        <v>0.11341059602649017</v>
      </c>
      <c r="AN26" s="793">
        <f t="shared" si="23"/>
        <v>0.1905564924114671</v>
      </c>
      <c r="AO26" s="793">
        <f t="shared" si="23"/>
        <v>0.24655436447166923</v>
      </c>
      <c r="AP26" s="793">
        <f t="shared" si="23"/>
        <v>0.1805957798924287</v>
      </c>
      <c r="AQ26" s="793">
        <f t="shared" si="23"/>
        <v>0.26792738275340389</v>
      </c>
      <c r="AR26" s="793">
        <f t="shared" si="23"/>
        <v>0.28773234200743492</v>
      </c>
      <c r="AS26" s="793">
        <f t="shared" si="23"/>
        <v>0.26203966005665724</v>
      </c>
      <c r="AT26" s="793">
        <f t="shared" si="23"/>
        <v>8.722358722358714E-2</v>
      </c>
      <c r="AU26" s="793">
        <f t="shared" si="23"/>
        <v>0.21958997722095663</v>
      </c>
      <c r="AV26" s="793">
        <f t="shared" si="24"/>
        <v>-8.471542775325136E-3</v>
      </c>
      <c r="AW26" s="793">
        <f t="shared" si="25"/>
        <v>1.0392609699769073E-2</v>
      </c>
      <c r="AX26" s="793">
        <f t="shared" si="26"/>
        <v>-3.9281705948372658E-2</v>
      </c>
      <c r="AY26" s="793">
        <f t="shared" si="27"/>
        <v>3.050847457627115E-2</v>
      </c>
      <c r="AZ26" s="793">
        <f t="shared" si="28"/>
        <v>-1.7528231947357975E-3</v>
      </c>
      <c r="BA26" s="793">
        <f t="shared" si="29"/>
        <v>4.8134777376654725E-2</v>
      </c>
      <c r="BB26" s="793">
        <f t="shared" si="30"/>
        <v>9.828571428571431E-2</v>
      </c>
      <c r="BC26" s="793">
        <f t="shared" si="31"/>
        <v>8.29439252336448E-2</v>
      </c>
      <c r="BD26" s="793">
        <f t="shared" si="32"/>
        <v>3.9473684210526327E-2</v>
      </c>
      <c r="BE26" s="793">
        <f t="shared" si="33"/>
        <v>6.7069660333908931E-2</v>
      </c>
      <c r="BF26" s="793">
        <f t="shared" si="34"/>
        <v>6.6590126291618867E-2</v>
      </c>
      <c r="BG26" s="793">
        <f t="shared" si="35"/>
        <v>6.0770031217481701E-2</v>
      </c>
      <c r="BH26" s="793">
        <f t="shared" si="36"/>
        <v>0.12729234088457386</v>
      </c>
      <c r="BI26" s="793">
        <f t="shared" si="37"/>
        <v>0.18354430379746844</v>
      </c>
      <c r="BJ26" s="793">
        <f>BE26</f>
        <v>6.7069660333908931E-2</v>
      </c>
      <c r="BK26" s="705">
        <f>BF26</f>
        <v>6.6590126291618867E-2</v>
      </c>
      <c r="BL26" s="705">
        <f>BK26</f>
        <v>6.6590126291618867E-2</v>
      </c>
      <c r="BM26" s="705">
        <f t="shared" ref="BM26:BW26" si="41">BL26</f>
        <v>6.6590126291618867E-2</v>
      </c>
      <c r="BN26" s="705">
        <f t="shared" si="41"/>
        <v>6.6590126291618867E-2</v>
      </c>
      <c r="BO26" s="705">
        <f t="shared" si="41"/>
        <v>6.6590126291618867E-2</v>
      </c>
      <c r="BP26" s="705">
        <f t="shared" si="41"/>
        <v>6.6590126291618867E-2</v>
      </c>
      <c r="BQ26" s="705">
        <f t="shared" si="41"/>
        <v>6.6590126291618867E-2</v>
      </c>
      <c r="BR26" s="705">
        <f t="shared" si="41"/>
        <v>6.6590126291618867E-2</v>
      </c>
      <c r="BS26" s="705">
        <f t="shared" si="41"/>
        <v>6.6590126291618867E-2</v>
      </c>
      <c r="BT26" s="705">
        <f t="shared" si="41"/>
        <v>6.6590126291618867E-2</v>
      </c>
      <c r="BU26" s="705">
        <f t="shared" si="41"/>
        <v>6.6590126291618867E-2</v>
      </c>
      <c r="BV26" s="705">
        <f t="shared" si="41"/>
        <v>6.6590126291618867E-2</v>
      </c>
      <c r="BW26" s="705">
        <f t="shared" si="41"/>
        <v>6.6590126291618867E-2</v>
      </c>
    </row>
    <row r="27" spans="2:75">
      <c r="B27" s="698" t="s">
        <v>184</v>
      </c>
      <c r="C27" s="700"/>
      <c r="D27" s="700"/>
      <c r="E27" s="700"/>
      <c r="F27" s="700"/>
      <c r="G27" s="700"/>
      <c r="H27" s="794" t="e">
        <f t="shared" si="39"/>
        <v>#DIV/0!</v>
      </c>
      <c r="I27" s="794">
        <f t="shared" si="23"/>
        <v>19.899999999999999</v>
      </c>
      <c r="J27" s="794">
        <f t="shared" si="23"/>
        <v>0.29411764705882359</v>
      </c>
      <c r="K27" s="794">
        <f t="shared" si="23"/>
        <v>-9.2165898617511566E-2</v>
      </c>
      <c r="L27" s="794">
        <f t="shared" si="23"/>
        <v>1.1447368421052633</v>
      </c>
      <c r="M27" s="794">
        <f t="shared" si="23"/>
        <v>-6.1611374407582908E-2</v>
      </c>
      <c r="N27" s="794">
        <f t="shared" si="23"/>
        <v>3.3492822966507241E-2</v>
      </c>
      <c r="O27" s="794">
        <f t="shared" si="23"/>
        <v>0.13636363636363646</v>
      </c>
      <c r="P27" s="794">
        <f t="shared" si="23"/>
        <v>0.19796954314720816</v>
      </c>
      <c r="Q27" s="794">
        <f t="shared" si="23"/>
        <v>7.361963190184051E-2</v>
      </c>
      <c r="R27" s="794">
        <f t="shared" si="23"/>
        <v>0.20610407334711511</v>
      </c>
      <c r="S27" s="794">
        <f t="shared" si="23"/>
        <v>0.16157457353726312</v>
      </c>
      <c r="T27" s="794">
        <f t="shared" si="23"/>
        <v>0.23009374130187243</v>
      </c>
      <c r="U27" s="794">
        <f t="shared" si="23"/>
        <v>0.36390992952186818</v>
      </c>
      <c r="V27" s="794">
        <f t="shared" si="23"/>
        <v>0.243842913790697</v>
      </c>
      <c r="W27" s="794">
        <f t="shared" si="23"/>
        <v>0.29423030016188911</v>
      </c>
      <c r="X27" s="794">
        <f t="shared" si="23"/>
        <v>0.37952147582833184</v>
      </c>
      <c r="Y27" s="794">
        <f t="shared" si="23"/>
        <v>0.34469116155779167</v>
      </c>
      <c r="Z27" s="794">
        <f t="shared" si="23"/>
        <v>0.20236639158272562</v>
      </c>
      <c r="AA27" s="794">
        <f t="shared" si="23"/>
        <v>0.29955597584784388</v>
      </c>
      <c r="AB27" s="794">
        <f t="shared" si="23"/>
        <v>0.34705012166171478</v>
      </c>
      <c r="AC27" s="794">
        <f t="shared" si="23"/>
        <v>0.25171301802938917</v>
      </c>
      <c r="AD27" s="794">
        <f t="shared" si="23"/>
        <v>0.16993880218598445</v>
      </c>
      <c r="AE27" s="794">
        <f t="shared" si="23"/>
        <v>0.18353062763711114</v>
      </c>
      <c r="AF27" s="794">
        <f t="shared" si="23"/>
        <v>0.23237185922633596</v>
      </c>
      <c r="AG27" s="794">
        <f t="shared" si="23"/>
        <v>1.6635277315453032</v>
      </c>
      <c r="AH27" s="794">
        <f t="shared" si="23"/>
        <v>1.7293577430370486</v>
      </c>
      <c r="AI27" s="794">
        <f t="shared" si="23"/>
        <v>1.8010058844019254</v>
      </c>
      <c r="AJ27" s="794">
        <f t="shared" si="23"/>
        <v>1.8911289490201484</v>
      </c>
      <c r="AK27" s="794">
        <f t="shared" si="23"/>
        <v>1.7740430990632814</v>
      </c>
      <c r="AL27" s="794">
        <f t="shared" si="23"/>
        <v>0.26019636597996199</v>
      </c>
      <c r="AM27" s="794">
        <f t="shared" si="23"/>
        <v>0.26306000847021727</v>
      </c>
      <c r="AN27" s="794">
        <f t="shared" si="23"/>
        <v>0.25592187274713551</v>
      </c>
      <c r="AO27" s="794">
        <f t="shared" si="23"/>
        <v>0.28443491820475941</v>
      </c>
      <c r="AP27" s="794">
        <f t="shared" si="23"/>
        <v>0.26645693746376931</v>
      </c>
      <c r="AQ27" s="794">
        <f t="shared" si="23"/>
        <v>0.18276883444991743</v>
      </c>
      <c r="AR27" s="794">
        <f t="shared" si="23"/>
        <v>0.16937937338330933</v>
      </c>
      <c r="AS27" s="794">
        <f t="shared" si="23"/>
        <v>0.18117224337075877</v>
      </c>
      <c r="AT27" s="794">
        <f t="shared" si="23"/>
        <v>9.3227729790739788E-2</v>
      </c>
      <c r="AU27" s="794">
        <f t="shared" si="23"/>
        <v>0.15423233679176906</v>
      </c>
      <c r="AV27" s="794">
        <f t="shared" si="24"/>
        <v>8.0328954433202426E-2</v>
      </c>
      <c r="AW27" s="794">
        <f t="shared" si="25"/>
        <v>0.10407711327046387</v>
      </c>
      <c r="AX27" s="794">
        <f t="shared" si="26"/>
        <v>9.2618119624889417E-2</v>
      </c>
      <c r="AY27" s="794">
        <f t="shared" si="27"/>
        <v>9.6823529309519429E-2</v>
      </c>
      <c r="AZ27" s="794">
        <f t="shared" si="28"/>
        <v>9.3682185425850717E-2</v>
      </c>
      <c r="BA27" s="794">
        <f t="shared" si="29"/>
        <v>0.12525920578922967</v>
      </c>
      <c r="BB27" s="794">
        <f t="shared" si="30"/>
        <v>0.11576760244509599</v>
      </c>
      <c r="BC27" s="794">
        <f t="shared" si="31"/>
        <v>9.4297339489166632E-2</v>
      </c>
      <c r="BD27" s="794">
        <f t="shared" si="32"/>
        <v>4.6711646133372309E-2</v>
      </c>
      <c r="BE27" s="794">
        <f t="shared" si="33"/>
        <v>9.4249890209676224E-2</v>
      </c>
      <c r="BF27" s="794">
        <f t="shared" si="34"/>
        <v>8.1659235885768844E-2</v>
      </c>
      <c r="BG27" s="794">
        <f t="shared" si="35"/>
        <v>5.9163438749791242E-2</v>
      </c>
      <c r="BH27" s="794">
        <f t="shared" si="36"/>
        <v>0.11531664999798141</v>
      </c>
      <c r="BI27" s="794">
        <f t="shared" si="37"/>
        <v>0.11901228319264123</v>
      </c>
      <c r="BJ27" s="794">
        <f t="shared" ref="BJ27" si="42">BJ23/BE23-1</f>
        <v>7.7142285750825046E-2</v>
      </c>
      <c r="BK27" s="794">
        <f>BK23/BJ23-1</f>
        <v>6.8519645577886479E-2</v>
      </c>
      <c r="BL27" s="794">
        <f t="shared" ref="BL27:BW27" si="43">BL23/BK23-1</f>
        <v>6.568908703207077E-2</v>
      </c>
      <c r="BM27" s="794">
        <f t="shared" si="43"/>
        <v>6.5689669654597882E-2</v>
      </c>
      <c r="BN27" s="794">
        <f t="shared" si="43"/>
        <v>6.5690252392364368E-2</v>
      </c>
      <c r="BO27" s="794">
        <f t="shared" si="43"/>
        <v>6.5690835244755608E-2</v>
      </c>
      <c r="BP27" s="794">
        <f t="shared" si="43"/>
        <v>6.5691418211156316E-2</v>
      </c>
      <c r="BQ27" s="794">
        <f t="shared" si="43"/>
        <v>6.5692001290950985E-2</v>
      </c>
      <c r="BR27" s="794">
        <f t="shared" si="43"/>
        <v>6.5692584483523664E-2</v>
      </c>
      <c r="BS27" s="794">
        <f t="shared" si="43"/>
        <v>6.5693167788257734E-2</v>
      </c>
      <c r="BT27" s="794">
        <f t="shared" si="43"/>
        <v>6.5693751204536133E-2</v>
      </c>
      <c r="BU27" s="794">
        <f t="shared" si="43"/>
        <v>6.5694334731741577E-2</v>
      </c>
      <c r="BV27" s="794">
        <f t="shared" si="43"/>
        <v>6.5694918369255673E-2</v>
      </c>
      <c r="BW27" s="794">
        <f t="shared" si="43"/>
        <v>6.5695502116460469E-2</v>
      </c>
    </row>
    <row r="28" spans="2:75">
      <c r="B28" s="791"/>
      <c r="C28" s="792"/>
      <c r="D28" s="792"/>
      <c r="E28" s="792"/>
      <c r="F28" s="792"/>
      <c r="G28" s="792"/>
      <c r="H28" s="792"/>
      <c r="I28" s="792"/>
      <c r="J28" s="792"/>
      <c r="K28" s="792"/>
      <c r="L28" s="792"/>
      <c r="M28" s="792"/>
      <c r="N28" s="792"/>
      <c r="O28" s="792"/>
      <c r="P28" s="792"/>
      <c r="Q28" s="792"/>
      <c r="R28" s="792"/>
      <c r="S28" s="792"/>
      <c r="T28" s="792"/>
      <c r="U28" s="792"/>
      <c r="V28" s="792"/>
      <c r="W28" s="792"/>
      <c r="X28" s="792"/>
      <c r="Y28" s="792"/>
      <c r="Z28" s="792"/>
      <c r="AA28" s="792"/>
      <c r="AB28" s="792"/>
      <c r="AC28" s="792"/>
      <c r="AD28" s="792"/>
      <c r="AE28" s="792"/>
      <c r="AF28" s="792"/>
      <c r="AG28" s="792"/>
      <c r="AH28" s="792"/>
      <c r="AI28" s="792"/>
      <c r="AJ28" s="792"/>
      <c r="AK28" s="792"/>
      <c r="AL28" s="792"/>
      <c r="AM28" s="792"/>
      <c r="AN28" s="792"/>
      <c r="AO28" s="792"/>
      <c r="AP28" s="792"/>
      <c r="AQ28" s="792"/>
      <c r="AR28" s="792"/>
      <c r="AS28" s="792"/>
      <c r="AT28" s="792"/>
      <c r="AU28" s="792"/>
    </row>
    <row r="29" spans="2:75" hidden="1" outlineLevel="1">
      <c r="B29" s="791"/>
      <c r="C29" s="792"/>
      <c r="D29" s="792"/>
      <c r="E29" s="792"/>
      <c r="F29" s="792"/>
      <c r="G29" s="792"/>
      <c r="H29" s="792"/>
      <c r="I29" s="792"/>
      <c r="J29" s="792"/>
      <c r="K29" s="792"/>
      <c r="L29" s="792"/>
      <c r="M29" s="792"/>
      <c r="N29" s="792"/>
      <c r="O29" s="792"/>
      <c r="P29" s="792"/>
      <c r="Q29" s="792"/>
      <c r="R29" s="792"/>
      <c r="S29" s="792"/>
      <c r="T29" s="792"/>
      <c r="U29" s="792"/>
      <c r="V29" s="792"/>
      <c r="W29" s="792"/>
      <c r="X29" s="792"/>
      <c r="Y29" s="792"/>
      <c r="Z29" s="792"/>
      <c r="AA29" s="792"/>
      <c r="AB29" s="792"/>
      <c r="AC29" s="792"/>
      <c r="AD29" s="792"/>
      <c r="AE29" s="792"/>
      <c r="AF29" s="792"/>
      <c r="AG29" s="792"/>
      <c r="AH29" s="792"/>
      <c r="AI29" s="792"/>
      <c r="AJ29" s="792"/>
      <c r="AK29" s="792"/>
      <c r="AL29" s="792"/>
      <c r="AM29" s="792"/>
      <c r="AN29" s="792"/>
      <c r="AO29" s="792"/>
      <c r="AP29" s="792"/>
      <c r="AQ29" s="792"/>
      <c r="AR29" s="792"/>
      <c r="AS29" s="792"/>
      <c r="AT29" s="792"/>
      <c r="AU29" s="792"/>
    </row>
    <row r="30" spans="2:75" hidden="1" outlineLevel="1">
      <c r="AK30" s="661"/>
      <c r="AL30" s="661"/>
      <c r="AM30" s="661"/>
      <c r="AN30" s="661"/>
      <c r="AO30" s="661"/>
      <c r="AP30" s="661"/>
      <c r="AQ30" s="661"/>
      <c r="AR30" s="661"/>
      <c r="AS30" s="661"/>
      <c r="AT30" s="661"/>
      <c r="AU30" s="661"/>
    </row>
    <row r="31" spans="2:75" hidden="1" outlineLevel="1"/>
    <row r="32" spans="2:75" hidden="1" outlineLevel="1">
      <c r="C32" s="661"/>
      <c r="D32" s="661"/>
      <c r="E32" s="661"/>
      <c r="F32" s="661"/>
      <c r="G32" s="661"/>
      <c r="H32" s="661"/>
      <c r="I32" s="661"/>
      <c r="J32" s="661"/>
      <c r="K32" s="661"/>
      <c r="L32" s="661"/>
      <c r="M32" s="661"/>
      <c r="N32" s="661"/>
      <c r="O32" s="661"/>
      <c r="P32" s="661"/>
      <c r="Q32" s="661"/>
      <c r="R32" s="484"/>
      <c r="S32" s="484"/>
      <c r="T32" s="484"/>
      <c r="U32" s="484"/>
      <c r="V32" s="484"/>
      <c r="W32" s="484"/>
      <c r="X32" s="484"/>
      <c r="Y32" s="484"/>
      <c r="Z32" s="484"/>
      <c r="AA32" s="484"/>
      <c r="AB32" s="484"/>
      <c r="AC32" s="484"/>
      <c r="AD32" s="484"/>
      <c r="AE32" s="484"/>
      <c r="AF32" s="484"/>
      <c r="AG32" s="484"/>
      <c r="AH32" s="484"/>
      <c r="AI32" s="484"/>
      <c r="AJ32" s="484"/>
      <c r="AK32" s="484"/>
      <c r="AL32" s="484"/>
      <c r="AM32" s="484"/>
      <c r="AN32" s="484"/>
      <c r="AO32" s="484"/>
      <c r="AP32" s="484"/>
    </row>
    <row r="33" spans="2:47" hidden="1" outlineLevel="1">
      <c r="B33" s="559" t="s">
        <v>602</v>
      </c>
      <c r="C33" s="694"/>
      <c r="D33" s="694"/>
      <c r="E33" s="694"/>
      <c r="F33" s="694"/>
      <c r="G33" s="559"/>
      <c r="H33" s="559"/>
      <c r="I33" s="559"/>
      <c r="J33" s="559"/>
      <c r="K33" s="559"/>
      <c r="L33" s="559"/>
      <c r="M33" s="559"/>
      <c r="N33" s="559"/>
      <c r="O33" s="559"/>
      <c r="P33" s="559"/>
      <c r="Q33" s="559"/>
      <c r="R33" s="559"/>
      <c r="S33" s="559"/>
      <c r="T33" s="559"/>
      <c r="U33" s="559"/>
      <c r="V33" s="559"/>
      <c r="W33" s="559"/>
      <c r="X33" s="559"/>
      <c r="Y33" s="559"/>
      <c r="Z33" s="559"/>
      <c r="AA33" s="559"/>
      <c r="AB33" s="559"/>
      <c r="AC33" s="559"/>
      <c r="AD33" s="559"/>
      <c r="AE33" s="559"/>
      <c r="AF33" s="559"/>
      <c r="AG33" s="559"/>
      <c r="AH33" s="559"/>
      <c r="AI33" s="559"/>
      <c r="AJ33" s="559"/>
      <c r="AK33" s="559"/>
      <c r="AL33" s="559"/>
      <c r="AM33" s="559"/>
      <c r="AN33" s="559"/>
      <c r="AO33" s="559"/>
      <c r="AP33" s="559"/>
    </row>
    <row r="34" spans="2:47" hidden="1" outlineLevel="1">
      <c r="B34" s="474" t="s">
        <v>603</v>
      </c>
      <c r="AM34" s="465" t="s">
        <v>604</v>
      </c>
    </row>
    <row r="35" spans="2:47" hidden="1" outlineLevel="1">
      <c r="B35" s="474"/>
      <c r="AM35" s="465" t="s">
        <v>605</v>
      </c>
      <c r="AP35" s="465" t="s">
        <v>643</v>
      </c>
    </row>
    <row r="36" spans="2:47" hidden="1" outlineLevel="1">
      <c r="B36" s="474" t="s">
        <v>198</v>
      </c>
      <c r="AM36" s="465" t="s">
        <v>606</v>
      </c>
      <c r="AP36" s="465" t="s">
        <v>644</v>
      </c>
    </row>
    <row r="37" spans="2:47" hidden="1" outlineLevel="1">
      <c r="B37" s="474" t="s">
        <v>199</v>
      </c>
      <c r="AM37" s="465" t="s">
        <v>607</v>
      </c>
      <c r="AP37" s="465" t="s">
        <v>642</v>
      </c>
    </row>
    <row r="38" spans="2:47" hidden="1" outlineLevel="1"/>
    <row r="39" spans="2:47" hidden="1" outlineLevel="1"/>
    <row r="40" spans="2:47" hidden="1" outlineLevel="1">
      <c r="B40" s="559" t="s">
        <v>630</v>
      </c>
      <c r="C40" s="694"/>
      <c r="D40" s="694"/>
      <c r="E40" s="694"/>
      <c r="F40" s="694"/>
      <c r="G40" s="559"/>
      <c r="H40" s="559"/>
      <c r="I40" s="559"/>
      <c r="J40" s="559"/>
      <c r="K40" s="559"/>
      <c r="L40" s="559"/>
      <c r="M40" s="559"/>
      <c r="N40" s="559"/>
      <c r="O40" s="559"/>
      <c r="P40" s="559"/>
      <c r="Q40" s="559"/>
      <c r="R40" s="559"/>
      <c r="S40" s="559"/>
      <c r="T40" s="559"/>
      <c r="U40" s="559"/>
      <c r="V40" s="559"/>
      <c r="W40" s="559"/>
      <c r="X40" s="559"/>
      <c r="Y40" s="559"/>
      <c r="Z40" s="559"/>
      <c r="AA40" s="559"/>
      <c r="AB40" s="559"/>
      <c r="AC40" s="559"/>
      <c r="AD40" s="559"/>
      <c r="AE40" s="559"/>
      <c r="AF40" s="559"/>
      <c r="AG40" s="559"/>
      <c r="AH40" s="559"/>
      <c r="AI40" s="559"/>
      <c r="AJ40" s="559"/>
      <c r="AK40" s="559"/>
      <c r="AL40" s="559"/>
      <c r="AM40" s="559"/>
      <c r="AN40" s="559"/>
      <c r="AO40" s="559"/>
      <c r="AP40" s="559"/>
    </row>
    <row r="41" spans="2:47" hidden="1" outlineLevel="1">
      <c r="B41" s="474" t="s">
        <v>635</v>
      </c>
      <c r="AI41" s="705">
        <v>0.16</v>
      </c>
      <c r="AK41" s="465" t="s">
        <v>631</v>
      </c>
      <c r="AN41" s="705">
        <v>0.25</v>
      </c>
      <c r="AO41" s="705">
        <v>0.32</v>
      </c>
      <c r="AP41" s="465" t="s">
        <v>796</v>
      </c>
      <c r="AS41" s="705">
        <v>0.42</v>
      </c>
      <c r="AT41" s="705">
        <v>0.43</v>
      </c>
      <c r="AU41" s="705">
        <v>0.41</v>
      </c>
    </row>
    <row r="42" spans="2:47" hidden="1" outlineLevel="1">
      <c r="B42" s="474" t="s">
        <v>603</v>
      </c>
      <c r="AI42" s="705">
        <v>0.84</v>
      </c>
      <c r="AK42" s="465" t="s">
        <v>632</v>
      </c>
      <c r="AN42" s="705">
        <v>0.75</v>
      </c>
      <c r="AO42" s="705">
        <f>1-AO41</f>
        <v>0.67999999999999994</v>
      </c>
      <c r="AP42" s="465" t="s">
        <v>797</v>
      </c>
      <c r="AS42" s="705">
        <v>0.57999999999999996</v>
      </c>
      <c r="AT42" s="705">
        <v>0.56999999999999995</v>
      </c>
      <c r="AU42" s="705">
        <v>0.59</v>
      </c>
    </row>
    <row r="43" spans="2:47" hidden="1" outlineLevel="1">
      <c r="AM43" s="465" t="s">
        <v>640</v>
      </c>
      <c r="AN43" s="465" t="s">
        <v>639</v>
      </c>
    </row>
    <row r="44" spans="2:47" hidden="1" outlineLevel="1"/>
    <row r="45" spans="2:47" hidden="1" outlineLevel="1">
      <c r="AN45" s="465" t="s">
        <v>641</v>
      </c>
    </row>
    <row r="46" spans="2:47" hidden="1" outlineLevel="1"/>
    <row r="47" spans="2:47" hidden="1" outlineLevel="1">
      <c r="AP47" s="465">
        <f>AP22*0.76</f>
        <v>2168.66</v>
      </c>
    </row>
    <row r="48" spans="2:47" hidden="1" outlineLevel="1">
      <c r="AP48" s="696">
        <f>AP6</f>
        <v>470.5</v>
      </c>
    </row>
    <row r="49" spans="2:42" hidden="1" outlineLevel="1">
      <c r="AP49" s="696">
        <f>AP48+AP47</f>
        <v>2639.16</v>
      </c>
    </row>
    <row r="50" spans="2:42" hidden="1" outlineLevel="1"/>
    <row r="51" spans="2:42" hidden="1" outlineLevel="1"/>
    <row r="52" spans="2:42" hidden="1" outlineLevel="1"/>
    <row r="53" spans="2:42" hidden="1" outlineLevel="1"/>
    <row r="54" spans="2:42" hidden="1" outlineLevel="1"/>
    <row r="55" spans="2:42" hidden="1" outlineLevel="1">
      <c r="B55" s="465" t="s">
        <v>617</v>
      </c>
      <c r="E55" s="693">
        <v>2009</v>
      </c>
      <c r="F55" s="693">
        <v>2010</v>
      </c>
      <c r="G55" s="465">
        <v>2011</v>
      </c>
      <c r="H55" s="693">
        <v>2012</v>
      </c>
      <c r="I55" s="693">
        <v>2013</v>
      </c>
      <c r="J55" s="693">
        <v>2014</v>
      </c>
    </row>
    <row r="56" spans="2:42" hidden="1" outlineLevel="1">
      <c r="D56" s="693" t="s">
        <v>548</v>
      </c>
      <c r="E56" s="693">
        <v>1.123505</v>
      </c>
      <c r="F56" s="693">
        <v>1.0350159999999999</v>
      </c>
      <c r="G56" s="465">
        <v>0.95588799999999996</v>
      </c>
      <c r="H56" s="465">
        <v>0.93870699999999996</v>
      </c>
      <c r="I56" s="465">
        <v>0.92388599999999999</v>
      </c>
      <c r="J56" s="465">
        <v>0.90354000000000001</v>
      </c>
    </row>
    <row r="57" spans="2:42" hidden="1" outlineLevel="1">
      <c r="D57" s="693" t="s">
        <v>549</v>
      </c>
      <c r="E57" s="693">
        <v>1.1630640000000001</v>
      </c>
      <c r="F57" s="693">
        <v>1.0729219999999999</v>
      </c>
      <c r="G57" s="465">
        <v>0.94994699999999999</v>
      </c>
      <c r="H57" s="465">
        <v>0.91200700000000001</v>
      </c>
      <c r="I57" s="465">
        <v>0.92085700000000004</v>
      </c>
      <c r="J57" s="465">
        <v>0.89500000000000002</v>
      </c>
    </row>
    <row r="58" spans="2:42" hidden="1" outlineLevel="1">
      <c r="D58" s="693" t="s">
        <v>550</v>
      </c>
      <c r="E58" s="693">
        <v>1.155518</v>
      </c>
      <c r="F58" s="693">
        <v>1.066066</v>
      </c>
      <c r="G58" s="465">
        <v>0.918798</v>
      </c>
      <c r="H58" s="465">
        <v>0.91293400000000002</v>
      </c>
      <c r="I58" s="465">
        <v>0.946025</v>
      </c>
      <c r="J58" s="465">
        <v>0.88039999999999996</v>
      </c>
    </row>
    <row r="59" spans="2:42" hidden="1" outlineLevel="1">
      <c r="D59" s="693" t="s">
        <v>618</v>
      </c>
      <c r="E59" s="693">
        <v>1.1480079999999999</v>
      </c>
      <c r="F59" s="693">
        <v>1.067822</v>
      </c>
      <c r="G59" s="465">
        <v>0.89737800000000001</v>
      </c>
      <c r="H59" s="465">
        <v>0.91293500000000005</v>
      </c>
      <c r="I59" s="465">
        <v>0.93654199999999999</v>
      </c>
      <c r="J59" s="465">
        <f>1/1.132543</f>
        <v>0.88296868198381862</v>
      </c>
    </row>
    <row r="60" spans="2:42" hidden="1" outlineLevel="1">
      <c r="D60" s="693" t="s">
        <v>552</v>
      </c>
      <c r="E60" s="693">
        <v>1.106376</v>
      </c>
      <c r="F60" s="693">
        <v>1.0129139</v>
      </c>
      <c r="G60" s="465">
        <v>0.873166</v>
      </c>
      <c r="H60" s="465">
        <v>0.93866700000000003</v>
      </c>
      <c r="I60" s="465">
        <v>0.95612200000000003</v>
      </c>
      <c r="J60" s="465">
        <f>1/1.125237</f>
        <v>0.88870166907060466</v>
      </c>
    </row>
    <row r="61" spans="2:42" hidden="1" outlineLevel="1">
      <c r="D61" s="693" t="s">
        <v>619</v>
      </c>
      <c r="E61" s="693">
        <v>1.0816049999999999</v>
      </c>
      <c r="F61" s="693">
        <v>1.126225</v>
      </c>
      <c r="G61" s="465">
        <v>0.83998499999999998</v>
      </c>
      <c r="H61" s="465">
        <v>0.957372</v>
      </c>
      <c r="I61" s="465">
        <v>0.93486499999999995</v>
      </c>
      <c r="J61" s="465">
        <f>1/1.116598</f>
        <v>0.89557745939004008</v>
      </c>
    </row>
    <row r="62" spans="2:42" hidden="1" outlineLevel="1">
      <c r="D62" s="693" t="s">
        <v>620</v>
      </c>
      <c r="E62" s="693">
        <v>1.079116</v>
      </c>
      <c r="F62" s="693">
        <v>1.0539559999999999</v>
      </c>
      <c r="G62" s="465">
        <v>0.82204500000000003</v>
      </c>
      <c r="H62" s="465">
        <v>0.97717900000000002</v>
      </c>
      <c r="I62" s="465">
        <v>0.94532400000000005</v>
      </c>
      <c r="J62" s="465">
        <f>1/1.114086</f>
        <v>0.89759677439623164</v>
      </c>
    </row>
    <row r="63" spans="2:42" hidden="1" outlineLevel="1">
      <c r="D63" s="693" t="s">
        <v>621</v>
      </c>
      <c r="E63" s="693">
        <v>1.0679689999999999</v>
      </c>
      <c r="F63" s="693">
        <v>1.0388660000000001</v>
      </c>
      <c r="G63" s="465">
        <v>0.78120400000000001</v>
      </c>
      <c r="H63" s="465">
        <v>0.968719</v>
      </c>
      <c r="I63" s="465">
        <v>0.92585499999999998</v>
      </c>
      <c r="J63" s="465">
        <f>1/1.099292</f>
        <v>0.90967640990746779</v>
      </c>
    </row>
    <row r="64" spans="2:42" hidden="1" outlineLevel="1">
      <c r="D64" s="693" t="s">
        <v>622</v>
      </c>
      <c r="E64" s="693">
        <v>1.0396639999999999</v>
      </c>
      <c r="F64" s="693">
        <v>1.002524</v>
      </c>
      <c r="G64" s="465">
        <v>0.87023600000000001</v>
      </c>
      <c r="H64" s="465">
        <v>0.939558</v>
      </c>
      <c r="I64" s="465">
        <v>0.92308900000000005</v>
      </c>
      <c r="J64" s="465">
        <f>1/1.067132</f>
        <v>0.9370911939666321</v>
      </c>
    </row>
    <row r="65" spans="2:75" hidden="1" outlineLevel="1">
      <c r="D65" s="693" t="s">
        <v>623</v>
      </c>
      <c r="E65" s="693">
        <v>1.022275</v>
      </c>
      <c r="F65" s="693">
        <v>0.969337</v>
      </c>
      <c r="G65" s="465">
        <v>0.89565499999999998</v>
      </c>
      <c r="H65" s="465">
        <v>0.93216200000000005</v>
      </c>
      <c r="I65" s="465">
        <v>0.90296600000000005</v>
      </c>
      <c r="J65" s="465">
        <f>1/1.04865</f>
        <v>0.95360701854765639</v>
      </c>
    </row>
    <row r="66" spans="2:75" hidden="1" outlineLevel="1">
      <c r="D66" s="693" t="s">
        <v>624</v>
      </c>
      <c r="E66" s="693">
        <v>1.013174</v>
      </c>
      <c r="F66" s="693">
        <v>0.98458509999999999</v>
      </c>
      <c r="G66" s="465">
        <v>0.90804499999999999</v>
      </c>
      <c r="H66" s="465">
        <v>0.939392</v>
      </c>
      <c r="I66" s="465">
        <v>0.91305000000000003</v>
      </c>
      <c r="J66" s="465">
        <f>1/1.036953</f>
        <v>0.96436386220011894</v>
      </c>
    </row>
    <row r="67" spans="2:75" hidden="1" outlineLevel="1">
      <c r="D67" s="693" t="s">
        <v>625</v>
      </c>
      <c r="E67" s="693">
        <v>1.0308850000000001</v>
      </c>
      <c r="F67" s="693">
        <v>0.96840000000000004</v>
      </c>
      <c r="G67" s="465">
        <v>0.932697</v>
      </c>
      <c r="H67" s="465">
        <v>0.92136700000000005</v>
      </c>
      <c r="I67" s="465">
        <v>0.89349699999999999</v>
      </c>
      <c r="J67" s="465">
        <f>1/1.023774</f>
        <v>0.97677807797424043</v>
      </c>
    </row>
    <row r="68" spans="2:75" hidden="1" outlineLevel="1">
      <c r="D68" s="693" t="s">
        <v>626</v>
      </c>
      <c r="E68" s="693">
        <f t="shared" ref="E68:J68" si="44">AVERAGE(E56:E58)</f>
        <v>1.1473623333333334</v>
      </c>
      <c r="F68" s="693">
        <f t="shared" si="44"/>
        <v>1.0580013333333333</v>
      </c>
      <c r="G68" s="693">
        <f t="shared" si="44"/>
        <v>0.94154433333333332</v>
      </c>
      <c r="H68" s="693">
        <f t="shared" si="44"/>
        <v>0.92121599999999992</v>
      </c>
      <c r="I68" s="693">
        <f t="shared" si="44"/>
        <v>0.93025599999999997</v>
      </c>
      <c r="J68" s="693">
        <f t="shared" si="44"/>
        <v>0.89298</v>
      </c>
      <c r="K68" s="693"/>
    </row>
    <row r="69" spans="2:75" hidden="1" outlineLevel="1">
      <c r="D69" s="693" t="s">
        <v>627</v>
      </c>
      <c r="E69" s="693">
        <f t="shared" ref="E69:J69" si="45">AVERAGE(E59:E61)</f>
        <v>1.1119963333333331</v>
      </c>
      <c r="F69" s="693">
        <f t="shared" si="45"/>
        <v>1.0689869666666667</v>
      </c>
      <c r="G69" s="693">
        <f t="shared" si="45"/>
        <v>0.87017633333333333</v>
      </c>
      <c r="H69" s="693">
        <f t="shared" si="45"/>
        <v>0.93632466666666669</v>
      </c>
      <c r="I69" s="693">
        <f t="shared" si="45"/>
        <v>0.94250966666666658</v>
      </c>
      <c r="J69" s="693">
        <f t="shared" si="45"/>
        <v>0.88908260348148771</v>
      </c>
      <c r="K69" s="693"/>
    </row>
    <row r="70" spans="2:75" hidden="1" outlineLevel="1">
      <c r="D70" s="693" t="s">
        <v>628</v>
      </c>
      <c r="E70" s="693">
        <f t="shared" ref="E70:J70" si="46">AVERAGE(E62:E64)</f>
        <v>1.0622496666666665</v>
      </c>
      <c r="F70" s="693">
        <f t="shared" si="46"/>
        <v>1.031782</v>
      </c>
      <c r="G70" s="693">
        <f t="shared" si="46"/>
        <v>0.82449500000000009</v>
      </c>
      <c r="H70" s="693">
        <f t="shared" si="46"/>
        <v>0.96181866666666671</v>
      </c>
      <c r="I70" s="693">
        <f t="shared" si="46"/>
        <v>0.93142266666666673</v>
      </c>
      <c r="J70" s="693">
        <f t="shared" si="46"/>
        <v>0.91478812609011051</v>
      </c>
      <c r="K70" s="693"/>
    </row>
    <row r="71" spans="2:75" hidden="1" outlineLevel="1">
      <c r="C71" s="465"/>
      <c r="D71" s="693" t="s">
        <v>629</v>
      </c>
      <c r="E71" s="693">
        <f t="shared" ref="E71:J71" si="47">AVERAGE(E65:E67)</f>
        <v>1.0221113333333334</v>
      </c>
      <c r="F71" s="693">
        <f t="shared" si="47"/>
        <v>0.97410736666666675</v>
      </c>
      <c r="G71" s="693">
        <f t="shared" si="47"/>
        <v>0.91213233333333343</v>
      </c>
      <c r="H71" s="693">
        <f t="shared" si="47"/>
        <v>0.9309736666666667</v>
      </c>
      <c r="I71" s="693">
        <f t="shared" si="47"/>
        <v>0.90317100000000006</v>
      </c>
      <c r="J71" s="693">
        <f t="shared" si="47"/>
        <v>0.96491631957400525</v>
      </c>
      <c r="K71" s="693"/>
    </row>
    <row r="72" spans="2:75" hidden="1" outlineLevel="1">
      <c r="C72" s="465"/>
      <c r="D72" s="693" t="s">
        <v>17</v>
      </c>
      <c r="E72" s="693">
        <f t="shared" ref="E72:J72" si="48">AVERAGE(E56:E67)</f>
        <v>1.0859299166666665</v>
      </c>
      <c r="F72" s="693">
        <f t="shared" si="48"/>
        <v>1.0332194166666666</v>
      </c>
      <c r="G72" s="693">
        <f t="shared" si="48"/>
        <v>0.88708699999999985</v>
      </c>
      <c r="H72" s="693">
        <f t="shared" si="48"/>
        <v>0.93758324999999998</v>
      </c>
      <c r="I72" s="693">
        <f t="shared" si="48"/>
        <v>0.92683983333333331</v>
      </c>
      <c r="J72" s="693">
        <f t="shared" si="48"/>
        <v>0.91544176228640073</v>
      </c>
      <c r="K72" s="693"/>
    </row>
    <row r="73" spans="2:75" hidden="1" outlineLevel="1"/>
    <row r="74" spans="2:75" hidden="1" outlineLevel="1"/>
    <row r="75" spans="2:75" hidden="1" outlineLevel="1"/>
    <row r="76" spans="2:75" collapsed="1"/>
    <row r="79" spans="2:75">
      <c r="B79" s="1030" t="s">
        <v>845</v>
      </c>
      <c r="C79" s="1027"/>
      <c r="D79" s="1027"/>
      <c r="E79" s="1027"/>
      <c r="F79" s="1027"/>
      <c r="G79" s="1026"/>
      <c r="H79" s="1026"/>
      <c r="I79" s="1026"/>
      <c r="J79" s="1026"/>
      <c r="K79" s="1026"/>
      <c r="L79" s="1026"/>
      <c r="M79" s="1026"/>
      <c r="N79" s="1026"/>
      <c r="O79" s="1026"/>
      <c r="P79" s="1026"/>
      <c r="Q79" s="1026"/>
      <c r="R79" s="1026"/>
      <c r="S79" s="1026"/>
      <c r="T79" s="1026"/>
      <c r="U79" s="1026"/>
      <c r="V79" s="1026"/>
      <c r="W79" s="1026"/>
      <c r="X79" s="1026"/>
      <c r="Y79" s="1026"/>
      <c r="Z79" s="1026"/>
      <c r="AA79" s="1026"/>
      <c r="AB79" s="1026"/>
      <c r="AC79" s="1026"/>
      <c r="AD79" s="1026"/>
      <c r="AE79" s="1026"/>
      <c r="AF79" s="1026"/>
      <c r="AG79" s="1026"/>
      <c r="AH79" s="1026"/>
      <c r="AI79" s="1026"/>
      <c r="AJ79" s="1026"/>
      <c r="AK79" s="1026"/>
      <c r="AL79" s="1026"/>
      <c r="AM79" s="1026"/>
      <c r="AN79" s="1026"/>
      <c r="AO79" s="1026"/>
      <c r="AP79" s="1026"/>
      <c r="AQ79" s="1026"/>
      <c r="AR79" s="1026"/>
      <c r="AS79" s="1026"/>
      <c r="AT79" s="1026"/>
      <c r="AU79" s="1026"/>
      <c r="AV79" s="1026"/>
      <c r="AW79" s="1026"/>
      <c r="AX79" s="1026"/>
      <c r="AY79" s="1026"/>
      <c r="AZ79" s="1026"/>
      <c r="BA79" s="1026"/>
      <c r="BB79" s="1026"/>
      <c r="BC79" s="1026"/>
      <c r="BD79" s="1026"/>
      <c r="BE79" s="1026"/>
      <c r="BF79" s="1026"/>
      <c r="BG79" s="1026"/>
      <c r="BH79" s="1026"/>
      <c r="BI79" s="1026"/>
      <c r="BJ79" s="1026"/>
      <c r="BK79" s="1026"/>
      <c r="BL79" s="1026"/>
      <c r="BM79" s="1026"/>
      <c r="BN79" s="1026"/>
      <c r="BO79" s="1026"/>
      <c r="BP79" s="1026"/>
      <c r="BQ79" s="1026"/>
      <c r="BR79" s="1026"/>
      <c r="BS79" s="1026"/>
      <c r="BT79" s="1026"/>
      <c r="BU79" s="1026"/>
      <c r="BV79" s="1026"/>
      <c r="BW79" s="1026"/>
    </row>
    <row r="80" spans="2:75">
      <c r="B80" s="465" t="s">
        <v>221</v>
      </c>
      <c r="C80" s="661"/>
      <c r="D80" s="661">
        <f t="shared" ref="D80:F80" si="49">D5/D21</f>
        <v>0</v>
      </c>
      <c r="E80" s="661">
        <f t="shared" si="49"/>
        <v>0</v>
      </c>
      <c r="F80" s="661">
        <f t="shared" si="49"/>
        <v>0</v>
      </c>
      <c r="G80" s="661">
        <f t="shared" ref="G80:U80" si="50">G5/G21</f>
        <v>0</v>
      </c>
      <c r="H80" s="661">
        <f t="shared" si="50"/>
        <v>0</v>
      </c>
      <c r="I80" s="661">
        <f t="shared" si="50"/>
        <v>0</v>
      </c>
      <c r="J80" s="661">
        <f t="shared" si="50"/>
        <v>0</v>
      </c>
      <c r="K80" s="661">
        <f t="shared" si="50"/>
        <v>0</v>
      </c>
      <c r="L80" s="661">
        <f t="shared" si="50"/>
        <v>0</v>
      </c>
      <c r="M80" s="661">
        <f t="shared" si="50"/>
        <v>0</v>
      </c>
      <c r="N80" s="661">
        <f t="shared" si="50"/>
        <v>0</v>
      </c>
      <c r="O80" s="661">
        <f t="shared" si="50"/>
        <v>0</v>
      </c>
      <c r="P80" s="661">
        <f t="shared" si="50"/>
        <v>0</v>
      </c>
      <c r="Q80" s="661">
        <f t="shared" si="50"/>
        <v>0</v>
      </c>
      <c r="R80" s="661">
        <f t="shared" si="50"/>
        <v>0</v>
      </c>
      <c r="S80" s="661">
        <f t="shared" si="50"/>
        <v>0</v>
      </c>
      <c r="T80" s="661">
        <f t="shared" si="50"/>
        <v>0</v>
      </c>
      <c r="U80" s="661">
        <f t="shared" si="50"/>
        <v>0</v>
      </c>
      <c r="V80" s="661">
        <f>V5/V21</f>
        <v>0</v>
      </c>
      <c r="W80" s="661">
        <f t="shared" ref="W80:BF80" si="51">W5/W21</f>
        <v>0</v>
      </c>
      <c r="X80" s="661">
        <f t="shared" si="51"/>
        <v>0</v>
      </c>
      <c r="Y80" s="661">
        <f t="shared" si="51"/>
        <v>0</v>
      </c>
      <c r="Z80" s="661">
        <f t="shared" si="51"/>
        <v>0</v>
      </c>
      <c r="AA80" s="661">
        <f t="shared" si="51"/>
        <v>0</v>
      </c>
      <c r="AB80" s="661">
        <f t="shared" si="51"/>
        <v>0</v>
      </c>
      <c r="AC80" s="661">
        <f t="shared" si="51"/>
        <v>0</v>
      </c>
      <c r="AD80" s="661">
        <f t="shared" si="51"/>
        <v>0</v>
      </c>
      <c r="AE80" s="661">
        <f t="shared" si="51"/>
        <v>5.4579051621918513E-2</v>
      </c>
      <c r="AF80" s="661">
        <f t="shared" si="51"/>
        <v>1.4342658432480363E-2</v>
      </c>
      <c r="AG80" s="661">
        <f t="shared" si="51"/>
        <v>0.22881358213679387</v>
      </c>
      <c r="AH80" s="661">
        <f t="shared" si="51"/>
        <v>0.33536046586052076</v>
      </c>
      <c r="AI80" s="661">
        <f t="shared" si="51"/>
        <v>0.38939784397617611</v>
      </c>
      <c r="AJ80" s="661">
        <f t="shared" si="51"/>
        <v>0.41115169748036229</v>
      </c>
      <c r="AK80" s="661">
        <f t="shared" si="51"/>
        <v>0.34652420659730188</v>
      </c>
      <c r="AL80" s="661">
        <f t="shared" si="51"/>
        <v>0.426361436691298</v>
      </c>
      <c r="AM80" s="661">
        <f t="shared" si="51"/>
        <v>0.44820888414262566</v>
      </c>
      <c r="AN80" s="661">
        <f t="shared" si="51"/>
        <v>0.43960941644866869</v>
      </c>
      <c r="AO80" s="661">
        <f t="shared" si="51"/>
        <v>0.45323453975534284</v>
      </c>
      <c r="AP80" s="661">
        <f t="shared" si="51"/>
        <v>0.44248043366438289</v>
      </c>
      <c r="AQ80" s="661">
        <f t="shared" si="51"/>
        <v>0.44061120331787101</v>
      </c>
      <c r="AR80" s="661">
        <f t="shared" si="51"/>
        <v>0.46222602879900199</v>
      </c>
      <c r="AS80" s="661">
        <f t="shared" si="51"/>
        <v>0.48571153319109844</v>
      </c>
      <c r="AT80" s="661">
        <f t="shared" si="51"/>
        <v>0.53102278701045125</v>
      </c>
      <c r="AU80" s="661">
        <f t="shared" si="51"/>
        <v>0.48201349326848253</v>
      </c>
      <c r="AV80" s="661">
        <f t="shared" si="51"/>
        <v>0.56669913172811215</v>
      </c>
      <c r="AW80" s="661">
        <f t="shared" si="51"/>
        <v>0.62185835700417391</v>
      </c>
      <c r="AX80" s="661">
        <f t="shared" si="51"/>
        <v>0.6548841348982799</v>
      </c>
      <c r="AY80" s="661">
        <f t="shared" si="51"/>
        <v>0.66159318758080299</v>
      </c>
      <c r="AZ80" s="661">
        <f t="shared" si="51"/>
        <v>0.62870979315852349</v>
      </c>
      <c r="BA80" s="661">
        <f t="shared" si="51"/>
        <v>0.68609854772865297</v>
      </c>
      <c r="BB80" s="661">
        <f t="shared" si="51"/>
        <v>0.69800929779876753</v>
      </c>
      <c r="BC80" s="661">
        <f t="shared" si="51"/>
        <v>0.69081735262724564</v>
      </c>
      <c r="BD80" s="661">
        <f t="shared" si="51"/>
        <v>0.72291999128287754</v>
      </c>
      <c r="BE80" s="661">
        <f t="shared" si="51"/>
        <v>0.69950685823364678</v>
      </c>
      <c r="BF80" s="661">
        <f t="shared" si="51"/>
        <v>0.68627450394536882</v>
      </c>
      <c r="BG80" s="661">
        <f t="shared" ref="BG80:BI80" si="52">BG5/BG21</f>
        <v>0.73007076370686386</v>
      </c>
      <c r="BH80" s="661">
        <f t="shared" si="52"/>
        <v>0.69680465641724709</v>
      </c>
      <c r="BI80" s="661">
        <f t="shared" si="52"/>
        <v>0.76957861228679247</v>
      </c>
      <c r="BJ80" s="821">
        <f>AVERAGE(BF80:BI80)</f>
        <v>0.720682134089068</v>
      </c>
      <c r="BK80" s="664">
        <f>BJ80-0.005</f>
        <v>0.715682134089068</v>
      </c>
      <c r="BL80" s="664">
        <f>BK80-0.005-(BL87-BK87)/2</f>
        <v>0.66068213408906795</v>
      </c>
      <c r="BM80" s="664">
        <f>BL80-0.005-(BM87-BL87)/2</f>
        <v>0.6056821340890679</v>
      </c>
      <c r="BN80" s="664">
        <f>BM80-0.005-(BN87-BM87)/2-(BN82-BM82)/2</f>
        <v>0.56875034749797471</v>
      </c>
      <c r="BO80" s="664">
        <f>BN80-0.005-(BO87-BN87)/2-(BO82-BN82)/2</f>
        <v>0.53667650755465479</v>
      </c>
      <c r="BP80" s="664">
        <f t="shared" ref="BP80:BR80" si="53">BO80-0.005-(BP87-BO87)/2-(BP82-BO82)/2</f>
        <v>0.49696061425910815</v>
      </c>
      <c r="BQ80" s="664">
        <f t="shared" si="53"/>
        <v>0.46974472096356151</v>
      </c>
      <c r="BR80" s="664">
        <f t="shared" si="53"/>
        <v>0.44252882766801488</v>
      </c>
      <c r="BS80" s="664">
        <f>BR80-0.005-(BS87-BR87)/2-(BS82-BR82)/2-(BS83-BR83)</f>
        <v>0.38356005160566675</v>
      </c>
      <c r="BT80" s="664">
        <f t="shared" ref="BT80:BW80" si="54">BS80-0.005-(BT87-BS87)/2-(BT82-BS82)/2-(BT83-BS83)</f>
        <v>0.33180716883886524</v>
      </c>
      <c r="BU80" s="664">
        <f t="shared" si="54"/>
        <v>0.28005428607206373</v>
      </c>
      <c r="BV80" s="664">
        <f t="shared" si="54"/>
        <v>0.22830140330526222</v>
      </c>
      <c r="BW80" s="664">
        <f t="shared" si="54"/>
        <v>0.23904852053846073</v>
      </c>
    </row>
    <row r="81" spans="2:76">
      <c r="B81" s="465" t="s">
        <v>514</v>
      </c>
      <c r="C81" s="661"/>
      <c r="D81" s="661">
        <f t="shared" ref="D81:F81" si="55">D12/D21</f>
        <v>1</v>
      </c>
      <c r="E81" s="661">
        <f t="shared" si="55"/>
        <v>1</v>
      </c>
      <c r="F81" s="661">
        <f t="shared" si="55"/>
        <v>1</v>
      </c>
      <c r="G81" s="661">
        <f t="shared" ref="G81:U81" si="56">G12/G21</f>
        <v>1</v>
      </c>
      <c r="H81" s="661">
        <f t="shared" si="56"/>
        <v>1</v>
      </c>
      <c r="I81" s="661">
        <f t="shared" si="56"/>
        <v>1</v>
      </c>
      <c r="J81" s="661">
        <f t="shared" si="56"/>
        <v>1</v>
      </c>
      <c r="K81" s="661">
        <f t="shared" si="56"/>
        <v>1</v>
      </c>
      <c r="L81" s="661">
        <f t="shared" si="56"/>
        <v>1</v>
      </c>
      <c r="M81" s="661">
        <f t="shared" si="56"/>
        <v>1</v>
      </c>
      <c r="N81" s="661">
        <f t="shared" si="56"/>
        <v>1</v>
      </c>
      <c r="O81" s="661">
        <f t="shared" si="56"/>
        <v>1</v>
      </c>
      <c r="P81" s="661">
        <f t="shared" si="56"/>
        <v>1</v>
      </c>
      <c r="Q81" s="661">
        <f t="shared" si="56"/>
        <v>1</v>
      </c>
      <c r="R81" s="661">
        <f t="shared" si="56"/>
        <v>1</v>
      </c>
      <c r="S81" s="661">
        <f t="shared" si="56"/>
        <v>1</v>
      </c>
      <c r="T81" s="661">
        <f t="shared" si="56"/>
        <v>1</v>
      </c>
      <c r="U81" s="661">
        <f t="shared" si="56"/>
        <v>1</v>
      </c>
      <c r="V81" s="661">
        <f>V12/V21</f>
        <v>1</v>
      </c>
      <c r="W81" s="661">
        <f t="shared" ref="W81:BF81" si="57">W12/W21</f>
        <v>1</v>
      </c>
      <c r="X81" s="661">
        <f t="shared" si="57"/>
        <v>1</v>
      </c>
      <c r="Y81" s="661">
        <f t="shared" si="57"/>
        <v>1</v>
      </c>
      <c r="Z81" s="661">
        <f t="shared" si="57"/>
        <v>1</v>
      </c>
      <c r="AA81" s="661">
        <f t="shared" si="57"/>
        <v>1</v>
      </c>
      <c r="AB81" s="661">
        <f t="shared" si="57"/>
        <v>1</v>
      </c>
      <c r="AC81" s="661">
        <f t="shared" si="57"/>
        <v>1</v>
      </c>
      <c r="AD81" s="661">
        <f t="shared" si="57"/>
        <v>1</v>
      </c>
      <c r="AE81" s="661">
        <f t="shared" si="57"/>
        <v>0.94542094837808144</v>
      </c>
      <c r="AF81" s="661">
        <f t="shared" si="57"/>
        <v>0.98565734156751961</v>
      </c>
      <c r="AG81" s="661">
        <f t="shared" si="57"/>
        <v>0.77118641786320619</v>
      </c>
      <c r="AH81" s="661">
        <f t="shared" si="57"/>
        <v>0.66463953413947918</v>
      </c>
      <c r="AI81" s="661">
        <f t="shared" si="57"/>
        <v>0.61060215602382395</v>
      </c>
      <c r="AJ81" s="661">
        <f t="shared" si="57"/>
        <v>0.58884830251963771</v>
      </c>
      <c r="AK81" s="661">
        <f t="shared" si="57"/>
        <v>0.65347579340269824</v>
      </c>
      <c r="AL81" s="661">
        <f t="shared" si="57"/>
        <v>0.57363856330870189</v>
      </c>
      <c r="AM81" s="661">
        <f t="shared" si="57"/>
        <v>0.55179111585737428</v>
      </c>
      <c r="AN81" s="661">
        <f t="shared" si="57"/>
        <v>0.56039058355133131</v>
      </c>
      <c r="AO81" s="661">
        <f t="shared" si="57"/>
        <v>0.54676546024465722</v>
      </c>
      <c r="AP81" s="661">
        <f t="shared" si="57"/>
        <v>0.55751956633561706</v>
      </c>
      <c r="AQ81" s="661">
        <f t="shared" si="57"/>
        <v>0.55938879668212904</v>
      </c>
      <c r="AR81" s="661">
        <f t="shared" si="57"/>
        <v>0.53777397120099801</v>
      </c>
      <c r="AS81" s="661">
        <f t="shared" si="57"/>
        <v>0.51428846680890161</v>
      </c>
      <c r="AT81" s="661">
        <f t="shared" si="57"/>
        <v>0.46897721298954875</v>
      </c>
      <c r="AU81" s="661">
        <f t="shared" si="57"/>
        <v>0.51798650673151747</v>
      </c>
      <c r="AV81" s="661">
        <f t="shared" si="57"/>
        <v>0.43330086827188774</v>
      </c>
      <c r="AW81" s="661">
        <f t="shared" si="57"/>
        <v>0.37814164299582609</v>
      </c>
      <c r="AX81" s="661">
        <f t="shared" si="57"/>
        <v>0.34511586510172004</v>
      </c>
      <c r="AY81" s="661">
        <f t="shared" si="57"/>
        <v>0.33840681241919696</v>
      </c>
      <c r="AZ81" s="661">
        <f t="shared" si="57"/>
        <v>0.37129020684147651</v>
      </c>
      <c r="BA81" s="661">
        <f t="shared" si="57"/>
        <v>0.31390145227134697</v>
      </c>
      <c r="BB81" s="661">
        <f t="shared" si="57"/>
        <v>0.30199070220123247</v>
      </c>
      <c r="BC81" s="661">
        <f t="shared" si="57"/>
        <v>0.30918264737275436</v>
      </c>
      <c r="BD81" s="661">
        <f t="shared" si="57"/>
        <v>0.27708000871712235</v>
      </c>
      <c r="BE81" s="661">
        <f t="shared" si="57"/>
        <v>0.30049314176635322</v>
      </c>
      <c r="BF81" s="661">
        <f t="shared" si="57"/>
        <v>0.31372549605463107</v>
      </c>
      <c r="BG81" s="661">
        <f t="shared" ref="BG81:BI81" si="58">BG12/BG21</f>
        <v>0.26992923629313603</v>
      </c>
      <c r="BH81" s="661">
        <f t="shared" si="58"/>
        <v>0.30319534358275291</v>
      </c>
      <c r="BI81" s="661">
        <f t="shared" si="58"/>
        <v>0.23042138771320758</v>
      </c>
      <c r="BJ81" s="821">
        <f t="shared" ref="BJ81:BJ87" si="59">AVERAGE(BF81:BI81)</f>
        <v>0.27931786591093188</v>
      </c>
      <c r="BK81" s="661">
        <f>1-BK80</f>
        <v>0.284317865910932</v>
      </c>
      <c r="BL81" s="705">
        <f>1-BL82-BL87-BL80</f>
        <v>0.23931786591093207</v>
      </c>
      <c r="BM81" s="705">
        <f t="shared" ref="BM81" si="60">1-BM82-BM87-BM80</f>
        <v>0.19431786591093214</v>
      </c>
      <c r="BN81" s="705">
        <f>1-BN82-BN87-BN80-BN83</f>
        <v>0.16738607931983884</v>
      </c>
      <c r="BO81" s="705">
        <f t="shared" ref="BO81:BW81" si="61">1-BO82-BO87-BO80-BO83</f>
        <v>0.14531223937651894</v>
      </c>
      <c r="BP81" s="705">
        <f t="shared" si="61"/>
        <v>0.1155963460809723</v>
      </c>
      <c r="BQ81" s="705">
        <f t="shared" si="61"/>
        <v>9.8380452785425898E-2</v>
      </c>
      <c r="BR81" s="705">
        <f t="shared" si="61"/>
        <v>8.1164559489879273E-2</v>
      </c>
      <c r="BS81" s="705">
        <f t="shared" si="61"/>
        <v>7.6448666194332673E-2</v>
      </c>
      <c r="BT81" s="705">
        <f t="shared" si="61"/>
        <v>7.894866619433269E-2</v>
      </c>
      <c r="BU81" s="705">
        <f t="shared" si="61"/>
        <v>8.1448666194332719E-2</v>
      </c>
      <c r="BV81" s="705">
        <f t="shared" si="61"/>
        <v>8.3948666194332722E-2</v>
      </c>
      <c r="BW81" s="705">
        <f t="shared" si="61"/>
        <v>0.14894866619433275</v>
      </c>
    </row>
    <row r="82" spans="2:76">
      <c r="B82" s="465" t="s">
        <v>849</v>
      </c>
      <c r="C82" s="661"/>
      <c r="D82" s="661">
        <v>0</v>
      </c>
      <c r="E82" s="661">
        <v>0</v>
      </c>
      <c r="F82" s="661">
        <v>0</v>
      </c>
      <c r="G82" s="661">
        <v>0</v>
      </c>
      <c r="H82" s="661">
        <v>0</v>
      </c>
      <c r="I82" s="661">
        <v>0</v>
      </c>
      <c r="J82" s="661">
        <v>0</v>
      </c>
      <c r="K82" s="661">
        <v>0</v>
      </c>
      <c r="L82" s="661">
        <v>0</v>
      </c>
      <c r="M82" s="661">
        <v>0</v>
      </c>
      <c r="N82" s="661">
        <v>0</v>
      </c>
      <c r="O82" s="661">
        <v>0</v>
      </c>
      <c r="P82" s="661">
        <v>0</v>
      </c>
      <c r="Q82" s="661">
        <v>0</v>
      </c>
      <c r="R82" s="661">
        <v>0</v>
      </c>
      <c r="S82" s="661">
        <v>0</v>
      </c>
      <c r="T82" s="661">
        <v>0</v>
      </c>
      <c r="U82" s="661">
        <v>0</v>
      </c>
      <c r="V82" s="661">
        <v>0</v>
      </c>
      <c r="W82" s="661">
        <v>0</v>
      </c>
      <c r="X82" s="661">
        <v>0</v>
      </c>
      <c r="Y82" s="661">
        <v>0</v>
      </c>
      <c r="Z82" s="661">
        <v>0</v>
      </c>
      <c r="AA82" s="661">
        <v>0</v>
      </c>
      <c r="AB82" s="661">
        <v>0</v>
      </c>
      <c r="AC82" s="661">
        <v>0</v>
      </c>
      <c r="AD82" s="661">
        <v>0</v>
      </c>
      <c r="AE82" s="661">
        <v>0</v>
      </c>
      <c r="AF82" s="661">
        <v>0</v>
      </c>
      <c r="AG82" s="661">
        <v>0</v>
      </c>
      <c r="AH82" s="661">
        <v>0</v>
      </c>
      <c r="AI82" s="661">
        <v>0</v>
      </c>
      <c r="AJ82" s="661">
        <v>0</v>
      </c>
      <c r="AK82" s="661">
        <v>0</v>
      </c>
      <c r="AL82" s="661">
        <v>0</v>
      </c>
      <c r="AM82" s="661">
        <v>0</v>
      </c>
      <c r="AN82" s="661">
        <v>0</v>
      </c>
      <c r="AO82" s="661">
        <v>0</v>
      </c>
      <c r="AP82" s="661">
        <v>0</v>
      </c>
      <c r="AQ82" s="661">
        <v>0</v>
      </c>
      <c r="AR82" s="661">
        <v>0</v>
      </c>
      <c r="AS82" s="661">
        <v>0</v>
      </c>
      <c r="AT82" s="661">
        <v>0</v>
      </c>
      <c r="AU82" s="661">
        <v>0</v>
      </c>
      <c r="AV82" s="661">
        <v>0</v>
      </c>
      <c r="AW82" s="661">
        <v>0</v>
      </c>
      <c r="AX82" s="661">
        <v>0</v>
      </c>
      <c r="AY82" s="661">
        <v>0</v>
      </c>
      <c r="AZ82" s="661">
        <v>0</v>
      </c>
      <c r="BA82" s="661">
        <v>0</v>
      </c>
      <c r="BB82" s="661">
        <v>0</v>
      </c>
      <c r="BC82" s="661">
        <v>0</v>
      </c>
      <c r="BD82" s="661">
        <v>0</v>
      </c>
      <c r="BE82" s="661">
        <v>0</v>
      </c>
      <c r="BF82" s="661">
        <v>0</v>
      </c>
      <c r="BG82" s="661">
        <v>0</v>
      </c>
      <c r="BH82" s="661">
        <v>0</v>
      </c>
      <c r="BI82" s="661">
        <v>0</v>
      </c>
      <c r="BJ82" s="821">
        <f t="shared" si="59"/>
        <v>0</v>
      </c>
      <c r="BN82" s="661">
        <f>BM81*0.2</f>
        <v>3.8863573182186431E-2</v>
      </c>
      <c r="BO82" s="661">
        <f>BM81*0.35</f>
        <v>6.8011253068826244E-2</v>
      </c>
      <c r="BP82" s="661">
        <f>BM81*0.45</f>
        <v>8.7443039659919466E-2</v>
      </c>
      <c r="BQ82" s="661">
        <f>BM81*0.55</f>
        <v>0.10687482625101269</v>
      </c>
      <c r="BR82" s="661">
        <f>BM81*0.65</f>
        <v>0.1263066128421059</v>
      </c>
      <c r="BS82" s="661">
        <f>BM81*0.75</f>
        <v>0.14573839943319911</v>
      </c>
      <c r="BT82" s="705">
        <f>BS82+0.005</f>
        <v>0.15073839943319911</v>
      </c>
      <c r="BU82" s="705">
        <f t="shared" ref="BU82:BW82" si="62">BT82+0.005</f>
        <v>0.15573839943319912</v>
      </c>
      <c r="BV82" s="705">
        <f t="shared" si="62"/>
        <v>0.16073839943319912</v>
      </c>
      <c r="BW82" s="705">
        <f t="shared" si="62"/>
        <v>0.16573839943319912</v>
      </c>
    </row>
    <row r="83" spans="2:76">
      <c r="B83" s="465" t="s">
        <v>848</v>
      </c>
      <c r="C83" s="661"/>
      <c r="D83" s="661"/>
      <c r="E83" s="661"/>
      <c r="F83" s="661"/>
      <c r="G83" s="661"/>
      <c r="H83" s="661"/>
      <c r="I83" s="661"/>
      <c r="J83" s="661"/>
      <c r="K83" s="661"/>
      <c r="L83" s="661"/>
      <c r="M83" s="661"/>
      <c r="N83" s="661"/>
      <c r="O83" s="661"/>
      <c r="P83" s="661"/>
      <c r="Q83" s="661"/>
      <c r="R83" s="661"/>
      <c r="S83" s="661"/>
      <c r="T83" s="661"/>
      <c r="U83" s="661"/>
      <c r="V83" s="661"/>
      <c r="W83" s="661"/>
      <c r="X83" s="661"/>
      <c r="Y83" s="661"/>
      <c r="Z83" s="661"/>
      <c r="AA83" s="661"/>
      <c r="AB83" s="661"/>
      <c r="AC83" s="661"/>
      <c r="AD83" s="661"/>
      <c r="AE83" s="661"/>
      <c r="AF83" s="661"/>
      <c r="AG83" s="661"/>
      <c r="AH83" s="661"/>
      <c r="AI83" s="661"/>
      <c r="AJ83" s="661"/>
      <c r="AK83" s="661"/>
      <c r="AL83" s="661"/>
      <c r="AM83" s="661"/>
      <c r="AN83" s="661"/>
      <c r="AO83" s="661"/>
      <c r="AP83" s="661"/>
      <c r="AQ83" s="661"/>
      <c r="AR83" s="661"/>
      <c r="AS83" s="661"/>
      <c r="AT83" s="661"/>
      <c r="AU83" s="661"/>
      <c r="AV83" s="661"/>
      <c r="AW83" s="661"/>
      <c r="AX83" s="661"/>
      <c r="AY83" s="661"/>
      <c r="AZ83" s="661"/>
      <c r="BA83" s="661"/>
      <c r="BB83" s="661"/>
      <c r="BC83" s="661"/>
      <c r="BD83" s="661"/>
      <c r="BE83" s="661"/>
      <c r="BF83" s="661"/>
      <c r="BG83" s="661"/>
      <c r="BH83" s="661"/>
      <c r="BI83" s="661"/>
      <c r="BJ83" s="821"/>
      <c r="BN83" s="661"/>
      <c r="BO83" s="661"/>
      <c r="BP83" s="661"/>
      <c r="BQ83" s="661"/>
      <c r="BR83" s="661"/>
      <c r="BS83" s="661">
        <f>BR80*0.1</f>
        <v>4.4252882766801491E-2</v>
      </c>
      <c r="BT83" s="705">
        <f>BR80*0.2</f>
        <v>8.8505765533602981E-2</v>
      </c>
      <c r="BU83" s="705">
        <f>BR80*0.3</f>
        <v>0.13275864830040446</v>
      </c>
      <c r="BV83" s="705">
        <f>BR80*0.4</f>
        <v>0.17701153106720596</v>
      </c>
      <c r="BW83" s="705">
        <f>BR80*0.5</f>
        <v>0.22126441383400744</v>
      </c>
    </row>
    <row r="84" spans="2:76" hidden="1" outlineLevel="1">
      <c r="B84" s="474" t="s">
        <v>884</v>
      </c>
      <c r="C84" s="661"/>
      <c r="D84" s="661"/>
      <c r="E84" s="661"/>
      <c r="F84" s="661"/>
      <c r="G84" s="661"/>
      <c r="H84" s="661"/>
      <c r="I84" s="661"/>
      <c r="J84" s="661"/>
      <c r="K84" s="661"/>
      <c r="L84" s="661"/>
      <c r="M84" s="661"/>
      <c r="N84" s="661"/>
      <c r="O84" s="661"/>
      <c r="P84" s="661"/>
      <c r="Q84" s="661"/>
      <c r="R84" s="661"/>
      <c r="S84" s="661"/>
      <c r="T84" s="661"/>
      <c r="U84" s="661"/>
      <c r="V84" s="661"/>
      <c r="W84" s="661"/>
      <c r="X84" s="661"/>
      <c r="Y84" s="661"/>
      <c r="Z84" s="661"/>
      <c r="AA84" s="661"/>
      <c r="AB84" s="661"/>
      <c r="AC84" s="661"/>
      <c r="AD84" s="661"/>
      <c r="AE84" s="661"/>
      <c r="AF84" s="661"/>
      <c r="AG84" s="661"/>
      <c r="AH84" s="661"/>
      <c r="AI84" s="661"/>
      <c r="AJ84" s="661"/>
      <c r="AK84" s="661"/>
      <c r="AL84" s="661"/>
      <c r="AM84" s="661"/>
      <c r="AN84" s="661"/>
      <c r="AO84" s="661"/>
      <c r="AP84" s="661"/>
      <c r="AQ84" s="661"/>
      <c r="AR84" s="661"/>
      <c r="AS84" s="661"/>
      <c r="AT84" s="661"/>
      <c r="AU84" s="661"/>
      <c r="AV84" s="661"/>
      <c r="AW84" s="661"/>
      <c r="AX84" s="661"/>
      <c r="AY84" s="661"/>
      <c r="AZ84" s="661"/>
      <c r="BA84" s="661"/>
      <c r="BB84" s="661"/>
      <c r="BC84" s="661"/>
      <c r="BD84" s="661"/>
      <c r="BE84" s="661"/>
      <c r="BF84" s="661"/>
      <c r="BG84" s="661"/>
      <c r="BH84" s="661"/>
      <c r="BI84" s="661"/>
      <c r="BJ84" s="821"/>
      <c r="BL84" s="661">
        <f>BL85*0.75</f>
        <v>7.5000000000000011E-2</v>
      </c>
      <c r="BM84" s="661">
        <f t="shared" ref="BM84:BW84" si="63">BM85*0.75</f>
        <v>0.15000000000000002</v>
      </c>
      <c r="BN84" s="661">
        <f t="shared" si="63"/>
        <v>0.16875000000000001</v>
      </c>
      <c r="BO84" s="661">
        <f t="shared" si="63"/>
        <v>0.1875</v>
      </c>
      <c r="BP84" s="661">
        <f t="shared" si="63"/>
        <v>0.22499999999999998</v>
      </c>
      <c r="BQ84" s="661">
        <f t="shared" si="63"/>
        <v>0.24375000000000002</v>
      </c>
      <c r="BR84" s="661">
        <f t="shared" si="63"/>
        <v>0.26249999999999996</v>
      </c>
      <c r="BS84" s="661">
        <f t="shared" si="63"/>
        <v>0.26249999999999996</v>
      </c>
      <c r="BT84" s="661">
        <f t="shared" si="63"/>
        <v>0.26249999999999996</v>
      </c>
      <c r="BU84" s="661">
        <f t="shared" si="63"/>
        <v>0.26249999999999996</v>
      </c>
      <c r="BV84" s="661">
        <f t="shared" si="63"/>
        <v>0.26249999999999996</v>
      </c>
      <c r="BW84" s="661">
        <f t="shared" si="63"/>
        <v>0.16875000000000001</v>
      </c>
    </row>
    <row r="85" spans="2:76" hidden="1" outlineLevel="1">
      <c r="B85" s="474" t="s">
        <v>883</v>
      </c>
      <c r="C85" s="661"/>
      <c r="D85" s="661"/>
      <c r="E85" s="661"/>
      <c r="F85" s="661"/>
      <c r="G85" s="661"/>
      <c r="H85" s="661"/>
      <c r="I85" s="661"/>
      <c r="J85" s="661"/>
      <c r="K85" s="661"/>
      <c r="L85" s="661"/>
      <c r="M85" s="661"/>
      <c r="N85" s="661"/>
      <c r="O85" s="661"/>
      <c r="P85" s="661"/>
      <c r="Q85" s="661"/>
      <c r="R85" s="661"/>
      <c r="S85" s="661"/>
      <c r="T85" s="661"/>
      <c r="U85" s="661"/>
      <c r="V85" s="661"/>
      <c r="W85" s="661"/>
      <c r="X85" s="661"/>
      <c r="Y85" s="661"/>
      <c r="Z85" s="661"/>
      <c r="AA85" s="661"/>
      <c r="AB85" s="661"/>
      <c r="AC85" s="661"/>
      <c r="AD85" s="661"/>
      <c r="AE85" s="661"/>
      <c r="AF85" s="661"/>
      <c r="AG85" s="661"/>
      <c r="AH85" s="661"/>
      <c r="AI85" s="661"/>
      <c r="AJ85" s="661"/>
      <c r="AK85" s="661"/>
      <c r="AL85" s="661"/>
      <c r="AM85" s="661"/>
      <c r="AN85" s="661"/>
      <c r="AO85" s="661"/>
      <c r="AP85" s="661"/>
      <c r="AQ85" s="661"/>
      <c r="AR85" s="661"/>
      <c r="AS85" s="661"/>
      <c r="AT85" s="661"/>
      <c r="AU85" s="661">
        <v>0</v>
      </c>
      <c r="AV85" s="661">
        <v>0</v>
      </c>
      <c r="AW85" s="661">
        <v>0</v>
      </c>
      <c r="AX85" s="661">
        <v>0</v>
      </c>
      <c r="AY85" s="661">
        <v>0</v>
      </c>
      <c r="AZ85" s="661">
        <v>0</v>
      </c>
      <c r="BA85" s="661">
        <v>0</v>
      </c>
      <c r="BB85" s="661">
        <v>0</v>
      </c>
      <c r="BC85" s="661">
        <v>0</v>
      </c>
      <c r="BD85" s="661">
        <v>0</v>
      </c>
      <c r="BE85" s="661">
        <v>0</v>
      </c>
      <c r="BF85" s="661">
        <v>0</v>
      </c>
      <c r="BG85" s="661">
        <v>0</v>
      </c>
      <c r="BH85" s="661">
        <v>0</v>
      </c>
      <c r="BI85" s="661">
        <v>0</v>
      </c>
      <c r="BJ85" s="821">
        <f t="shared" si="59"/>
        <v>0</v>
      </c>
      <c r="BK85" s="705">
        <v>0</v>
      </c>
      <c r="BL85" s="705">
        <v>0.1</v>
      </c>
      <c r="BM85" s="705">
        <v>0.2</v>
      </c>
      <c r="BN85" s="705">
        <v>0.22500000000000001</v>
      </c>
      <c r="BO85" s="705">
        <v>0.25</v>
      </c>
      <c r="BP85" s="705">
        <v>0.3</v>
      </c>
      <c r="BQ85" s="705">
        <v>0.32500000000000001</v>
      </c>
      <c r="BR85" s="705">
        <v>0.35</v>
      </c>
      <c r="BS85" s="705">
        <f t="shared" ref="BS85:BV85" si="64">BR85</f>
        <v>0.35</v>
      </c>
      <c r="BT85" s="705">
        <f t="shared" si="64"/>
        <v>0.35</v>
      </c>
      <c r="BU85" s="705">
        <f t="shared" si="64"/>
        <v>0.35</v>
      </c>
      <c r="BV85" s="705">
        <f t="shared" si="64"/>
        <v>0.35</v>
      </c>
      <c r="BW85" s="705">
        <v>0.22500000000000001</v>
      </c>
    </row>
    <row r="86" spans="2:76" hidden="1" outlineLevel="1">
      <c r="B86" s="474" t="s">
        <v>885</v>
      </c>
      <c r="C86" s="661"/>
      <c r="D86" s="661"/>
      <c r="E86" s="661"/>
      <c r="F86" s="661"/>
      <c r="G86" s="661"/>
      <c r="H86" s="661"/>
      <c r="I86" s="661"/>
      <c r="J86" s="661"/>
      <c r="K86" s="661"/>
      <c r="L86" s="661"/>
      <c r="M86" s="661"/>
      <c r="N86" s="661"/>
      <c r="O86" s="661"/>
      <c r="P86" s="661"/>
      <c r="Q86" s="661"/>
      <c r="R86" s="661"/>
      <c r="S86" s="661"/>
      <c r="T86" s="661"/>
      <c r="U86" s="661"/>
      <c r="V86" s="661"/>
      <c r="W86" s="661"/>
      <c r="X86" s="661"/>
      <c r="Y86" s="661"/>
      <c r="Z86" s="661"/>
      <c r="AA86" s="661"/>
      <c r="AB86" s="661"/>
      <c r="AC86" s="661"/>
      <c r="AD86" s="661"/>
      <c r="AE86" s="661"/>
      <c r="AF86" s="661"/>
      <c r="AG86" s="661"/>
      <c r="AH86" s="661"/>
      <c r="AI86" s="661"/>
      <c r="AJ86" s="661"/>
      <c r="AK86" s="661"/>
      <c r="AL86" s="661"/>
      <c r="AM86" s="661"/>
      <c r="AN86" s="661"/>
      <c r="AO86" s="661"/>
      <c r="AP86" s="661"/>
      <c r="AQ86" s="661"/>
      <c r="AR86" s="661"/>
      <c r="AS86" s="661"/>
      <c r="AT86" s="661"/>
      <c r="AU86" s="661"/>
      <c r="AV86" s="661"/>
      <c r="AW86" s="661"/>
      <c r="AX86" s="661"/>
      <c r="AY86" s="661"/>
      <c r="AZ86" s="661"/>
      <c r="BA86" s="661"/>
      <c r="BB86" s="661"/>
      <c r="BC86" s="661"/>
      <c r="BD86" s="661"/>
      <c r="BE86" s="661"/>
      <c r="BF86" s="661"/>
      <c r="BG86" s="661"/>
      <c r="BH86" s="661"/>
      <c r="BI86" s="661"/>
      <c r="BJ86" s="821"/>
      <c r="BL86" s="661">
        <f>BL85*1.5</f>
        <v>0.15000000000000002</v>
      </c>
      <c r="BM86" s="661">
        <f t="shared" ref="BM86" si="65">BM85*1.5</f>
        <v>0.30000000000000004</v>
      </c>
      <c r="BN86" s="661">
        <v>0.45</v>
      </c>
      <c r="BO86" s="661">
        <v>0.55000000000000004</v>
      </c>
      <c r="BP86" s="661">
        <v>0.6</v>
      </c>
      <c r="BQ86" s="661">
        <f>BP86*1.025</f>
        <v>0.61499999999999988</v>
      </c>
      <c r="BR86" s="661">
        <f t="shared" ref="BR86:BW86" si="66">BQ86*1.025</f>
        <v>0.6303749999999998</v>
      </c>
      <c r="BS86" s="661">
        <f t="shared" si="66"/>
        <v>0.64613437499999971</v>
      </c>
      <c r="BT86" s="661">
        <f t="shared" si="66"/>
        <v>0.66228773437499966</v>
      </c>
      <c r="BU86" s="661">
        <f t="shared" si="66"/>
        <v>0.67884492773437455</v>
      </c>
      <c r="BV86" s="661">
        <f t="shared" si="66"/>
        <v>0.6958160509277338</v>
      </c>
      <c r="BW86" s="661">
        <f t="shared" si="66"/>
        <v>0.71321145220092708</v>
      </c>
    </row>
    <row r="87" spans="2:76" collapsed="1">
      <c r="B87" s="465" t="s">
        <v>847</v>
      </c>
      <c r="C87" s="661"/>
      <c r="D87" s="661">
        <v>0</v>
      </c>
      <c r="E87" s="661">
        <v>0</v>
      </c>
      <c r="F87" s="661">
        <v>0</v>
      </c>
      <c r="G87" s="661">
        <v>0</v>
      </c>
      <c r="H87" s="661">
        <v>0</v>
      </c>
      <c r="I87" s="661">
        <v>0</v>
      </c>
      <c r="J87" s="661">
        <v>0</v>
      </c>
      <c r="K87" s="661">
        <v>0</v>
      </c>
      <c r="L87" s="661">
        <v>0</v>
      </c>
      <c r="M87" s="661">
        <v>0</v>
      </c>
      <c r="N87" s="661">
        <v>0</v>
      </c>
      <c r="O87" s="661">
        <v>0</v>
      </c>
      <c r="P87" s="661">
        <v>0</v>
      </c>
      <c r="Q87" s="661">
        <v>0</v>
      </c>
      <c r="R87" s="661">
        <v>0</v>
      </c>
      <c r="S87" s="661">
        <v>0</v>
      </c>
      <c r="T87" s="661">
        <v>0</v>
      </c>
      <c r="U87" s="661">
        <v>0</v>
      </c>
      <c r="V87" s="661">
        <v>0</v>
      </c>
      <c r="W87" s="661">
        <v>0</v>
      </c>
      <c r="X87" s="661">
        <v>0</v>
      </c>
      <c r="Y87" s="661">
        <v>0</v>
      </c>
      <c r="Z87" s="661">
        <v>0</v>
      </c>
      <c r="AA87" s="661">
        <v>0</v>
      </c>
      <c r="AB87" s="661">
        <v>0</v>
      </c>
      <c r="AC87" s="661">
        <v>0</v>
      </c>
      <c r="AD87" s="661">
        <v>0</v>
      </c>
      <c r="AE87" s="661">
        <v>0</v>
      </c>
      <c r="AF87" s="661">
        <v>0</v>
      </c>
      <c r="AG87" s="661">
        <v>0</v>
      </c>
      <c r="AH87" s="661">
        <v>0</v>
      </c>
      <c r="AI87" s="661">
        <v>0</v>
      </c>
      <c r="AJ87" s="661">
        <v>0</v>
      </c>
      <c r="AK87" s="661">
        <v>0</v>
      </c>
      <c r="AL87" s="661">
        <v>0</v>
      </c>
      <c r="AM87" s="661">
        <v>0</v>
      </c>
      <c r="AN87" s="661">
        <v>0</v>
      </c>
      <c r="AO87" s="661">
        <v>0</v>
      </c>
      <c r="AP87" s="661">
        <v>0</v>
      </c>
      <c r="AQ87" s="661">
        <v>0</v>
      </c>
      <c r="AR87" s="661">
        <v>0</v>
      </c>
      <c r="AS87" s="661">
        <v>0</v>
      </c>
      <c r="AT87" s="661">
        <v>0</v>
      </c>
      <c r="AU87" s="661">
        <v>0</v>
      </c>
      <c r="AV87" s="661">
        <v>0</v>
      </c>
      <c r="AW87" s="661">
        <v>0</v>
      </c>
      <c r="AX87" s="661">
        <v>0</v>
      </c>
      <c r="AY87" s="661">
        <v>0</v>
      </c>
      <c r="AZ87" s="661">
        <v>0</v>
      </c>
      <c r="BA87" s="661">
        <v>0</v>
      </c>
      <c r="BB87" s="661">
        <v>0</v>
      </c>
      <c r="BC87" s="661">
        <v>0</v>
      </c>
      <c r="BD87" s="661">
        <v>0</v>
      </c>
      <c r="BE87" s="661">
        <v>0</v>
      </c>
      <c r="BF87" s="661">
        <v>0</v>
      </c>
      <c r="BG87" s="661">
        <v>0</v>
      </c>
      <c r="BH87" s="661">
        <v>0</v>
      </c>
      <c r="BI87" s="661">
        <v>0</v>
      </c>
      <c r="BJ87" s="821">
        <f t="shared" si="59"/>
        <v>0</v>
      </c>
      <c r="BK87" s="661">
        <f>CHOOSE(DCF!$C$25,'Historical Eye Sales'!BK84,'Historical Eye Sales'!BK85,'Historical Eye Sales'!BK86)</f>
        <v>0</v>
      </c>
      <c r="BL87" s="661">
        <f>CHOOSE(DCF!$C$25,'Historical Eye Sales'!BL84,'Historical Eye Sales'!BL85,'Historical Eye Sales'!BL86)</f>
        <v>0.1</v>
      </c>
      <c r="BM87" s="661">
        <f>CHOOSE(DCF!$C$25,'Historical Eye Sales'!BM84,'Historical Eye Sales'!BM85,'Historical Eye Sales'!BM86)</f>
        <v>0.2</v>
      </c>
      <c r="BN87" s="661">
        <f>CHOOSE(DCF!$C$25,'Historical Eye Sales'!BN84,'Historical Eye Sales'!BN85,'Historical Eye Sales'!BN86)</f>
        <v>0.22500000000000001</v>
      </c>
      <c r="BO87" s="661">
        <f>CHOOSE(DCF!$C$25,'Historical Eye Sales'!BO84,'Historical Eye Sales'!BO85,'Historical Eye Sales'!BO86)</f>
        <v>0.25</v>
      </c>
      <c r="BP87" s="661">
        <f>CHOOSE(DCF!$C$25,'Historical Eye Sales'!BP84,'Historical Eye Sales'!BP85,'Historical Eye Sales'!BP86)</f>
        <v>0.3</v>
      </c>
      <c r="BQ87" s="661">
        <f>CHOOSE(DCF!$C$25,'Historical Eye Sales'!BQ84,'Historical Eye Sales'!BQ85,'Historical Eye Sales'!BQ86)</f>
        <v>0.32500000000000001</v>
      </c>
      <c r="BR87" s="661">
        <f>CHOOSE(DCF!$C$25,'Historical Eye Sales'!BR84,'Historical Eye Sales'!BR85,'Historical Eye Sales'!BR86)</f>
        <v>0.35</v>
      </c>
      <c r="BS87" s="661">
        <f>CHOOSE(DCF!$C$25,'Historical Eye Sales'!BS84,'Historical Eye Sales'!BS85,'Historical Eye Sales'!BS86)</f>
        <v>0.35</v>
      </c>
      <c r="BT87" s="661">
        <f>CHOOSE(DCF!$C$25,'Historical Eye Sales'!BT84,'Historical Eye Sales'!BT85,'Historical Eye Sales'!BT86)</f>
        <v>0.35</v>
      </c>
      <c r="BU87" s="661">
        <f>CHOOSE(DCF!$C$25,'Historical Eye Sales'!BU84,'Historical Eye Sales'!BU85,'Historical Eye Sales'!BU86)</f>
        <v>0.35</v>
      </c>
      <c r="BV87" s="661">
        <f>CHOOSE(DCF!$C$25,'Historical Eye Sales'!BV84,'Historical Eye Sales'!BV85,'Historical Eye Sales'!BV86)</f>
        <v>0.35</v>
      </c>
      <c r="BW87" s="661">
        <f>CHOOSE(DCF!$C$25,'Historical Eye Sales'!BW84,'Historical Eye Sales'!BW85,'Historical Eye Sales'!BW86)</f>
        <v>0.22500000000000001</v>
      </c>
    </row>
    <row r="88" spans="2:76">
      <c r="B88" s="542" t="s">
        <v>184</v>
      </c>
      <c r="C88" s="1032"/>
      <c r="D88" s="1032">
        <f t="shared" ref="D88" si="67">SUM(D80:D87)</f>
        <v>1</v>
      </c>
      <c r="E88" s="1032">
        <f t="shared" ref="E88" si="68">SUM(E80:E87)</f>
        <v>1</v>
      </c>
      <c r="F88" s="1032">
        <f t="shared" ref="F88" si="69">SUM(F80:F87)</f>
        <v>1</v>
      </c>
      <c r="G88" s="1032">
        <f t="shared" ref="G88:U88" si="70">SUM(G80:G87)</f>
        <v>1</v>
      </c>
      <c r="H88" s="1032">
        <f t="shared" si="70"/>
        <v>1</v>
      </c>
      <c r="I88" s="1032">
        <f t="shared" si="70"/>
        <v>1</v>
      </c>
      <c r="J88" s="1032">
        <f t="shared" si="70"/>
        <v>1</v>
      </c>
      <c r="K88" s="1032">
        <f t="shared" si="70"/>
        <v>1</v>
      </c>
      <c r="L88" s="1032">
        <f t="shared" si="70"/>
        <v>1</v>
      </c>
      <c r="M88" s="1032">
        <f t="shared" si="70"/>
        <v>1</v>
      </c>
      <c r="N88" s="1032">
        <f t="shared" si="70"/>
        <v>1</v>
      </c>
      <c r="O88" s="1032">
        <f t="shared" si="70"/>
        <v>1</v>
      </c>
      <c r="P88" s="1032">
        <f t="shared" si="70"/>
        <v>1</v>
      </c>
      <c r="Q88" s="1032">
        <f t="shared" si="70"/>
        <v>1</v>
      </c>
      <c r="R88" s="1032">
        <f t="shared" si="70"/>
        <v>1</v>
      </c>
      <c r="S88" s="1032">
        <f t="shared" si="70"/>
        <v>1</v>
      </c>
      <c r="T88" s="1032">
        <f t="shared" si="70"/>
        <v>1</v>
      </c>
      <c r="U88" s="1032">
        <f t="shared" si="70"/>
        <v>1</v>
      </c>
      <c r="V88" s="1032">
        <f>SUM(V80:V87)</f>
        <v>1</v>
      </c>
      <c r="W88" s="1032">
        <f t="shared" ref="W88:BK88" si="71">SUM(W80:W87)</f>
        <v>1</v>
      </c>
      <c r="X88" s="1032">
        <f t="shared" si="71"/>
        <v>1</v>
      </c>
      <c r="Y88" s="1032">
        <f t="shared" si="71"/>
        <v>1</v>
      </c>
      <c r="Z88" s="1032">
        <f t="shared" si="71"/>
        <v>1</v>
      </c>
      <c r="AA88" s="1032">
        <f t="shared" si="71"/>
        <v>1</v>
      </c>
      <c r="AB88" s="1032">
        <f t="shared" si="71"/>
        <v>1</v>
      </c>
      <c r="AC88" s="1032">
        <f t="shared" si="71"/>
        <v>1</v>
      </c>
      <c r="AD88" s="1032">
        <f t="shared" si="71"/>
        <v>1</v>
      </c>
      <c r="AE88" s="1032">
        <f t="shared" si="71"/>
        <v>1</v>
      </c>
      <c r="AF88" s="1032">
        <f t="shared" si="71"/>
        <v>1</v>
      </c>
      <c r="AG88" s="1032">
        <f t="shared" si="71"/>
        <v>1</v>
      </c>
      <c r="AH88" s="1032">
        <f t="shared" si="71"/>
        <v>1</v>
      </c>
      <c r="AI88" s="1032">
        <f t="shared" si="71"/>
        <v>1</v>
      </c>
      <c r="AJ88" s="1032">
        <f t="shared" si="71"/>
        <v>1</v>
      </c>
      <c r="AK88" s="1032">
        <f t="shared" si="71"/>
        <v>1</v>
      </c>
      <c r="AL88" s="1032">
        <f t="shared" si="71"/>
        <v>0.99999999999999989</v>
      </c>
      <c r="AM88" s="1032">
        <f t="shared" si="71"/>
        <v>1</v>
      </c>
      <c r="AN88" s="1032">
        <f t="shared" si="71"/>
        <v>1</v>
      </c>
      <c r="AO88" s="1032">
        <f t="shared" si="71"/>
        <v>1</v>
      </c>
      <c r="AP88" s="1032">
        <f t="shared" si="71"/>
        <v>1</v>
      </c>
      <c r="AQ88" s="1032">
        <f t="shared" si="71"/>
        <v>1</v>
      </c>
      <c r="AR88" s="1032">
        <f t="shared" si="71"/>
        <v>1</v>
      </c>
      <c r="AS88" s="1032">
        <f t="shared" si="71"/>
        <v>1</v>
      </c>
      <c r="AT88" s="1032">
        <f t="shared" si="71"/>
        <v>1</v>
      </c>
      <c r="AU88" s="1032">
        <f t="shared" si="71"/>
        <v>1</v>
      </c>
      <c r="AV88" s="1032">
        <f t="shared" si="71"/>
        <v>0.99999999999999989</v>
      </c>
      <c r="AW88" s="1032">
        <f t="shared" si="71"/>
        <v>1</v>
      </c>
      <c r="AX88" s="1032">
        <f t="shared" si="71"/>
        <v>1</v>
      </c>
      <c r="AY88" s="1032">
        <f t="shared" si="71"/>
        <v>1</v>
      </c>
      <c r="AZ88" s="1032">
        <f t="shared" si="71"/>
        <v>1</v>
      </c>
      <c r="BA88" s="1032">
        <f t="shared" si="71"/>
        <v>1</v>
      </c>
      <c r="BB88" s="1032">
        <f t="shared" si="71"/>
        <v>1</v>
      </c>
      <c r="BC88" s="1032">
        <f t="shared" si="71"/>
        <v>1</v>
      </c>
      <c r="BD88" s="1032">
        <f t="shared" si="71"/>
        <v>0.99999999999999989</v>
      </c>
      <c r="BE88" s="1032">
        <f t="shared" si="71"/>
        <v>1</v>
      </c>
      <c r="BF88" s="1032">
        <f t="shared" si="71"/>
        <v>0.99999999999999989</v>
      </c>
      <c r="BG88" s="1032">
        <f t="shared" si="71"/>
        <v>0.99999999999999989</v>
      </c>
      <c r="BH88" s="1032">
        <f>SUM(BH80:BH87)</f>
        <v>1</v>
      </c>
      <c r="BI88" s="1032">
        <f t="shared" si="71"/>
        <v>1</v>
      </c>
      <c r="BJ88" s="1032">
        <f t="shared" si="71"/>
        <v>0.99999999999999989</v>
      </c>
      <c r="BK88" s="1032">
        <f t="shared" si="71"/>
        <v>1</v>
      </c>
      <c r="BL88" s="1032">
        <f>SUM(BL80:BL83)+BL87</f>
        <v>1</v>
      </c>
      <c r="BM88" s="1032">
        <f t="shared" ref="BM88:BW88" si="72">SUM(BM80:BM83)+BM87</f>
        <v>1</v>
      </c>
      <c r="BN88" s="1032">
        <f t="shared" si="72"/>
        <v>1</v>
      </c>
      <c r="BO88" s="1032">
        <f t="shared" si="72"/>
        <v>1</v>
      </c>
      <c r="BP88" s="1032">
        <f t="shared" si="72"/>
        <v>1</v>
      </c>
      <c r="BQ88" s="1032">
        <f t="shared" si="72"/>
        <v>1</v>
      </c>
      <c r="BR88" s="1032">
        <f t="shared" si="72"/>
        <v>1</v>
      </c>
      <c r="BS88" s="1032">
        <f t="shared" si="72"/>
        <v>1</v>
      </c>
      <c r="BT88" s="1032">
        <f t="shared" si="72"/>
        <v>1</v>
      </c>
      <c r="BU88" s="1032">
        <f t="shared" si="72"/>
        <v>0.99999999999999989</v>
      </c>
      <c r="BV88" s="1032">
        <f t="shared" si="72"/>
        <v>1</v>
      </c>
      <c r="BW88" s="1032">
        <f t="shared" si="72"/>
        <v>1</v>
      </c>
      <c r="BX88" s="1032"/>
    </row>
    <row r="90" spans="2:76">
      <c r="B90" s="1031" t="s">
        <v>850</v>
      </c>
      <c r="C90" s="1029"/>
      <c r="D90" s="1029"/>
      <c r="E90" s="1029"/>
      <c r="F90" s="1029"/>
      <c r="G90" s="1028"/>
      <c r="H90" s="1028"/>
      <c r="I90" s="1028"/>
      <c r="J90" s="1028"/>
      <c r="K90" s="1028"/>
      <c r="L90" s="1028"/>
      <c r="M90" s="1028"/>
      <c r="N90" s="1028"/>
      <c r="O90" s="1028"/>
      <c r="P90" s="1028"/>
      <c r="Q90" s="1028"/>
      <c r="R90" s="1028"/>
      <c r="S90" s="1028"/>
      <c r="T90" s="1028"/>
      <c r="U90" s="1028"/>
      <c r="V90" s="1028"/>
      <c r="W90" s="1028"/>
      <c r="X90" s="1028"/>
      <c r="Y90" s="1028"/>
      <c r="Z90" s="1028"/>
      <c r="AA90" s="1028"/>
      <c r="AB90" s="1028"/>
      <c r="AC90" s="1028"/>
      <c r="AD90" s="1028"/>
      <c r="AE90" s="1028"/>
      <c r="AF90" s="1028"/>
      <c r="AG90" s="1028"/>
      <c r="AH90" s="1028"/>
      <c r="AI90" s="1028"/>
      <c r="AJ90" s="1028"/>
      <c r="AK90" s="1028"/>
      <c r="AL90" s="1028"/>
      <c r="AM90" s="1028"/>
      <c r="AN90" s="1028"/>
      <c r="AO90" s="1028"/>
      <c r="AP90" s="1028"/>
      <c r="AQ90" s="1028"/>
      <c r="AR90" s="1028"/>
      <c r="AS90" s="1028"/>
      <c r="AT90" s="1028"/>
      <c r="AU90" s="1028"/>
      <c r="AV90" s="1028"/>
      <c r="AW90" s="1028"/>
      <c r="AX90" s="1028"/>
      <c r="AY90" s="1028"/>
      <c r="AZ90" s="1028"/>
      <c r="BA90" s="1028"/>
      <c r="BB90" s="1028"/>
      <c r="BC90" s="1028"/>
      <c r="BD90" s="1028"/>
      <c r="BE90" s="1028"/>
      <c r="BF90" s="1028"/>
      <c r="BG90" s="1028"/>
      <c r="BH90" s="1028"/>
      <c r="BI90" s="1028"/>
      <c r="BJ90" s="1028"/>
      <c r="BK90" s="1028"/>
      <c r="BL90" s="1028"/>
      <c r="BM90" s="1028"/>
      <c r="BN90" s="1028"/>
      <c r="BO90" s="1028"/>
      <c r="BP90" s="1028"/>
      <c r="BQ90" s="1028"/>
      <c r="BR90" s="1028"/>
      <c r="BS90" s="1028"/>
      <c r="BT90" s="1028"/>
      <c r="BU90" s="1028"/>
      <c r="BV90" s="1028"/>
      <c r="BW90" s="1028"/>
    </row>
    <row r="91" spans="2:76">
      <c r="B91" s="465" t="s">
        <v>221</v>
      </c>
      <c r="V91" s="661"/>
      <c r="W91" s="661"/>
      <c r="X91" s="661"/>
      <c r="Y91" s="661"/>
      <c r="Z91" s="661"/>
      <c r="AA91" s="661"/>
      <c r="AB91" s="661"/>
      <c r="AC91" s="661"/>
      <c r="AD91" s="661"/>
      <c r="AE91" s="661"/>
      <c r="AF91" s="661"/>
      <c r="AG91" s="661">
        <f t="shared" ref="AG91:BF91" si="73">AG6/AG22</f>
        <v>0</v>
      </c>
      <c r="AH91" s="661">
        <f t="shared" si="73"/>
        <v>0</v>
      </c>
      <c r="AI91" s="661">
        <f t="shared" si="73"/>
        <v>0</v>
      </c>
      <c r="AJ91" s="661">
        <f t="shared" si="73"/>
        <v>2.9096477794793262E-2</v>
      </c>
      <c r="AK91" s="661">
        <f t="shared" si="73"/>
        <v>7.8609846917666523E-3</v>
      </c>
      <c r="AL91" s="661">
        <f t="shared" si="73"/>
        <v>9.8335854765506811E-2</v>
      </c>
      <c r="AM91" s="661">
        <f t="shared" si="73"/>
        <v>0.14349442379182156</v>
      </c>
      <c r="AN91" s="661">
        <f t="shared" si="73"/>
        <v>0.17705382436260622</v>
      </c>
      <c r="AO91" s="661">
        <f t="shared" si="73"/>
        <v>0.22604422604422605</v>
      </c>
      <c r="AP91" s="661">
        <f t="shared" si="73"/>
        <v>0.16488522866654984</v>
      </c>
      <c r="AQ91" s="661">
        <f t="shared" si="73"/>
        <v>0.26023147595752294</v>
      </c>
      <c r="AR91" s="661">
        <f t="shared" si="73"/>
        <v>0.28521939953810621</v>
      </c>
      <c r="AS91" s="661">
        <f t="shared" si="73"/>
        <v>0.31088664421997753</v>
      </c>
      <c r="AT91" s="661">
        <f t="shared" si="73"/>
        <v>0.33559322033898303</v>
      </c>
      <c r="AU91" s="661">
        <f t="shared" si="73"/>
        <v>0.29858337404097579</v>
      </c>
      <c r="AV91" s="661">
        <f t="shared" si="73"/>
        <v>0.35138387484957884</v>
      </c>
      <c r="AW91" s="661">
        <f t="shared" si="73"/>
        <v>0.38628571428571429</v>
      </c>
      <c r="AX91" s="661">
        <f t="shared" si="73"/>
        <v>0.43341121495327101</v>
      </c>
      <c r="AY91" s="661">
        <f t="shared" si="73"/>
        <v>0.45285087719298245</v>
      </c>
      <c r="AZ91" s="661">
        <f t="shared" si="73"/>
        <v>0.40702360391479564</v>
      </c>
      <c r="BA91" s="661">
        <f t="shared" si="73"/>
        <v>0.48105625717566014</v>
      </c>
      <c r="BB91" s="661">
        <f t="shared" si="73"/>
        <v>0.50572320499479706</v>
      </c>
      <c r="BC91" s="661">
        <f t="shared" si="73"/>
        <v>0.50809061488673135</v>
      </c>
      <c r="BD91" s="661">
        <f t="shared" si="73"/>
        <v>0.52320675105485237</v>
      </c>
      <c r="BE91" s="661">
        <f t="shared" si="73"/>
        <v>0.50499055840302132</v>
      </c>
      <c r="BF91" s="661">
        <f t="shared" si="73"/>
        <v>0.5209903121636168</v>
      </c>
      <c r="BG91" s="793">
        <f>IFERROR(BG6/BG22,"NA")</f>
        <v>0.53207769276044736</v>
      </c>
      <c r="BH91" s="793">
        <f t="shared" ref="BH91:BI91" si="74">IFERROR(BH6/BH22,"NA")</f>
        <v>0.53971291866028703</v>
      </c>
      <c r="BI91" s="793">
        <f t="shared" si="74"/>
        <v>0.56773618538324422</v>
      </c>
      <c r="BJ91" s="661">
        <f>BF91+0.02</f>
        <v>0.54099031216361682</v>
      </c>
      <c r="BK91" s="661">
        <f>BJ91+0.01</f>
        <v>0.55099031216361682</v>
      </c>
      <c r="BL91" s="661">
        <f>BK91+0.01</f>
        <v>0.56099031216361683</v>
      </c>
      <c r="BM91" s="821">
        <f>BL91-(BM94-BL94)/2</f>
        <v>0.52849031216361686</v>
      </c>
      <c r="BN91" s="821">
        <f>BM91-(BN94-BM94)/2</f>
        <v>0.49599031216361689</v>
      </c>
      <c r="BO91" s="821">
        <f>BN91-(BO94-BN94)/2-(BO93-BN93)/3</f>
        <v>0.47361533533014855</v>
      </c>
      <c r="BP91" s="821">
        <f t="shared" ref="BP91:BS91" si="75">BO91-(BP94-BO94)/2-(BP93-BO93)/3</f>
        <v>0.45480285270504728</v>
      </c>
      <c r="BQ91" s="821">
        <f t="shared" si="75"/>
        <v>0.43142786428831309</v>
      </c>
      <c r="BR91" s="821">
        <f t="shared" si="75"/>
        <v>0.4161778758715789</v>
      </c>
      <c r="BS91" s="821">
        <f t="shared" si="75"/>
        <v>0.4009278874548447</v>
      </c>
      <c r="BT91" s="821">
        <f>BS91-(BT94-BS94)/2-(BT93-BS93)/1.5</f>
        <v>0.35422579659238856</v>
      </c>
      <c r="BU91" s="821">
        <f t="shared" ref="BU91:BW91" si="76">BT91-(BU94-BT94)/2-(BU93-BT93)/1.5</f>
        <v>0.31810701589673412</v>
      </c>
      <c r="BV91" s="821">
        <f t="shared" si="76"/>
        <v>0.28198823520107968</v>
      </c>
      <c r="BW91" s="821">
        <f t="shared" si="76"/>
        <v>0.24586945450542524</v>
      </c>
    </row>
    <row r="92" spans="2:76">
      <c r="B92" s="465" t="s">
        <v>514</v>
      </c>
      <c r="V92" s="661"/>
      <c r="W92" s="661"/>
      <c r="X92" s="661"/>
      <c r="Y92" s="661"/>
      <c r="Z92" s="661"/>
      <c r="AA92" s="661"/>
      <c r="AB92" s="661"/>
      <c r="AC92" s="661"/>
      <c r="AD92" s="661"/>
      <c r="AE92" s="661"/>
      <c r="AF92" s="661"/>
      <c r="AG92" s="661">
        <f t="shared" ref="AG92:BF92" si="77">AG13/AG22</f>
        <v>1</v>
      </c>
      <c r="AH92" s="661">
        <f t="shared" si="77"/>
        <v>1</v>
      </c>
      <c r="AI92" s="661">
        <f t="shared" si="77"/>
        <v>1</v>
      </c>
      <c r="AJ92" s="661">
        <f t="shared" si="77"/>
        <v>0.9709035222052067</v>
      </c>
      <c r="AK92" s="661">
        <f t="shared" si="77"/>
        <v>0.99213901530823334</v>
      </c>
      <c r="AL92" s="661">
        <f t="shared" si="77"/>
        <v>0.90166414523449323</v>
      </c>
      <c r="AM92" s="661">
        <f t="shared" si="77"/>
        <v>0.85650557620817847</v>
      </c>
      <c r="AN92" s="661">
        <f t="shared" si="77"/>
        <v>0.82294617563739381</v>
      </c>
      <c r="AO92" s="661">
        <f t="shared" si="77"/>
        <v>0.77395577395577397</v>
      </c>
      <c r="AP92" s="661">
        <f t="shared" si="77"/>
        <v>0.83511477133345013</v>
      </c>
      <c r="AQ92" s="661">
        <f t="shared" si="77"/>
        <v>0.73976852404247706</v>
      </c>
      <c r="AR92" s="661">
        <f t="shared" si="77"/>
        <v>0.71478060046189373</v>
      </c>
      <c r="AS92" s="661">
        <f t="shared" si="77"/>
        <v>0.68911335578002242</v>
      </c>
      <c r="AT92" s="661">
        <f t="shared" si="77"/>
        <v>0.66440677966101691</v>
      </c>
      <c r="AU92" s="661">
        <f t="shared" si="77"/>
        <v>0.70141662595902421</v>
      </c>
      <c r="AV92" s="661">
        <f t="shared" si="77"/>
        <v>0.64861612515042122</v>
      </c>
      <c r="AW92" s="661">
        <f t="shared" si="77"/>
        <v>0.61371428571428577</v>
      </c>
      <c r="AX92" s="661">
        <f t="shared" si="77"/>
        <v>0.56658878504672894</v>
      </c>
      <c r="AY92" s="661">
        <f t="shared" si="77"/>
        <v>0.54714912280701755</v>
      </c>
      <c r="AZ92" s="661">
        <f t="shared" si="77"/>
        <v>0.59297639608520436</v>
      </c>
      <c r="BA92" s="661">
        <f t="shared" si="77"/>
        <v>0.51894374282433986</v>
      </c>
      <c r="BB92" s="661">
        <f t="shared" si="77"/>
        <v>0.49427679500520294</v>
      </c>
      <c r="BC92" s="661">
        <f t="shared" si="77"/>
        <v>0.49190938511326859</v>
      </c>
      <c r="BD92" s="661">
        <f t="shared" si="77"/>
        <v>0.47679324894514769</v>
      </c>
      <c r="BE92" s="661">
        <f t="shared" si="77"/>
        <v>0.49500944159697868</v>
      </c>
      <c r="BF92" s="661">
        <f t="shared" si="77"/>
        <v>0.4790096878363832</v>
      </c>
      <c r="BG92" s="793">
        <f>IFERROR(BG13/BG22,"NA")</f>
        <v>0.46792230723955269</v>
      </c>
      <c r="BH92" s="793">
        <f t="shared" ref="BH92:BI92" si="78">IFERROR(BH13/BH22,"NA")</f>
        <v>0.46028708133971291</v>
      </c>
      <c r="BI92" s="793">
        <f t="shared" si="78"/>
        <v>0.43226381461675578</v>
      </c>
      <c r="BJ92" s="661">
        <f>1-BJ91-BJ93-BJ94</f>
        <v>0.45900968783638318</v>
      </c>
      <c r="BK92" s="661">
        <f t="shared" ref="BK92:BW92" si="79">1-BK91-BK93-BK94</f>
        <v>0.44900968783638318</v>
      </c>
      <c r="BL92" s="661">
        <f t="shared" si="79"/>
        <v>0.43900968783638317</v>
      </c>
      <c r="BM92" s="661">
        <f t="shared" si="79"/>
        <v>0.40650968783638314</v>
      </c>
      <c r="BN92" s="661">
        <f t="shared" si="79"/>
        <v>0.37400968783638311</v>
      </c>
      <c r="BO92" s="661">
        <f t="shared" si="79"/>
        <v>0.33738473416944637</v>
      </c>
      <c r="BP92" s="661">
        <f t="shared" si="79"/>
        <v>0.30788476891924388</v>
      </c>
      <c r="BQ92" s="661">
        <f t="shared" si="79"/>
        <v>0.27738479208577543</v>
      </c>
      <c r="BR92" s="661">
        <f t="shared" si="79"/>
        <v>0.25500981525230715</v>
      </c>
      <c r="BS92" s="661">
        <f t="shared" si="79"/>
        <v>0.23263483841883875</v>
      </c>
      <c r="BT92" s="661">
        <f t="shared" si="79"/>
        <v>0.20928379298761085</v>
      </c>
      <c r="BU92" s="661">
        <f t="shared" si="79"/>
        <v>0.19122440263978363</v>
      </c>
      <c r="BV92" s="661">
        <f t="shared" si="79"/>
        <v>0.17316501229195641</v>
      </c>
      <c r="BW92" s="661">
        <f t="shared" si="79"/>
        <v>0.15510562194412919</v>
      </c>
    </row>
    <row r="93" spans="2:76">
      <c r="B93" s="465" t="s">
        <v>846</v>
      </c>
      <c r="V93" s="661"/>
      <c r="W93" s="661"/>
      <c r="X93" s="661"/>
      <c r="Y93" s="661"/>
      <c r="Z93" s="661"/>
      <c r="AA93" s="661"/>
      <c r="AB93" s="661"/>
      <c r="AC93" s="661"/>
      <c r="AD93" s="661"/>
      <c r="AE93" s="661"/>
      <c r="AF93" s="661"/>
      <c r="AG93" s="661">
        <v>0</v>
      </c>
      <c r="AH93" s="661">
        <v>0</v>
      </c>
      <c r="AI93" s="661">
        <v>0</v>
      </c>
      <c r="AJ93" s="661">
        <v>0</v>
      </c>
      <c r="AK93" s="661">
        <v>0</v>
      </c>
      <c r="AL93" s="661">
        <v>0</v>
      </c>
      <c r="AM93" s="661">
        <v>0</v>
      </c>
      <c r="AN93" s="661">
        <v>0</v>
      </c>
      <c r="AO93" s="661">
        <v>0</v>
      </c>
      <c r="AP93" s="661">
        <v>0</v>
      </c>
      <c r="AQ93" s="661">
        <v>0</v>
      </c>
      <c r="AR93" s="661">
        <v>0</v>
      </c>
      <c r="AS93" s="661">
        <v>0</v>
      </c>
      <c r="AT93" s="661">
        <v>0</v>
      </c>
      <c r="AU93" s="661">
        <v>0</v>
      </c>
      <c r="AV93" s="661">
        <v>0</v>
      </c>
      <c r="AW93" s="661">
        <v>0</v>
      </c>
      <c r="AX93" s="661">
        <v>0</v>
      </c>
      <c r="AY93" s="661">
        <v>0</v>
      </c>
      <c r="AZ93" s="661">
        <v>0</v>
      </c>
      <c r="BA93" s="661">
        <v>0</v>
      </c>
      <c r="BB93" s="661">
        <v>0</v>
      </c>
      <c r="BC93" s="661">
        <v>0</v>
      </c>
      <c r="BD93" s="661">
        <v>0</v>
      </c>
      <c r="BE93" s="661">
        <v>0</v>
      </c>
      <c r="BF93" s="661">
        <v>0</v>
      </c>
      <c r="BG93" s="661">
        <v>0</v>
      </c>
      <c r="BH93" s="661">
        <v>0</v>
      </c>
      <c r="BI93" s="661">
        <v>0</v>
      </c>
      <c r="BJ93" s="661">
        <v>0</v>
      </c>
      <c r="BO93" s="661">
        <f>(BN82+BN83)*1.1</f>
        <v>4.2749930500405077E-2</v>
      </c>
      <c r="BP93" s="661">
        <f t="shared" ref="BP93:BW93" si="80">(BO82+BO83)*1.1</f>
        <v>7.4812378375708879E-2</v>
      </c>
      <c r="BQ93" s="661">
        <f t="shared" si="80"/>
        <v>9.6187343625911415E-2</v>
      </c>
      <c r="BR93" s="661">
        <f t="shared" si="80"/>
        <v>0.11756230887611396</v>
      </c>
      <c r="BS93" s="661">
        <f t="shared" si="80"/>
        <v>0.13893727412631651</v>
      </c>
      <c r="BT93" s="661">
        <f t="shared" si="80"/>
        <v>0.20899041042000069</v>
      </c>
      <c r="BU93" s="661">
        <f t="shared" si="80"/>
        <v>0.26316858146348232</v>
      </c>
      <c r="BV93" s="661">
        <f t="shared" si="80"/>
        <v>0.31734675250696398</v>
      </c>
      <c r="BW93" s="661">
        <f t="shared" si="80"/>
        <v>0.37152492355044564</v>
      </c>
    </row>
    <row r="94" spans="2:76">
      <c r="B94" s="465" t="s">
        <v>847</v>
      </c>
      <c r="V94" s="661"/>
      <c r="W94" s="661"/>
      <c r="X94" s="661"/>
      <c r="Y94" s="661"/>
      <c r="Z94" s="661"/>
      <c r="AA94" s="661"/>
      <c r="AB94" s="661"/>
      <c r="AC94" s="661"/>
      <c r="AD94" s="661"/>
      <c r="AE94" s="661"/>
      <c r="AF94" s="661"/>
      <c r="AG94" s="661">
        <v>0</v>
      </c>
      <c r="AH94" s="661">
        <v>0</v>
      </c>
      <c r="AI94" s="661">
        <v>0</v>
      </c>
      <c r="AJ94" s="661">
        <v>0</v>
      </c>
      <c r="AK94" s="661">
        <v>0</v>
      </c>
      <c r="AL94" s="661">
        <v>0</v>
      </c>
      <c r="AM94" s="661">
        <v>0</v>
      </c>
      <c r="AN94" s="661">
        <v>0</v>
      </c>
      <c r="AO94" s="661">
        <v>0</v>
      </c>
      <c r="AP94" s="661">
        <v>0</v>
      </c>
      <c r="AQ94" s="661">
        <v>0</v>
      </c>
      <c r="AR94" s="661">
        <v>0</v>
      </c>
      <c r="AS94" s="661">
        <v>0</v>
      </c>
      <c r="AT94" s="661">
        <v>0</v>
      </c>
      <c r="AU94" s="661">
        <v>0</v>
      </c>
      <c r="AV94" s="661">
        <v>0</v>
      </c>
      <c r="AW94" s="661">
        <v>0</v>
      </c>
      <c r="AX94" s="661">
        <v>0</v>
      </c>
      <c r="AY94" s="661">
        <v>0</v>
      </c>
      <c r="AZ94" s="661">
        <v>0</v>
      </c>
      <c r="BA94" s="661">
        <v>0</v>
      </c>
      <c r="BB94" s="661">
        <v>0</v>
      </c>
      <c r="BC94" s="661">
        <v>0</v>
      </c>
      <c r="BD94" s="661">
        <v>0</v>
      </c>
      <c r="BE94" s="661">
        <v>0</v>
      </c>
      <c r="BF94" s="661">
        <v>0</v>
      </c>
      <c r="BG94" s="661">
        <v>0</v>
      </c>
      <c r="BH94" s="661">
        <v>0</v>
      </c>
      <c r="BI94" s="661">
        <v>0</v>
      </c>
      <c r="BJ94" s="661">
        <v>0</v>
      </c>
      <c r="BK94" s="705">
        <f>BJ94</f>
        <v>0</v>
      </c>
      <c r="BL94" s="705">
        <f>BK94</f>
        <v>0</v>
      </c>
      <c r="BM94" s="661">
        <f>BL87*0.65</f>
        <v>6.5000000000000002E-2</v>
      </c>
      <c r="BN94" s="661">
        <f t="shared" ref="BN94:BW94" si="81">BM87*0.65</f>
        <v>0.13</v>
      </c>
      <c r="BO94" s="661">
        <f t="shared" si="81"/>
        <v>0.14625000000000002</v>
      </c>
      <c r="BP94" s="661">
        <f t="shared" si="81"/>
        <v>0.16250000000000001</v>
      </c>
      <c r="BQ94" s="661">
        <f t="shared" si="81"/>
        <v>0.19500000000000001</v>
      </c>
      <c r="BR94" s="661">
        <f t="shared" si="81"/>
        <v>0.21125000000000002</v>
      </c>
      <c r="BS94" s="661">
        <f t="shared" si="81"/>
        <v>0.22749999999999998</v>
      </c>
      <c r="BT94" s="661">
        <f t="shared" si="81"/>
        <v>0.22749999999999998</v>
      </c>
      <c r="BU94" s="661">
        <f t="shared" si="81"/>
        <v>0.22749999999999998</v>
      </c>
      <c r="BV94" s="661">
        <f t="shared" si="81"/>
        <v>0.22749999999999998</v>
      </c>
      <c r="BW94" s="661">
        <f t="shared" si="81"/>
        <v>0.22749999999999998</v>
      </c>
    </row>
    <row r="95" spans="2:76">
      <c r="B95" s="542" t="s">
        <v>184</v>
      </c>
      <c r="C95" s="460"/>
      <c r="D95" s="460"/>
      <c r="E95" s="460"/>
      <c r="F95" s="460"/>
      <c r="G95" s="542"/>
      <c r="H95" s="542"/>
      <c r="I95" s="542"/>
      <c r="J95" s="542"/>
      <c r="K95" s="542"/>
      <c r="L95" s="542"/>
      <c r="M95" s="542"/>
      <c r="N95" s="542"/>
      <c r="O95" s="542"/>
      <c r="P95" s="542"/>
      <c r="Q95" s="542"/>
      <c r="R95" s="542"/>
      <c r="S95" s="542"/>
      <c r="T95" s="542"/>
      <c r="U95" s="542"/>
      <c r="V95" s="1032"/>
      <c r="W95" s="1032"/>
      <c r="X95" s="1032"/>
      <c r="Y95" s="1032"/>
      <c r="Z95" s="1032"/>
      <c r="AA95" s="1032"/>
      <c r="AB95" s="1032"/>
      <c r="AC95" s="1032"/>
      <c r="AD95" s="1032"/>
      <c r="AE95" s="1032"/>
      <c r="AF95" s="1032"/>
      <c r="AG95" s="1032">
        <f t="shared" ref="AG95:BW95" si="82">SUM(AG91:AG94)</f>
        <v>1</v>
      </c>
      <c r="AH95" s="1032">
        <f t="shared" si="82"/>
        <v>1</v>
      </c>
      <c r="AI95" s="1032">
        <f t="shared" si="82"/>
        <v>1</v>
      </c>
      <c r="AJ95" s="1032">
        <f t="shared" si="82"/>
        <v>1</v>
      </c>
      <c r="AK95" s="1032">
        <f t="shared" si="82"/>
        <v>1</v>
      </c>
      <c r="AL95" s="1032">
        <f t="shared" si="82"/>
        <v>1</v>
      </c>
      <c r="AM95" s="1032">
        <f t="shared" si="82"/>
        <v>1</v>
      </c>
      <c r="AN95" s="1032">
        <f t="shared" si="82"/>
        <v>1</v>
      </c>
      <c r="AO95" s="1032">
        <f t="shared" si="82"/>
        <v>1</v>
      </c>
      <c r="AP95" s="1032">
        <f t="shared" si="82"/>
        <v>1</v>
      </c>
      <c r="AQ95" s="1032">
        <f t="shared" si="82"/>
        <v>1</v>
      </c>
      <c r="AR95" s="1032">
        <f t="shared" si="82"/>
        <v>1</v>
      </c>
      <c r="AS95" s="1032">
        <f t="shared" si="82"/>
        <v>1</v>
      </c>
      <c r="AT95" s="1032">
        <f t="shared" si="82"/>
        <v>1</v>
      </c>
      <c r="AU95" s="1032">
        <f t="shared" si="82"/>
        <v>1</v>
      </c>
      <c r="AV95" s="1032">
        <f t="shared" si="82"/>
        <v>1</v>
      </c>
      <c r="AW95" s="1032">
        <f t="shared" si="82"/>
        <v>1</v>
      </c>
      <c r="AX95" s="1032">
        <f t="shared" si="82"/>
        <v>1</v>
      </c>
      <c r="AY95" s="1032">
        <f t="shared" si="82"/>
        <v>1</v>
      </c>
      <c r="AZ95" s="1032">
        <f t="shared" si="82"/>
        <v>1</v>
      </c>
      <c r="BA95" s="1032">
        <f t="shared" si="82"/>
        <v>1</v>
      </c>
      <c r="BB95" s="1032">
        <f t="shared" si="82"/>
        <v>1</v>
      </c>
      <c r="BC95" s="1032">
        <f t="shared" si="82"/>
        <v>1</v>
      </c>
      <c r="BD95" s="1032">
        <f t="shared" si="82"/>
        <v>1</v>
      </c>
      <c r="BE95" s="1032">
        <f t="shared" si="82"/>
        <v>1</v>
      </c>
      <c r="BF95" s="1032">
        <f t="shared" si="82"/>
        <v>1</v>
      </c>
      <c r="BG95" s="1032">
        <f t="shared" si="82"/>
        <v>1</v>
      </c>
      <c r="BH95" s="1032">
        <f>SUM(BH91:BH94)</f>
        <v>1</v>
      </c>
      <c r="BI95" s="1032">
        <f t="shared" si="82"/>
        <v>1</v>
      </c>
      <c r="BJ95" s="1032">
        <f t="shared" si="82"/>
        <v>1</v>
      </c>
      <c r="BK95" s="1032">
        <f t="shared" si="82"/>
        <v>1</v>
      </c>
      <c r="BL95" s="1032">
        <f t="shared" si="82"/>
        <v>1</v>
      </c>
      <c r="BM95" s="1032">
        <f t="shared" si="82"/>
        <v>1</v>
      </c>
      <c r="BN95" s="1032">
        <f t="shared" si="82"/>
        <v>1</v>
      </c>
      <c r="BO95" s="1032">
        <f t="shared" si="82"/>
        <v>1</v>
      </c>
      <c r="BP95" s="1032">
        <f t="shared" si="82"/>
        <v>1</v>
      </c>
      <c r="BQ95" s="1032">
        <f t="shared" si="82"/>
        <v>1</v>
      </c>
      <c r="BR95" s="1032">
        <f t="shared" si="82"/>
        <v>1</v>
      </c>
      <c r="BS95" s="1032">
        <f t="shared" si="82"/>
        <v>1</v>
      </c>
      <c r="BT95" s="1032">
        <f t="shared" si="82"/>
        <v>1</v>
      </c>
      <c r="BU95" s="1032">
        <f t="shared" si="82"/>
        <v>1</v>
      </c>
      <c r="BV95" s="1032">
        <f t="shared" si="82"/>
        <v>1</v>
      </c>
      <c r="BW95" s="1032">
        <f t="shared" si="82"/>
        <v>1</v>
      </c>
    </row>
  </sheetData>
  <phoneticPr fontId="63" type="noConversion"/>
  <pageMargins left="0" right="0" top="0" bottom="0" header="0" footer="0"/>
  <pageSetup paperSize="5" scale="10" orientation="landscape" r:id="rId1"/>
  <ignoredErrors>
    <ignoredError sqref="BE12 AZ12" formula="1"/>
    <ignoredError sqref="BJ12" evalError="1"/>
  </ignoredError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2:BZ35"/>
  <sheetViews>
    <sheetView zoomScaleNormal="100" workbookViewId="0">
      <selection activeCell="S10" sqref="S10"/>
    </sheetView>
  </sheetViews>
  <sheetFormatPr defaultRowHeight="12.75" outlineLevelRow="1" outlineLevelCol="1"/>
  <cols>
    <col min="1" max="1" width="2.375" style="465" customWidth="1"/>
    <col min="2" max="2" width="42" style="465" bestFit="1" customWidth="1"/>
    <col min="3" max="6" width="9" style="465" hidden="1" customWidth="1" outlineLevel="1"/>
    <col min="7" max="7" width="9" style="465" collapsed="1"/>
    <col min="8" max="11" width="9" style="465" hidden="1" customWidth="1" outlineLevel="1"/>
    <col min="12" max="12" width="9" style="465" collapsed="1"/>
    <col min="13" max="16" width="9" style="465" hidden="1" customWidth="1" outlineLevel="1"/>
    <col min="17" max="17" width="9" style="465" collapsed="1"/>
    <col min="18" max="21" width="9" style="465" hidden="1" customWidth="1" outlineLevel="1"/>
    <col min="22" max="22" width="9" style="465" collapsed="1"/>
    <col min="23" max="26" width="9" style="465" customWidth="1" outlineLevel="1"/>
    <col min="27" max="27" width="9" style="465"/>
    <col min="28" max="31" width="9" style="465" customWidth="1" outlineLevel="1"/>
    <col min="32" max="32" width="9" style="465"/>
    <col min="33" max="36" width="0" style="465" hidden="1" customWidth="1" outlineLevel="1"/>
    <col min="37" max="37" width="9" style="465" collapsed="1"/>
    <col min="38" max="41" width="0" style="465" hidden="1" customWidth="1" outlineLevel="1"/>
    <col min="42" max="42" width="9" style="465" collapsed="1"/>
    <col min="43" max="46" width="0" style="465" hidden="1" customWidth="1" outlineLevel="1"/>
    <col min="47" max="47" width="9" style="465" collapsed="1"/>
    <col min="48" max="51" width="9" style="465" hidden="1" customWidth="1" outlineLevel="1"/>
    <col min="52" max="52" width="9" style="465" collapsed="1"/>
    <col min="53" max="56" width="0" style="465" hidden="1" customWidth="1" outlineLevel="1"/>
    <col min="57" max="57" width="9" style="465" collapsed="1"/>
    <col min="58" max="61" width="0" style="465" hidden="1" customWidth="1" outlineLevel="1"/>
    <col min="62" max="62" width="9" style="465" collapsed="1"/>
    <col min="63" max="66" width="0" style="465" hidden="1" customWidth="1" outlineLevel="1"/>
    <col min="67" max="67" width="9" style="465" collapsed="1"/>
    <col min="68" max="71" width="0" style="465" hidden="1" customWidth="1" outlineLevel="1"/>
    <col min="72" max="72" width="9" style="465" collapsed="1"/>
    <col min="73" max="76" width="9" style="465" hidden="1" customWidth="1" outlineLevel="1"/>
    <col min="77" max="77" width="9" style="465" collapsed="1"/>
    <col min="78" max="16384" width="9" style="465"/>
  </cols>
  <sheetData>
    <row r="2" spans="1:78" s="464" customFormat="1" ht="12.75" customHeight="1" thickBot="1">
      <c r="A2" s="457"/>
      <c r="B2" s="562"/>
      <c r="C2" s="563" t="s">
        <v>181</v>
      </c>
      <c r="D2" s="564" t="s">
        <v>185</v>
      </c>
      <c r="E2" s="564" t="s">
        <v>189</v>
      </c>
      <c r="F2" s="564" t="s">
        <v>220</v>
      </c>
      <c r="G2" s="565">
        <v>2012</v>
      </c>
      <c r="H2" s="564" t="s">
        <v>231</v>
      </c>
      <c r="I2" s="564" t="s">
        <v>273</v>
      </c>
      <c r="J2" s="564" t="s">
        <v>495</v>
      </c>
      <c r="K2" s="564" t="s">
        <v>496</v>
      </c>
      <c r="L2" s="565">
        <v>2013</v>
      </c>
      <c r="M2" s="564" t="s">
        <v>497</v>
      </c>
      <c r="N2" s="564" t="s">
        <v>498</v>
      </c>
      <c r="O2" s="564" t="s">
        <v>499</v>
      </c>
      <c r="P2" s="564" t="s">
        <v>500</v>
      </c>
      <c r="Q2" s="565">
        <v>2014</v>
      </c>
      <c r="R2" s="564" t="s">
        <v>111</v>
      </c>
      <c r="S2" s="564" t="s">
        <v>112</v>
      </c>
      <c r="T2" s="564" t="s">
        <v>113</v>
      </c>
      <c r="U2" s="564" t="s">
        <v>114</v>
      </c>
      <c r="V2" s="565" t="s">
        <v>115</v>
      </c>
      <c r="W2" s="564" t="s">
        <v>116</v>
      </c>
      <c r="X2" s="564" t="s">
        <v>117</v>
      </c>
      <c r="Y2" s="564" t="s">
        <v>118</v>
      </c>
      <c r="Z2" s="564" t="s">
        <v>119</v>
      </c>
      <c r="AA2" s="565" t="s">
        <v>120</v>
      </c>
      <c r="AB2" s="566" t="s">
        <v>121</v>
      </c>
      <c r="AC2" s="566" t="s">
        <v>122</v>
      </c>
      <c r="AD2" s="566" t="s">
        <v>123</v>
      </c>
      <c r="AE2" s="566" t="s">
        <v>124</v>
      </c>
      <c r="AF2" s="565" t="s">
        <v>125</v>
      </c>
      <c r="AG2" s="566" t="s">
        <v>126</v>
      </c>
      <c r="AH2" s="566" t="s">
        <v>127</v>
      </c>
      <c r="AI2" s="566" t="s">
        <v>128</v>
      </c>
      <c r="AJ2" s="566" t="s">
        <v>129</v>
      </c>
      <c r="AK2" s="565" t="s">
        <v>130</v>
      </c>
      <c r="AL2" s="566" t="s">
        <v>131</v>
      </c>
      <c r="AM2" s="566" t="s">
        <v>132</v>
      </c>
      <c r="AN2" s="566" t="s">
        <v>133</v>
      </c>
      <c r="AO2" s="566" t="s">
        <v>134</v>
      </c>
      <c r="AP2" s="565" t="s">
        <v>135</v>
      </c>
      <c r="AQ2" s="566" t="s">
        <v>136</v>
      </c>
      <c r="AR2" s="566" t="s">
        <v>137</v>
      </c>
      <c r="AS2" s="566" t="s">
        <v>138</v>
      </c>
      <c r="AT2" s="566" t="s">
        <v>139</v>
      </c>
      <c r="AU2" s="565" t="s">
        <v>140</v>
      </c>
      <c r="AV2" s="566" t="s">
        <v>141</v>
      </c>
      <c r="AW2" s="566" t="s">
        <v>142</v>
      </c>
      <c r="AX2" s="566" t="s">
        <v>143</v>
      </c>
      <c r="AY2" s="566" t="s">
        <v>144</v>
      </c>
      <c r="AZ2" s="567" t="s">
        <v>145</v>
      </c>
      <c r="BA2" s="566" t="s">
        <v>146</v>
      </c>
      <c r="BB2" s="566" t="s">
        <v>147</v>
      </c>
      <c r="BC2" s="566" t="s">
        <v>148</v>
      </c>
      <c r="BD2" s="566" t="s">
        <v>149</v>
      </c>
      <c r="BE2" s="567" t="s">
        <v>150</v>
      </c>
      <c r="BF2" s="566" t="s">
        <v>151</v>
      </c>
      <c r="BG2" s="566" t="s">
        <v>152</v>
      </c>
      <c r="BH2" s="566" t="s">
        <v>153</v>
      </c>
      <c r="BI2" s="566" t="s">
        <v>154</v>
      </c>
      <c r="BJ2" s="567" t="s">
        <v>155</v>
      </c>
      <c r="BK2" s="566" t="s">
        <v>156</v>
      </c>
      <c r="BL2" s="566" t="s">
        <v>157</v>
      </c>
      <c r="BM2" s="566" t="s">
        <v>158</v>
      </c>
      <c r="BN2" s="566" t="s">
        <v>159</v>
      </c>
      <c r="BO2" s="567" t="s">
        <v>160</v>
      </c>
      <c r="BP2" s="566" t="s">
        <v>161</v>
      </c>
      <c r="BQ2" s="566" t="s">
        <v>162</v>
      </c>
      <c r="BR2" s="566" t="s">
        <v>163</v>
      </c>
      <c r="BS2" s="566" t="s">
        <v>164</v>
      </c>
      <c r="BT2" s="567" t="s">
        <v>165</v>
      </c>
      <c r="BU2" s="566" t="s">
        <v>166</v>
      </c>
      <c r="BV2" s="566" t="s">
        <v>167</v>
      </c>
      <c r="BW2" s="566" t="s">
        <v>168</v>
      </c>
      <c r="BX2" s="566" t="s">
        <v>169</v>
      </c>
      <c r="BY2" s="567" t="s">
        <v>170</v>
      </c>
    </row>
    <row r="3" spans="1:78">
      <c r="C3" s="466"/>
      <c r="D3" s="466"/>
      <c r="E3" s="466"/>
      <c r="F3" s="466"/>
      <c r="H3" s="466"/>
      <c r="I3" s="466"/>
      <c r="J3" s="466"/>
      <c r="K3" s="466"/>
      <c r="M3" s="466"/>
      <c r="N3" s="466"/>
      <c r="O3" s="466"/>
      <c r="P3" s="466"/>
      <c r="R3" s="466"/>
      <c r="S3" s="466"/>
      <c r="T3" s="466"/>
      <c r="U3" s="466"/>
      <c r="W3" s="466"/>
      <c r="X3" s="466"/>
      <c r="Y3" s="466"/>
      <c r="Z3" s="466"/>
    </row>
    <row r="4" spans="1:78">
      <c r="B4" s="467" t="s">
        <v>676</v>
      </c>
      <c r="C4" s="490"/>
      <c r="D4" s="490"/>
      <c r="E4" s="490">
        <v>9</v>
      </c>
      <c r="F4" s="490">
        <f>G4-E4</f>
        <v>22.7</v>
      </c>
      <c r="G4" s="468">
        <v>31.7</v>
      </c>
      <c r="H4" s="568">
        <f>32.7-I4</f>
        <v>14.100000000000001</v>
      </c>
      <c r="I4" s="568">
        <v>18.600000000000001</v>
      </c>
      <c r="J4" s="568">
        <v>17.8</v>
      </c>
      <c r="K4" s="490">
        <f>L4-H4-I4-J4</f>
        <v>19.7</v>
      </c>
      <c r="L4" s="468">
        <v>70.2</v>
      </c>
      <c r="M4" s="570">
        <v>21.6</v>
      </c>
      <c r="N4" s="570">
        <v>21.2</v>
      </c>
      <c r="O4" s="570">
        <f>66.2-N4-M4</f>
        <v>23.4</v>
      </c>
      <c r="P4" s="490">
        <f>Q4-M4-N4-O4</f>
        <v>25.20000000000001</v>
      </c>
      <c r="Q4" s="468">
        <v>91.4</v>
      </c>
      <c r="R4" s="490">
        <f>$V$4/4</f>
        <v>27.42</v>
      </c>
      <c r="S4" s="490">
        <f>$V$4/4</f>
        <v>27.42</v>
      </c>
      <c r="T4" s="490">
        <f>$V$4/4</f>
        <v>27.42</v>
      </c>
      <c r="U4" s="490">
        <f>V4-SUM(R4:T4)</f>
        <v>27.42</v>
      </c>
      <c r="V4" s="569">
        <f>Q4*1.2</f>
        <v>109.68</v>
      </c>
      <c r="W4" s="490">
        <f>AA4/4</f>
        <v>31.533000000000001</v>
      </c>
      <c r="X4" s="490">
        <f>AA4/4</f>
        <v>31.533000000000001</v>
      </c>
      <c r="Y4" s="490">
        <f>AA4/4</f>
        <v>31.533000000000001</v>
      </c>
      <c r="Z4" s="490">
        <f>AA4-SUM(W4:Y4)</f>
        <v>31.533000000000001</v>
      </c>
      <c r="AA4" s="569">
        <f>V4*1.15</f>
        <v>126.13200000000001</v>
      </c>
      <c r="AB4" s="569"/>
      <c r="AC4" s="569"/>
      <c r="AD4" s="569"/>
      <c r="AE4" s="569"/>
      <c r="AF4" s="569">
        <f>AA4*1.1</f>
        <v>138.74520000000001</v>
      </c>
      <c r="AG4" s="569"/>
      <c r="AH4" s="569"/>
      <c r="AI4" s="569"/>
      <c r="AJ4" s="569"/>
      <c r="AK4" s="569">
        <f>AF4*1.05</f>
        <v>145.68246000000002</v>
      </c>
      <c r="AL4" s="569"/>
      <c r="AM4" s="569"/>
      <c r="AN4" s="569"/>
      <c r="AO4" s="569"/>
      <c r="AP4" s="569">
        <f>AK4*1.05</f>
        <v>152.96658300000001</v>
      </c>
      <c r="AQ4" s="569"/>
      <c r="AR4" s="569"/>
      <c r="AS4" s="569"/>
      <c r="AT4" s="569"/>
      <c r="AU4" s="569">
        <f>AP4*1.03</f>
        <v>157.55558049000001</v>
      </c>
      <c r="AV4" s="569"/>
      <c r="AW4" s="569"/>
      <c r="AX4" s="569"/>
      <c r="AY4" s="569"/>
      <c r="AZ4" s="569"/>
      <c r="BA4" s="569"/>
      <c r="BB4" s="569"/>
      <c r="BC4" s="569"/>
      <c r="BD4" s="569"/>
      <c r="BE4" s="569"/>
      <c r="BF4" s="569"/>
      <c r="BG4" s="569"/>
      <c r="BH4" s="569"/>
      <c r="BI4" s="569"/>
      <c r="BJ4" s="569"/>
      <c r="BK4" s="569"/>
      <c r="BL4" s="569"/>
      <c r="BM4" s="569"/>
      <c r="BN4" s="569"/>
      <c r="BO4" s="569"/>
      <c r="BP4" s="569"/>
      <c r="BQ4" s="569"/>
      <c r="BR4" s="569"/>
      <c r="BS4" s="569"/>
      <c r="BT4" s="569"/>
      <c r="BU4" s="569"/>
      <c r="BV4" s="569"/>
      <c r="BW4" s="569"/>
      <c r="BX4" s="569"/>
      <c r="BY4" s="569"/>
      <c r="BZ4" s="473"/>
    </row>
    <row r="5" spans="1:78">
      <c r="B5" s="535" t="s">
        <v>218</v>
      </c>
      <c r="C5" s="490"/>
      <c r="D5" s="490"/>
      <c r="E5" s="490"/>
      <c r="F5" s="490"/>
      <c r="G5" s="468">
        <v>0</v>
      </c>
      <c r="H5" s="570">
        <v>0</v>
      </c>
      <c r="I5" s="570">
        <v>0</v>
      </c>
      <c r="J5" s="570">
        <v>0</v>
      </c>
      <c r="K5" s="570">
        <v>0</v>
      </c>
      <c r="L5" s="469">
        <f>SUM(H5:K5)</f>
        <v>0</v>
      </c>
      <c r="M5" s="570">
        <v>0</v>
      </c>
      <c r="N5" s="570">
        <v>0</v>
      </c>
      <c r="O5" s="570">
        <v>0</v>
      </c>
      <c r="P5" s="570">
        <f>Q5-M5-N5-O5</f>
        <v>0</v>
      </c>
      <c r="Q5" s="468">
        <v>0</v>
      </c>
      <c r="R5" s="490">
        <f>$V$5/4</f>
        <v>2.7420000000000004</v>
      </c>
      <c r="S5" s="490">
        <f t="shared" ref="S5" si="0">$V$5/4</f>
        <v>2.7420000000000004</v>
      </c>
      <c r="T5" s="490">
        <f>$V$5/4</f>
        <v>2.7420000000000004</v>
      </c>
      <c r="U5" s="490">
        <f>V5-SUM(R5:T5)</f>
        <v>2.7420000000000009</v>
      </c>
      <c r="V5" s="569">
        <f>V4*0.1</f>
        <v>10.968000000000002</v>
      </c>
      <c r="W5" s="490">
        <f>AA5/4</f>
        <v>3.1533000000000002</v>
      </c>
      <c r="X5" s="490">
        <f>AA5/4</f>
        <v>3.1533000000000002</v>
      </c>
      <c r="Y5" s="490">
        <f>AA5/4</f>
        <v>3.1533000000000002</v>
      </c>
      <c r="Z5" s="490">
        <f>AA5-SUM(W5:Y5)</f>
        <v>3.1532999999999998</v>
      </c>
      <c r="AA5" s="569">
        <f>AA4*0.1</f>
        <v>12.613200000000001</v>
      </c>
      <c r="AB5" s="569"/>
      <c r="AC5" s="569"/>
      <c r="AD5" s="569"/>
      <c r="AE5" s="569"/>
      <c r="AF5" s="569">
        <f>AF4*0.1</f>
        <v>13.874520000000002</v>
      </c>
      <c r="AG5" s="569"/>
      <c r="AH5" s="569"/>
      <c r="AI5" s="569"/>
      <c r="AJ5" s="569"/>
      <c r="AK5" s="569">
        <f>AK4*0.1</f>
        <v>14.568246000000002</v>
      </c>
      <c r="AL5" s="569"/>
      <c r="AM5" s="569"/>
      <c r="AN5" s="569"/>
      <c r="AO5" s="569"/>
      <c r="AP5" s="569">
        <f>AP4*0.1</f>
        <v>15.296658300000002</v>
      </c>
      <c r="AQ5" s="569"/>
      <c r="AR5" s="569"/>
      <c r="AS5" s="569"/>
      <c r="AT5" s="569"/>
      <c r="AU5" s="569">
        <f>AU4*0.1</f>
        <v>15.755558049000001</v>
      </c>
      <c r="AV5" s="569"/>
      <c r="AW5" s="569"/>
      <c r="AX5" s="569"/>
      <c r="AY5" s="569"/>
      <c r="AZ5" s="472"/>
      <c r="BA5" s="569"/>
      <c r="BB5" s="569"/>
      <c r="BC5" s="569"/>
      <c r="BD5" s="569"/>
      <c r="BE5" s="472"/>
      <c r="BF5" s="569"/>
      <c r="BG5" s="569"/>
      <c r="BH5" s="569"/>
      <c r="BI5" s="569"/>
      <c r="BJ5" s="472"/>
      <c r="BK5" s="569"/>
      <c r="BL5" s="569"/>
      <c r="BM5" s="569"/>
      <c r="BN5" s="569"/>
      <c r="BO5" s="472"/>
      <c r="BP5" s="569"/>
      <c r="BQ5" s="569"/>
      <c r="BR5" s="569"/>
      <c r="BS5" s="569"/>
      <c r="BT5" s="472"/>
      <c r="BU5" s="569"/>
      <c r="BV5" s="569"/>
      <c r="BW5" s="569"/>
      <c r="BX5" s="569"/>
      <c r="BY5" s="472"/>
      <c r="BZ5" s="473"/>
    </row>
    <row r="6" spans="1:78">
      <c r="B6" s="571" t="s">
        <v>675</v>
      </c>
      <c r="C6" s="572"/>
      <c r="D6" s="572"/>
      <c r="E6" s="572"/>
      <c r="F6" s="572"/>
      <c r="G6" s="573">
        <f>G5+G4</f>
        <v>31.7</v>
      </c>
      <c r="H6" s="572">
        <f t="shared" ref="H6:AY6" si="1">H5+H4</f>
        <v>14.100000000000001</v>
      </c>
      <c r="I6" s="572">
        <f t="shared" si="1"/>
        <v>18.600000000000001</v>
      </c>
      <c r="J6" s="572">
        <f t="shared" si="1"/>
        <v>17.8</v>
      </c>
      <c r="K6" s="572">
        <f t="shared" si="1"/>
        <v>19.7</v>
      </c>
      <c r="L6" s="573">
        <f t="shared" si="1"/>
        <v>70.2</v>
      </c>
      <c r="M6" s="572">
        <f t="shared" si="1"/>
        <v>21.6</v>
      </c>
      <c r="N6" s="572">
        <f t="shared" si="1"/>
        <v>21.2</v>
      </c>
      <c r="O6" s="572">
        <f t="shared" si="1"/>
        <v>23.4</v>
      </c>
      <c r="P6" s="572">
        <f t="shared" si="1"/>
        <v>25.20000000000001</v>
      </c>
      <c r="Q6" s="573">
        <f t="shared" si="1"/>
        <v>91.4</v>
      </c>
      <c r="R6" s="572">
        <f t="shared" si="1"/>
        <v>30.162000000000003</v>
      </c>
      <c r="S6" s="572">
        <f t="shared" si="1"/>
        <v>30.162000000000003</v>
      </c>
      <c r="T6" s="572">
        <f>T5+T4</f>
        <v>30.162000000000003</v>
      </c>
      <c r="U6" s="572">
        <f t="shared" si="1"/>
        <v>30.162000000000003</v>
      </c>
      <c r="V6" s="573">
        <f t="shared" si="1"/>
        <v>120.64800000000001</v>
      </c>
      <c r="W6" s="572">
        <f t="shared" si="1"/>
        <v>34.686300000000003</v>
      </c>
      <c r="X6" s="572">
        <f t="shared" si="1"/>
        <v>34.686300000000003</v>
      </c>
      <c r="Y6" s="572">
        <f t="shared" si="1"/>
        <v>34.686300000000003</v>
      </c>
      <c r="Z6" s="572">
        <f t="shared" si="1"/>
        <v>34.686300000000003</v>
      </c>
      <c r="AA6" s="573">
        <f t="shared" si="1"/>
        <v>138.74520000000001</v>
      </c>
      <c r="AB6" s="573">
        <f t="shared" si="1"/>
        <v>0</v>
      </c>
      <c r="AC6" s="573">
        <f t="shared" si="1"/>
        <v>0</v>
      </c>
      <c r="AD6" s="573">
        <f t="shared" si="1"/>
        <v>0</v>
      </c>
      <c r="AE6" s="573">
        <f t="shared" si="1"/>
        <v>0</v>
      </c>
      <c r="AF6" s="573">
        <f t="shared" si="1"/>
        <v>152.61972</v>
      </c>
      <c r="AG6" s="573">
        <f t="shared" si="1"/>
        <v>0</v>
      </c>
      <c r="AH6" s="573">
        <f t="shared" si="1"/>
        <v>0</v>
      </c>
      <c r="AI6" s="573">
        <f t="shared" si="1"/>
        <v>0</v>
      </c>
      <c r="AJ6" s="573">
        <f t="shared" si="1"/>
        <v>0</v>
      </c>
      <c r="AK6" s="573">
        <f t="shared" si="1"/>
        <v>160.25070600000004</v>
      </c>
      <c r="AL6" s="573">
        <f t="shared" si="1"/>
        <v>0</v>
      </c>
      <c r="AM6" s="573">
        <f t="shared" si="1"/>
        <v>0</v>
      </c>
      <c r="AN6" s="573">
        <f t="shared" si="1"/>
        <v>0</v>
      </c>
      <c r="AO6" s="573">
        <f t="shared" si="1"/>
        <v>0</v>
      </c>
      <c r="AP6" s="573">
        <f t="shared" si="1"/>
        <v>168.2632413</v>
      </c>
      <c r="AQ6" s="573">
        <f t="shared" si="1"/>
        <v>0</v>
      </c>
      <c r="AR6" s="573">
        <f t="shared" si="1"/>
        <v>0</v>
      </c>
      <c r="AS6" s="573">
        <f t="shared" si="1"/>
        <v>0</v>
      </c>
      <c r="AT6" s="573">
        <f t="shared" si="1"/>
        <v>0</v>
      </c>
      <c r="AU6" s="573">
        <f t="shared" si="1"/>
        <v>173.31113853900001</v>
      </c>
      <c r="AV6" s="569">
        <f t="shared" si="1"/>
        <v>0</v>
      </c>
      <c r="AW6" s="569">
        <f t="shared" si="1"/>
        <v>0</v>
      </c>
      <c r="AX6" s="569">
        <f t="shared" si="1"/>
        <v>0</v>
      </c>
      <c r="AY6" s="569">
        <f t="shared" si="1"/>
        <v>0</v>
      </c>
      <c r="AZ6" s="472"/>
      <c r="BA6" s="569"/>
      <c r="BB6" s="569"/>
      <c r="BC6" s="569"/>
      <c r="BD6" s="569"/>
      <c r="BE6" s="472"/>
      <c r="BF6" s="569"/>
      <c r="BG6" s="569"/>
      <c r="BH6" s="569"/>
      <c r="BI6" s="569"/>
      <c r="BJ6" s="472"/>
      <c r="BK6" s="569"/>
      <c r="BL6" s="569"/>
      <c r="BM6" s="569"/>
      <c r="BN6" s="569"/>
      <c r="BO6" s="472"/>
      <c r="BP6" s="569"/>
      <c r="BQ6" s="569"/>
      <c r="BR6" s="569"/>
      <c r="BS6" s="569"/>
      <c r="BT6" s="472"/>
      <c r="BU6" s="569"/>
      <c r="BV6" s="569"/>
      <c r="BW6" s="569"/>
      <c r="BX6" s="569"/>
      <c r="BY6" s="472"/>
      <c r="BZ6" s="473"/>
    </row>
    <row r="7" spans="1:78">
      <c r="B7" s="535"/>
      <c r="C7" s="490"/>
      <c r="D7" s="490"/>
      <c r="E7" s="490"/>
      <c r="F7" s="490"/>
      <c r="G7" s="468"/>
      <c r="H7" s="466"/>
      <c r="I7" s="466"/>
      <c r="J7" s="466"/>
      <c r="K7" s="466"/>
      <c r="L7" s="472"/>
      <c r="M7" s="490"/>
      <c r="N7" s="490"/>
      <c r="O7" s="490"/>
      <c r="P7" s="490"/>
      <c r="Q7" s="472"/>
      <c r="R7" s="490"/>
      <c r="S7" s="490"/>
      <c r="T7" s="490"/>
      <c r="U7" s="490"/>
      <c r="V7" s="472"/>
      <c r="W7" s="490"/>
      <c r="X7" s="490"/>
      <c r="Y7" s="490"/>
      <c r="Z7" s="490"/>
      <c r="AA7" s="472"/>
      <c r="AB7" s="569"/>
      <c r="AC7" s="569"/>
      <c r="AD7" s="569"/>
      <c r="AE7" s="569"/>
      <c r="AF7" s="472"/>
      <c r="AG7" s="569"/>
      <c r="AH7" s="569"/>
      <c r="AI7" s="569"/>
      <c r="AJ7" s="569"/>
      <c r="AK7" s="472"/>
      <c r="AL7" s="569"/>
      <c r="AM7" s="569"/>
      <c r="AN7" s="569"/>
      <c r="AO7" s="569"/>
      <c r="AP7" s="472"/>
      <c r="AQ7" s="569"/>
      <c r="AR7" s="569"/>
      <c r="AS7" s="569"/>
      <c r="AT7" s="569"/>
      <c r="AU7" s="472"/>
      <c r="AV7" s="569"/>
      <c r="AW7" s="569"/>
      <c r="AX7" s="569"/>
      <c r="AY7" s="569"/>
      <c r="AZ7" s="472"/>
      <c r="BA7" s="569"/>
      <c r="BB7" s="569"/>
      <c r="BC7" s="569"/>
      <c r="BD7" s="569"/>
      <c r="BE7" s="472"/>
      <c r="BF7" s="569"/>
      <c r="BG7" s="569"/>
      <c r="BH7" s="569"/>
      <c r="BI7" s="569"/>
      <c r="BJ7" s="472"/>
      <c r="BK7" s="569"/>
      <c r="BL7" s="569"/>
      <c r="BM7" s="569"/>
      <c r="BN7" s="569"/>
      <c r="BO7" s="472"/>
      <c r="BP7" s="569"/>
      <c r="BQ7" s="569"/>
      <c r="BR7" s="569"/>
      <c r="BS7" s="569"/>
      <c r="BT7" s="472"/>
      <c r="BU7" s="569"/>
      <c r="BV7" s="569"/>
      <c r="BW7" s="569"/>
      <c r="BX7" s="569"/>
      <c r="BY7" s="472"/>
      <c r="BZ7" s="473"/>
    </row>
    <row r="8" spans="1:78" s="574" customFormat="1" outlineLevel="1">
      <c r="B8" s="527" t="s">
        <v>647</v>
      </c>
      <c r="C8" s="575"/>
      <c r="D8" s="575"/>
      <c r="E8" s="576"/>
      <c r="F8" s="576"/>
      <c r="G8" s="577">
        <v>0.1</v>
      </c>
      <c r="H8" s="578">
        <f>G8</f>
        <v>0.1</v>
      </c>
      <c r="I8" s="578">
        <f>H8</f>
        <v>0.1</v>
      </c>
      <c r="J8" s="578">
        <f>I8</f>
        <v>0.1</v>
      </c>
      <c r="K8" s="578">
        <f>J8</f>
        <v>0.1</v>
      </c>
      <c r="L8" s="579">
        <f>L9/L4</f>
        <v>0.1</v>
      </c>
      <c r="M8" s="578">
        <f>L8</f>
        <v>0.1</v>
      </c>
      <c r="N8" s="578">
        <f>M8</f>
        <v>0.1</v>
      </c>
      <c r="O8" s="578">
        <f>N8</f>
        <v>0.1</v>
      </c>
      <c r="P8" s="578">
        <f>O8</f>
        <v>0.1</v>
      </c>
      <c r="Q8" s="579">
        <f>Q9/Q4</f>
        <v>0.1</v>
      </c>
      <c r="R8" s="578">
        <f>V8</f>
        <v>0.1</v>
      </c>
      <c r="S8" s="578">
        <f>R8</f>
        <v>0.1</v>
      </c>
      <c r="T8" s="578">
        <f>S8</f>
        <v>0.1</v>
      </c>
      <c r="U8" s="578">
        <f>T8</f>
        <v>0.1</v>
      </c>
      <c r="V8" s="579">
        <f>V9/V4</f>
        <v>0.1</v>
      </c>
      <c r="W8" s="576">
        <f>U8</f>
        <v>0.1</v>
      </c>
      <c r="X8" s="576">
        <f>W8</f>
        <v>0.1</v>
      </c>
      <c r="Y8" s="576">
        <f t="shared" ref="Y8:Z8" si="2">X8</f>
        <v>0.1</v>
      </c>
      <c r="Z8" s="576">
        <f t="shared" si="2"/>
        <v>0.1</v>
      </c>
      <c r="AA8" s="579">
        <f>V8</f>
        <v>0.1</v>
      </c>
      <c r="AB8" s="579"/>
      <c r="AC8" s="579"/>
      <c r="AD8" s="579"/>
      <c r="AE8" s="579"/>
      <c r="AF8" s="579">
        <f>AA8</f>
        <v>0.1</v>
      </c>
      <c r="AG8" s="579"/>
      <c r="AH8" s="579"/>
      <c r="AI8" s="579"/>
      <c r="AJ8" s="579"/>
      <c r="AK8" s="579">
        <f>AF8</f>
        <v>0.1</v>
      </c>
      <c r="AL8" s="579"/>
      <c r="AM8" s="579"/>
      <c r="AN8" s="579"/>
      <c r="AO8" s="579"/>
      <c r="AP8" s="579">
        <f>AK8</f>
        <v>0.1</v>
      </c>
      <c r="AQ8" s="579"/>
      <c r="AR8" s="579"/>
      <c r="AS8" s="579"/>
      <c r="AT8" s="579"/>
      <c r="AU8" s="579">
        <f>AP8</f>
        <v>0.1</v>
      </c>
      <c r="AV8" s="580"/>
      <c r="AW8" s="580"/>
      <c r="AX8" s="580"/>
      <c r="AY8" s="580"/>
      <c r="AZ8" s="581"/>
      <c r="BA8" s="580"/>
      <c r="BB8" s="580"/>
      <c r="BC8" s="580"/>
      <c r="BD8" s="580"/>
      <c r="BE8" s="581"/>
      <c r="BF8" s="580"/>
      <c r="BG8" s="580"/>
      <c r="BH8" s="580"/>
      <c r="BI8" s="580"/>
      <c r="BJ8" s="581"/>
      <c r="BK8" s="580"/>
      <c r="BL8" s="580"/>
      <c r="BM8" s="580"/>
      <c r="BN8" s="580"/>
      <c r="BO8" s="581"/>
      <c r="BP8" s="580"/>
      <c r="BQ8" s="580"/>
      <c r="BR8" s="580"/>
      <c r="BS8" s="580"/>
      <c r="BT8" s="581"/>
      <c r="BU8" s="580"/>
      <c r="BV8" s="580"/>
      <c r="BW8" s="580"/>
      <c r="BX8" s="580"/>
      <c r="BY8" s="581"/>
      <c r="BZ8" s="582"/>
    </row>
    <row r="9" spans="1:78">
      <c r="B9" s="467" t="s">
        <v>6</v>
      </c>
      <c r="C9" s="490"/>
      <c r="D9" s="490"/>
      <c r="E9" s="490"/>
      <c r="F9" s="490"/>
      <c r="G9" s="569">
        <f>0.1*G4</f>
        <v>3.17</v>
      </c>
      <c r="H9" s="490">
        <f>H8*H4</f>
        <v>1.4100000000000001</v>
      </c>
      <c r="I9" s="490">
        <f t="shared" ref="I9:K9" si="3">I8*I4</f>
        <v>1.8600000000000003</v>
      </c>
      <c r="J9" s="490">
        <f t="shared" si="3"/>
        <v>1.7800000000000002</v>
      </c>
      <c r="K9" s="490">
        <f t="shared" si="3"/>
        <v>1.97</v>
      </c>
      <c r="L9" s="569">
        <f>SUM(H9:K9)</f>
        <v>7.0200000000000005</v>
      </c>
      <c r="M9" s="490">
        <f>M8*M4</f>
        <v>2.16</v>
      </c>
      <c r="N9" s="490">
        <f t="shared" ref="N9" si="4">N8*N4</f>
        <v>2.12</v>
      </c>
      <c r="O9" s="490">
        <f t="shared" ref="O9" si="5">O8*O4</f>
        <v>2.34</v>
      </c>
      <c r="P9" s="490">
        <f t="shared" ref="P9" si="6">P8*P4</f>
        <v>2.5200000000000014</v>
      </c>
      <c r="Q9" s="569">
        <f>SUM(M9:P9)</f>
        <v>9.14</v>
      </c>
      <c r="R9" s="490">
        <f>R8*R4</f>
        <v>2.7420000000000004</v>
      </c>
      <c r="S9" s="490">
        <f t="shared" ref="S9" si="7">S8*S4</f>
        <v>2.7420000000000004</v>
      </c>
      <c r="T9" s="490">
        <f>T8*T4</f>
        <v>2.7420000000000004</v>
      </c>
      <c r="U9" s="490">
        <f>U8*U4</f>
        <v>2.7420000000000004</v>
      </c>
      <c r="V9" s="569">
        <f>V4*0.1</f>
        <v>10.968000000000002</v>
      </c>
      <c r="W9" s="490">
        <f>W8*W4</f>
        <v>3.1533000000000002</v>
      </c>
      <c r="X9" s="490">
        <f t="shared" ref="X9:Z9" si="8">X8*X4</f>
        <v>3.1533000000000002</v>
      </c>
      <c r="Y9" s="490">
        <f t="shared" si="8"/>
        <v>3.1533000000000002</v>
      </c>
      <c r="Z9" s="490">
        <f t="shared" si="8"/>
        <v>3.1533000000000002</v>
      </c>
      <c r="AA9" s="569">
        <f>AA4*0.1</f>
        <v>12.613200000000001</v>
      </c>
      <c r="AB9" s="569"/>
      <c r="AC9" s="569"/>
      <c r="AD9" s="569"/>
      <c r="AE9" s="569"/>
      <c r="AF9" s="569">
        <f>AF4*0.1</f>
        <v>13.874520000000002</v>
      </c>
      <c r="AG9" s="569"/>
      <c r="AH9" s="569"/>
      <c r="AI9" s="569"/>
      <c r="AJ9" s="569"/>
      <c r="AK9" s="569">
        <f>AK4*0.1</f>
        <v>14.568246000000002</v>
      </c>
      <c r="AL9" s="569"/>
      <c r="AM9" s="569"/>
      <c r="AN9" s="569"/>
      <c r="AO9" s="569"/>
      <c r="AP9" s="569">
        <f>AP4*0.1</f>
        <v>15.296658300000002</v>
      </c>
      <c r="AQ9" s="569"/>
      <c r="AR9" s="569"/>
      <c r="AS9" s="569"/>
      <c r="AT9" s="569"/>
      <c r="AU9" s="569">
        <f>AU4*0.1</f>
        <v>15.755558049000001</v>
      </c>
      <c r="AV9" s="469"/>
      <c r="AW9" s="469"/>
      <c r="AX9" s="469"/>
      <c r="AY9" s="469"/>
      <c r="AZ9" s="472"/>
      <c r="BA9" s="469"/>
      <c r="BB9" s="469"/>
      <c r="BC9" s="469"/>
      <c r="BD9" s="469"/>
      <c r="BE9" s="472"/>
      <c r="BF9" s="469"/>
      <c r="BG9" s="469"/>
      <c r="BH9" s="469"/>
      <c r="BI9" s="469"/>
      <c r="BJ9" s="472"/>
      <c r="BK9" s="469"/>
      <c r="BL9" s="469"/>
      <c r="BM9" s="469"/>
      <c r="BN9" s="469"/>
      <c r="BO9" s="472"/>
      <c r="BP9" s="469"/>
      <c r="BQ9" s="469"/>
      <c r="BR9" s="469"/>
      <c r="BS9" s="469"/>
      <c r="BT9" s="472"/>
      <c r="BU9" s="469"/>
      <c r="BV9" s="469"/>
      <c r="BW9" s="469"/>
      <c r="BX9" s="469"/>
      <c r="BY9" s="472"/>
    </row>
    <row r="10" spans="1:78">
      <c r="B10" s="467" t="s">
        <v>216</v>
      </c>
      <c r="C10" s="490"/>
      <c r="D10" s="490"/>
      <c r="E10" s="490"/>
      <c r="F10" s="490"/>
      <c r="G10" s="469">
        <f>G6-G9-G11</f>
        <v>79.73</v>
      </c>
      <c r="H10" s="470">
        <f>H6-H9-H11</f>
        <v>28.268000000000001</v>
      </c>
      <c r="I10" s="470">
        <f>I6-I9-I11</f>
        <v>33.171999999999997</v>
      </c>
      <c r="J10" s="470">
        <f>J6-J9-J11</f>
        <v>29.17</v>
      </c>
      <c r="K10" s="470">
        <f>K6-K9-K11</f>
        <v>34.17</v>
      </c>
      <c r="L10" s="569">
        <f>SUM(H10:K10)</f>
        <v>124.78</v>
      </c>
      <c r="M10" s="470">
        <f>M6-M9-M11</f>
        <v>25.864000000000001</v>
      </c>
      <c r="N10" s="470">
        <f>N6-N9-N11</f>
        <v>20.463999999999999</v>
      </c>
      <c r="O10" s="470">
        <f>O6-O9-O11</f>
        <v>23.076000000000001</v>
      </c>
      <c r="P10" s="470">
        <f>P6-P9-P11</f>
        <v>22.680000000000007</v>
      </c>
      <c r="Q10" s="468">
        <v>95</v>
      </c>
      <c r="R10" s="470">
        <f>$V$10/4</f>
        <v>24.7</v>
      </c>
      <c r="S10" s="470">
        <f>$V$10/4</f>
        <v>24.7</v>
      </c>
      <c r="T10" s="470">
        <f t="shared" ref="T10" si="9">$V$10/4</f>
        <v>24.7</v>
      </c>
      <c r="U10" s="490">
        <f>V10-SUM(R10:T10)</f>
        <v>24.700000000000003</v>
      </c>
      <c r="V10" s="569">
        <f>Q10*1.04</f>
        <v>98.8</v>
      </c>
      <c r="W10" s="490">
        <f>AA10/4</f>
        <v>24.946999999999999</v>
      </c>
      <c r="X10" s="490">
        <f>AA10/4</f>
        <v>24.946999999999999</v>
      </c>
      <c r="Y10" s="490">
        <f>AA10/4</f>
        <v>24.946999999999999</v>
      </c>
      <c r="Z10" s="490">
        <f>AA10-SUM(W10:Y10)</f>
        <v>24.947000000000003</v>
      </c>
      <c r="AA10" s="569">
        <f>V10*1.01</f>
        <v>99.787999999999997</v>
      </c>
      <c r="AB10" s="569"/>
      <c r="AC10" s="569"/>
      <c r="AD10" s="569"/>
      <c r="AE10" s="569"/>
      <c r="AF10" s="569">
        <f>AA10*1.01</f>
        <v>100.78587999999999</v>
      </c>
      <c r="AG10" s="569"/>
      <c r="AH10" s="569"/>
      <c r="AI10" s="569"/>
      <c r="AJ10" s="569"/>
      <c r="AK10" s="569">
        <f>AF10*1.01</f>
        <v>101.79373879999999</v>
      </c>
      <c r="AL10" s="569"/>
      <c r="AM10" s="569"/>
      <c r="AN10" s="569"/>
      <c r="AO10" s="569"/>
      <c r="AP10" s="569">
        <f>AK10*1.01</f>
        <v>102.81167618799999</v>
      </c>
      <c r="AQ10" s="569"/>
      <c r="AR10" s="569"/>
      <c r="AS10" s="569"/>
      <c r="AT10" s="569"/>
      <c r="AU10" s="569">
        <f>AP10*1.01</f>
        <v>103.83979294987999</v>
      </c>
      <c r="AV10" s="469"/>
      <c r="AW10" s="469"/>
      <c r="AX10" s="469"/>
      <c r="AY10" s="469"/>
      <c r="AZ10" s="472"/>
      <c r="BA10" s="469"/>
      <c r="BB10" s="469"/>
      <c r="BC10" s="469"/>
      <c r="BD10" s="469"/>
      <c r="BE10" s="472"/>
      <c r="BF10" s="469"/>
      <c r="BG10" s="469"/>
      <c r="BH10" s="469"/>
      <c r="BI10" s="469"/>
      <c r="BJ10" s="472"/>
      <c r="BK10" s="469"/>
      <c r="BL10" s="469"/>
      <c r="BM10" s="469"/>
      <c r="BN10" s="469"/>
      <c r="BO10" s="472"/>
      <c r="BP10" s="469"/>
      <c r="BQ10" s="469"/>
      <c r="BR10" s="469"/>
      <c r="BS10" s="469"/>
      <c r="BT10" s="472"/>
      <c r="BU10" s="469"/>
      <c r="BV10" s="469"/>
      <c r="BW10" s="469"/>
      <c r="BX10" s="469"/>
      <c r="BY10" s="472"/>
    </row>
    <row r="11" spans="1:78">
      <c r="B11" s="522" t="s">
        <v>217</v>
      </c>
      <c r="C11" s="572"/>
      <c r="D11" s="572"/>
      <c r="E11" s="572"/>
      <c r="F11" s="572"/>
      <c r="G11" s="583">
        <f>G13*2</f>
        <v>-51.2</v>
      </c>
      <c r="H11" s="583">
        <f>H13*2</f>
        <v>-15.577999999999999</v>
      </c>
      <c r="I11" s="583">
        <f>I13*2</f>
        <v>-16.431999999999999</v>
      </c>
      <c r="J11" s="583">
        <f>J13*2</f>
        <v>-13.15</v>
      </c>
      <c r="K11" s="583">
        <f>K13*2</f>
        <v>-16.440000000000005</v>
      </c>
      <c r="L11" s="584">
        <f t="shared" ref="L11:Q11" si="10">L6-L9-L10</f>
        <v>-61.6</v>
      </c>
      <c r="M11" s="583">
        <f>M13*2</f>
        <v>-6.4240000000000004</v>
      </c>
      <c r="N11" s="583">
        <f>N13*2</f>
        <v>-1.3839999999999999</v>
      </c>
      <c r="O11" s="583">
        <f>O13*2</f>
        <v>-2.016</v>
      </c>
      <c r="P11" s="583">
        <f>P13*2</f>
        <v>0</v>
      </c>
      <c r="Q11" s="573">
        <f t="shared" si="10"/>
        <v>-12.739999999999995</v>
      </c>
      <c r="R11" s="585">
        <f>R6-R9-R10</f>
        <v>2.7200000000000024</v>
      </c>
      <c r="S11" s="585">
        <f>S6-S9-S10</f>
        <v>2.7200000000000024</v>
      </c>
      <c r="T11" s="585">
        <f>T6-T9-T10</f>
        <v>2.7200000000000024</v>
      </c>
      <c r="U11" s="585">
        <f>U6-U9-U10</f>
        <v>2.7199999999999989</v>
      </c>
      <c r="V11" s="573">
        <f t="shared" ref="V11:AU11" si="11">V6-V9-V10</f>
        <v>10.88000000000001</v>
      </c>
      <c r="W11" s="573">
        <f t="shared" si="11"/>
        <v>6.5860000000000021</v>
      </c>
      <c r="X11" s="573">
        <f t="shared" si="11"/>
        <v>6.5860000000000021</v>
      </c>
      <c r="Y11" s="573">
        <f t="shared" si="11"/>
        <v>6.5860000000000021</v>
      </c>
      <c r="Z11" s="573">
        <f t="shared" si="11"/>
        <v>6.5859999999999985</v>
      </c>
      <c r="AA11" s="573">
        <f t="shared" si="11"/>
        <v>26.344000000000008</v>
      </c>
      <c r="AB11" s="573">
        <f t="shared" si="11"/>
        <v>0</v>
      </c>
      <c r="AC11" s="573">
        <f t="shared" si="11"/>
        <v>0</v>
      </c>
      <c r="AD11" s="573">
        <f t="shared" si="11"/>
        <v>0</v>
      </c>
      <c r="AE11" s="573">
        <f t="shared" si="11"/>
        <v>0</v>
      </c>
      <c r="AF11" s="573">
        <f t="shared" si="11"/>
        <v>37.959320000000019</v>
      </c>
      <c r="AG11" s="573">
        <f t="shared" si="11"/>
        <v>0</v>
      </c>
      <c r="AH11" s="573">
        <f t="shared" si="11"/>
        <v>0</v>
      </c>
      <c r="AI11" s="573">
        <f t="shared" si="11"/>
        <v>0</v>
      </c>
      <c r="AJ11" s="573">
        <f t="shared" si="11"/>
        <v>0</v>
      </c>
      <c r="AK11" s="573">
        <f t="shared" si="11"/>
        <v>43.888721200000063</v>
      </c>
      <c r="AL11" s="573">
        <f t="shared" si="11"/>
        <v>0</v>
      </c>
      <c r="AM11" s="573">
        <f t="shared" si="11"/>
        <v>0</v>
      </c>
      <c r="AN11" s="573">
        <f t="shared" si="11"/>
        <v>0</v>
      </c>
      <c r="AO11" s="573">
        <f t="shared" si="11"/>
        <v>0</v>
      </c>
      <c r="AP11" s="573">
        <f t="shared" si="11"/>
        <v>50.154906812000021</v>
      </c>
      <c r="AQ11" s="573">
        <f t="shared" si="11"/>
        <v>0</v>
      </c>
      <c r="AR11" s="573">
        <f t="shared" si="11"/>
        <v>0</v>
      </c>
      <c r="AS11" s="573">
        <f t="shared" si="11"/>
        <v>0</v>
      </c>
      <c r="AT11" s="573">
        <f t="shared" si="11"/>
        <v>0</v>
      </c>
      <c r="AU11" s="573">
        <f t="shared" si="11"/>
        <v>53.715787540120019</v>
      </c>
      <c r="AV11" s="469"/>
      <c r="AW11" s="469"/>
      <c r="AX11" s="469"/>
      <c r="AY11" s="469"/>
      <c r="AZ11" s="469"/>
      <c r="BA11" s="469"/>
      <c r="BB11" s="469"/>
      <c r="BC11" s="469"/>
      <c r="BD11" s="469"/>
      <c r="BE11" s="469"/>
      <c r="BF11" s="469"/>
      <c r="BG11" s="469"/>
      <c r="BH11" s="469"/>
      <c r="BI11" s="469"/>
      <c r="BJ11" s="469"/>
      <c r="BK11" s="469"/>
      <c r="BL11" s="469"/>
      <c r="BM11" s="469"/>
      <c r="BN11" s="469"/>
      <c r="BO11" s="469"/>
      <c r="BP11" s="469"/>
      <c r="BQ11" s="469"/>
      <c r="BR11" s="469"/>
      <c r="BS11" s="469"/>
      <c r="BT11" s="469"/>
      <c r="BU11" s="469"/>
      <c r="BV11" s="469"/>
      <c r="BW11" s="469"/>
      <c r="BX11" s="469"/>
      <c r="BY11" s="469"/>
    </row>
    <row r="12" spans="1:78">
      <c r="C12" s="490"/>
      <c r="D12" s="490"/>
      <c r="E12" s="490"/>
      <c r="F12" s="490"/>
      <c r="G12" s="569"/>
      <c r="H12" s="466"/>
      <c r="I12" s="466"/>
      <c r="J12" s="466"/>
      <c r="K12" s="466"/>
      <c r="L12" s="569"/>
      <c r="M12" s="490"/>
      <c r="N12" s="490"/>
      <c r="O12" s="490"/>
      <c r="P12" s="490"/>
      <c r="Q12" s="569"/>
      <c r="R12" s="490"/>
      <c r="S12" s="490"/>
      <c r="T12" s="490"/>
      <c r="U12" s="490"/>
      <c r="V12" s="569"/>
      <c r="W12" s="490"/>
      <c r="X12" s="490"/>
      <c r="Y12" s="490"/>
      <c r="Z12" s="490"/>
      <c r="AA12" s="569"/>
      <c r="AB12" s="569"/>
      <c r="AC12" s="569"/>
      <c r="AD12" s="569"/>
      <c r="AE12" s="569"/>
      <c r="AF12" s="569"/>
      <c r="AG12" s="569"/>
      <c r="AH12" s="569"/>
      <c r="AI12" s="569"/>
      <c r="AJ12" s="569"/>
      <c r="AK12" s="569"/>
      <c r="AL12" s="569"/>
      <c r="AM12" s="569"/>
      <c r="AN12" s="569"/>
      <c r="AO12" s="569"/>
      <c r="AP12" s="569"/>
      <c r="AQ12" s="569"/>
      <c r="AR12" s="569"/>
      <c r="AS12" s="569"/>
      <c r="AT12" s="569"/>
      <c r="AU12" s="569"/>
      <c r="AV12" s="569"/>
      <c r="AW12" s="569"/>
      <c r="AX12" s="569"/>
      <c r="AY12" s="569"/>
      <c r="AZ12" s="569"/>
      <c r="BA12" s="569"/>
      <c r="BB12" s="569"/>
      <c r="BC12" s="569"/>
      <c r="BD12" s="569"/>
      <c r="BE12" s="569"/>
      <c r="BF12" s="569"/>
      <c r="BG12" s="569"/>
      <c r="BH12" s="569"/>
      <c r="BI12" s="569"/>
      <c r="BJ12" s="569"/>
      <c r="BK12" s="569"/>
      <c r="BL12" s="569"/>
      <c r="BM12" s="569"/>
      <c r="BN12" s="569"/>
      <c r="BO12" s="569"/>
      <c r="BP12" s="569"/>
      <c r="BQ12" s="569"/>
      <c r="BR12" s="569"/>
      <c r="BS12" s="569"/>
      <c r="BT12" s="569"/>
      <c r="BU12" s="569"/>
      <c r="BV12" s="569"/>
      <c r="BW12" s="569"/>
      <c r="BX12" s="569"/>
      <c r="BY12" s="569"/>
    </row>
    <row r="13" spans="1:78">
      <c r="B13" s="467" t="s">
        <v>652</v>
      </c>
      <c r="C13" s="490"/>
      <c r="D13" s="490"/>
      <c r="E13" s="490"/>
      <c r="F13" s="490"/>
      <c r="G13" s="469">
        <f>G14+G16</f>
        <v>-25.6</v>
      </c>
      <c r="H13" s="470">
        <f>H14+H16</f>
        <v>-7.7889999999999997</v>
      </c>
      <c r="I13" s="470">
        <f>I14+I16</f>
        <v>-8.2159999999999993</v>
      </c>
      <c r="J13" s="470">
        <f>J14+J16</f>
        <v>-6.5750000000000002</v>
      </c>
      <c r="K13" s="470">
        <f>K14+K16</f>
        <v>-8.2200000000000024</v>
      </c>
      <c r="L13" s="569">
        <f t="shared" ref="L13:Q13" si="12">L11/2</f>
        <v>-30.8</v>
      </c>
      <c r="M13" s="470">
        <f>M14+M16</f>
        <v>-3.2120000000000002</v>
      </c>
      <c r="N13" s="470">
        <f>N14+N16</f>
        <v>-0.69199999999999995</v>
      </c>
      <c r="O13" s="470">
        <f>O14+O16</f>
        <v>-1.008</v>
      </c>
      <c r="P13" s="470">
        <f>P14+P16</f>
        <v>0</v>
      </c>
      <c r="Q13" s="569">
        <f t="shared" si="12"/>
        <v>-6.3699999999999974</v>
      </c>
      <c r="R13" s="490">
        <f>R11/2</f>
        <v>1.3600000000000012</v>
      </c>
      <c r="S13" s="490">
        <f>S11/2</f>
        <v>1.3600000000000012</v>
      </c>
      <c r="T13" s="490">
        <f>T11/2</f>
        <v>1.3600000000000012</v>
      </c>
      <c r="U13" s="490">
        <f t="shared" ref="U13" si="13">U11/2</f>
        <v>1.3599999999999994</v>
      </c>
      <c r="V13" s="569">
        <f>V11/2</f>
        <v>5.4400000000000048</v>
      </c>
      <c r="W13" s="490">
        <f>W11/2</f>
        <v>3.293000000000001</v>
      </c>
      <c r="X13" s="490">
        <f>X11/2</f>
        <v>3.293000000000001</v>
      </c>
      <c r="Y13" s="490">
        <f>Y11/2</f>
        <v>3.293000000000001</v>
      </c>
      <c r="Z13" s="490">
        <f t="shared" ref="Z13" si="14">Z11/2</f>
        <v>3.2929999999999993</v>
      </c>
      <c r="AA13" s="569">
        <f>AA11/2</f>
        <v>13.172000000000004</v>
      </c>
      <c r="AB13" s="569"/>
      <c r="AC13" s="569"/>
      <c r="AD13" s="569"/>
      <c r="AE13" s="569"/>
      <c r="AF13" s="569">
        <f>AF11/2</f>
        <v>18.97966000000001</v>
      </c>
      <c r="AG13" s="569"/>
      <c r="AH13" s="569"/>
      <c r="AI13" s="569"/>
      <c r="AJ13" s="569"/>
      <c r="AK13" s="569">
        <f>AK11/2</f>
        <v>21.944360600000032</v>
      </c>
      <c r="AL13" s="569"/>
      <c r="AM13" s="569"/>
      <c r="AN13" s="569"/>
      <c r="AO13" s="569"/>
      <c r="AP13" s="569">
        <f>AP11/2</f>
        <v>25.077453406000011</v>
      </c>
      <c r="AQ13" s="569"/>
      <c r="AR13" s="569"/>
      <c r="AS13" s="569"/>
      <c r="AT13" s="569"/>
      <c r="AU13" s="569">
        <f>AU11/2</f>
        <v>26.857893770060009</v>
      </c>
      <c r="AV13" s="569"/>
      <c r="AW13" s="569"/>
      <c r="AX13" s="569"/>
      <c r="AY13" s="569"/>
      <c r="AZ13" s="472"/>
      <c r="BA13" s="569"/>
      <c r="BB13" s="569"/>
      <c r="BC13" s="569"/>
      <c r="BD13" s="569"/>
      <c r="BE13" s="472"/>
      <c r="BF13" s="569"/>
      <c r="BG13" s="569"/>
      <c r="BH13" s="569"/>
      <c r="BI13" s="569"/>
      <c r="BJ13" s="472"/>
      <c r="BK13" s="569"/>
      <c r="BL13" s="569"/>
      <c r="BM13" s="569"/>
      <c r="BN13" s="569"/>
      <c r="BO13" s="472"/>
      <c r="BP13" s="569"/>
      <c r="BQ13" s="569"/>
      <c r="BR13" s="569"/>
      <c r="BS13" s="569"/>
      <c r="BT13" s="472"/>
      <c r="BU13" s="569"/>
      <c r="BV13" s="569"/>
      <c r="BW13" s="569"/>
      <c r="BX13" s="569"/>
      <c r="BY13" s="472"/>
    </row>
    <row r="14" spans="1:78">
      <c r="B14" s="467" t="s">
        <v>674</v>
      </c>
      <c r="C14" s="490"/>
      <c r="D14" s="490"/>
      <c r="E14" s="490"/>
      <c r="F14" s="490"/>
      <c r="G14" s="569">
        <f>G5*G15</f>
        <v>0</v>
      </c>
      <c r="H14" s="490">
        <f>H5*H15</f>
        <v>0</v>
      </c>
      <c r="I14" s="490">
        <f t="shared" ref="I14:O14" si="15">I5*I15</f>
        <v>0</v>
      </c>
      <c r="J14" s="490">
        <f t="shared" si="15"/>
        <v>0</v>
      </c>
      <c r="K14" s="490">
        <f t="shared" si="15"/>
        <v>0</v>
      </c>
      <c r="L14" s="569">
        <f>SUM(H14:K14)</f>
        <v>0</v>
      </c>
      <c r="M14" s="490">
        <f>M5*M15</f>
        <v>0</v>
      </c>
      <c r="N14" s="490">
        <f t="shared" si="15"/>
        <v>0</v>
      </c>
      <c r="O14" s="490">
        <f t="shared" si="15"/>
        <v>0</v>
      </c>
      <c r="P14" s="490">
        <f>P5*P15</f>
        <v>0</v>
      </c>
      <c r="Q14" s="569">
        <f>Q5*0.35</f>
        <v>0</v>
      </c>
      <c r="R14" s="490">
        <f>R5*R15</f>
        <v>0.95970000000000011</v>
      </c>
      <c r="S14" s="490">
        <f>S5*S15</f>
        <v>0.95970000000000011</v>
      </c>
      <c r="T14" s="490">
        <f t="shared" ref="T14:U14" si="16">T5*T15</f>
        <v>0.95970000000000011</v>
      </c>
      <c r="U14" s="490">
        <f t="shared" si="16"/>
        <v>0.95970000000000022</v>
      </c>
      <c r="V14" s="569">
        <f>V5*0.35</f>
        <v>3.8388000000000004</v>
      </c>
      <c r="W14" s="490">
        <f>W5*W15</f>
        <v>1.1036550000000001</v>
      </c>
      <c r="X14" s="490">
        <f>X5*X15</f>
        <v>1.1036550000000001</v>
      </c>
      <c r="Y14" s="490">
        <f t="shared" ref="Y14:Z14" si="17">Y5*Y15</f>
        <v>1.1036550000000001</v>
      </c>
      <c r="Z14" s="490">
        <f t="shared" si="17"/>
        <v>1.1036549999999998</v>
      </c>
      <c r="AA14" s="569">
        <f>AA5*0.35</f>
        <v>4.4146200000000002</v>
      </c>
      <c r="AB14" s="569"/>
      <c r="AC14" s="569"/>
      <c r="AD14" s="569"/>
      <c r="AE14" s="569"/>
      <c r="AF14" s="569">
        <f>AF5*0.35</f>
        <v>4.8560820000000007</v>
      </c>
      <c r="AG14" s="569"/>
      <c r="AH14" s="569"/>
      <c r="AI14" s="569"/>
      <c r="AJ14" s="569"/>
      <c r="AK14" s="569">
        <f>AK5*0.35</f>
        <v>5.0988861000000005</v>
      </c>
      <c r="AL14" s="569"/>
      <c r="AM14" s="569"/>
      <c r="AN14" s="569"/>
      <c r="AO14" s="569"/>
      <c r="AP14" s="569">
        <f>AP5*0.35</f>
        <v>5.353830405000001</v>
      </c>
      <c r="AQ14" s="569"/>
      <c r="AR14" s="569"/>
      <c r="AS14" s="569"/>
      <c r="AT14" s="569"/>
      <c r="AU14" s="569">
        <f>AU5*0.35</f>
        <v>5.5144453171499999</v>
      </c>
      <c r="AV14" s="569"/>
      <c r="AW14" s="569"/>
      <c r="AX14" s="569"/>
      <c r="AY14" s="569"/>
      <c r="AZ14" s="472"/>
      <c r="BA14" s="569"/>
      <c r="BB14" s="569"/>
      <c r="BC14" s="569"/>
      <c r="BD14" s="569"/>
      <c r="BE14" s="472"/>
      <c r="BF14" s="569"/>
      <c r="BG14" s="569"/>
      <c r="BH14" s="569"/>
      <c r="BI14" s="569"/>
      <c r="BJ14" s="472"/>
      <c r="BK14" s="569"/>
      <c r="BL14" s="569"/>
      <c r="BM14" s="569"/>
      <c r="BN14" s="569"/>
      <c r="BO14" s="472"/>
      <c r="BP14" s="569"/>
      <c r="BQ14" s="569"/>
      <c r="BR14" s="569"/>
      <c r="BS14" s="569"/>
      <c r="BT14" s="472"/>
      <c r="BU14" s="569"/>
      <c r="BV14" s="569"/>
      <c r="BW14" s="569"/>
      <c r="BX14" s="569"/>
      <c r="BY14" s="472"/>
    </row>
    <row r="15" spans="1:78">
      <c r="B15" s="527" t="s">
        <v>656</v>
      </c>
      <c r="C15" s="490"/>
      <c r="D15" s="490"/>
      <c r="E15" s="490"/>
      <c r="F15" s="490"/>
      <c r="G15" s="577">
        <v>0.35</v>
      </c>
      <c r="H15" s="578">
        <f>G15</f>
        <v>0.35</v>
      </c>
      <c r="I15" s="578">
        <f>H15</f>
        <v>0.35</v>
      </c>
      <c r="J15" s="578">
        <f>I15</f>
        <v>0.35</v>
      </c>
      <c r="K15" s="578">
        <f>J15</f>
        <v>0.35</v>
      </c>
      <c r="L15" s="579">
        <f>AVERAGE(H15:K15)</f>
        <v>0.35</v>
      </c>
      <c r="M15" s="578">
        <f>L15</f>
        <v>0.35</v>
      </c>
      <c r="N15" s="578">
        <f>M15</f>
        <v>0.35</v>
      </c>
      <c r="O15" s="578">
        <f>N15</f>
        <v>0.35</v>
      </c>
      <c r="P15" s="578">
        <f>O15</f>
        <v>0.35</v>
      </c>
      <c r="Q15" s="579">
        <f>L15</f>
        <v>0.35</v>
      </c>
      <c r="R15" s="578">
        <f>V15</f>
        <v>0.35</v>
      </c>
      <c r="S15" s="578">
        <f>R15</f>
        <v>0.35</v>
      </c>
      <c r="T15" s="578">
        <f t="shared" ref="T15:U15" si="18">S15</f>
        <v>0.35</v>
      </c>
      <c r="U15" s="578">
        <f t="shared" si="18"/>
        <v>0.35</v>
      </c>
      <c r="V15" s="579">
        <f>Q15</f>
        <v>0.35</v>
      </c>
      <c r="W15" s="578">
        <f>AA15</f>
        <v>0.35</v>
      </c>
      <c r="X15" s="578">
        <f>W15</f>
        <v>0.35</v>
      </c>
      <c r="Y15" s="578">
        <f t="shared" ref="Y15" si="19">X15</f>
        <v>0.35</v>
      </c>
      <c r="Z15" s="578">
        <f t="shared" ref="Z15" si="20">Y15</f>
        <v>0.35</v>
      </c>
      <c r="AA15" s="579">
        <f>V15</f>
        <v>0.35</v>
      </c>
      <c r="AB15" s="580"/>
      <c r="AC15" s="580"/>
      <c r="AD15" s="580"/>
      <c r="AE15" s="580"/>
      <c r="AF15" s="579">
        <f>AA15</f>
        <v>0.35</v>
      </c>
      <c r="AG15" s="580"/>
      <c r="AH15" s="580"/>
      <c r="AI15" s="580"/>
      <c r="AJ15" s="580"/>
      <c r="AK15" s="579">
        <f>AF15</f>
        <v>0.35</v>
      </c>
      <c r="AL15" s="580"/>
      <c r="AM15" s="580"/>
      <c r="AN15" s="580"/>
      <c r="AO15" s="580"/>
      <c r="AP15" s="579">
        <f>AK15</f>
        <v>0.35</v>
      </c>
      <c r="AQ15" s="580"/>
      <c r="AR15" s="580"/>
      <c r="AS15" s="580"/>
      <c r="AT15" s="580"/>
      <c r="AU15" s="579">
        <f>AP15</f>
        <v>0.35</v>
      </c>
      <c r="AV15" s="569"/>
      <c r="AW15" s="569"/>
      <c r="AX15" s="569"/>
      <c r="AY15" s="569"/>
      <c r="AZ15" s="472"/>
      <c r="BA15" s="569"/>
      <c r="BB15" s="569"/>
      <c r="BC15" s="569"/>
      <c r="BD15" s="569"/>
      <c r="BE15" s="472"/>
      <c r="BF15" s="569"/>
      <c r="BG15" s="569"/>
      <c r="BH15" s="569"/>
      <c r="BI15" s="569"/>
      <c r="BJ15" s="472"/>
      <c r="BK15" s="569"/>
      <c r="BL15" s="569"/>
      <c r="BM15" s="569"/>
      <c r="BN15" s="569"/>
      <c r="BO15" s="472"/>
      <c r="BP15" s="569"/>
      <c r="BQ15" s="569"/>
      <c r="BR15" s="569"/>
      <c r="BS15" s="569"/>
      <c r="BT15" s="472"/>
      <c r="BU15" s="569"/>
      <c r="BV15" s="569"/>
      <c r="BW15" s="569"/>
      <c r="BX15" s="569"/>
      <c r="BY15" s="472"/>
    </row>
    <row r="16" spans="1:78">
      <c r="B16" s="530" t="s">
        <v>673</v>
      </c>
      <c r="C16" s="586"/>
      <c r="D16" s="586"/>
      <c r="E16" s="586"/>
      <c r="F16" s="586"/>
      <c r="G16" s="587">
        <f>REVS!V12</f>
        <v>-25.6</v>
      </c>
      <c r="H16" s="587">
        <f>REVS!W12</f>
        <v>-7.7889999999999997</v>
      </c>
      <c r="I16" s="587">
        <f>REVS!X12</f>
        <v>-8.2159999999999993</v>
      </c>
      <c r="J16" s="587">
        <f>REVS!Y12</f>
        <v>-6.5750000000000002</v>
      </c>
      <c r="K16" s="587">
        <f>REVS!Z12</f>
        <v>-8.2200000000000024</v>
      </c>
      <c r="L16" s="588">
        <f t="shared" ref="L16:Q16" si="21">L14+L13</f>
        <v>-30.8</v>
      </c>
      <c r="M16" s="587">
        <f>REVS!AB12</f>
        <v>-3.2120000000000002</v>
      </c>
      <c r="N16" s="587">
        <f>REVS!AC12</f>
        <v>-0.69199999999999995</v>
      </c>
      <c r="O16" s="587">
        <f>REVS!AD12</f>
        <v>-1.008</v>
      </c>
      <c r="P16" s="587">
        <f>REVS!AE12</f>
        <v>0</v>
      </c>
      <c r="Q16" s="588">
        <f t="shared" si="21"/>
        <v>-6.3699999999999974</v>
      </c>
      <c r="R16" s="586">
        <f>R14+R13</f>
        <v>2.3197000000000014</v>
      </c>
      <c r="S16" s="586">
        <f>S14+S13</f>
        <v>2.3197000000000014</v>
      </c>
      <c r="T16" s="586">
        <f t="shared" ref="T16:Z16" si="22">T14+T13</f>
        <v>2.3197000000000014</v>
      </c>
      <c r="U16" s="586">
        <f t="shared" si="22"/>
        <v>2.3196999999999997</v>
      </c>
      <c r="V16" s="588">
        <f>V14+V13</f>
        <v>9.2788000000000057</v>
      </c>
      <c r="W16" s="586">
        <f t="shared" si="22"/>
        <v>4.3966550000000009</v>
      </c>
      <c r="X16" s="586">
        <f t="shared" si="22"/>
        <v>4.3966550000000009</v>
      </c>
      <c r="Y16" s="586">
        <f t="shared" si="22"/>
        <v>4.3966550000000009</v>
      </c>
      <c r="Z16" s="586">
        <f t="shared" si="22"/>
        <v>4.3966549999999991</v>
      </c>
      <c r="AA16" s="588">
        <f>AA14+AA13</f>
        <v>17.586620000000003</v>
      </c>
      <c r="AB16" s="589"/>
      <c r="AC16" s="589"/>
      <c r="AD16" s="589"/>
      <c r="AE16" s="589"/>
      <c r="AF16" s="588">
        <f>AF14+AF13</f>
        <v>23.83574200000001</v>
      </c>
      <c r="AG16" s="589"/>
      <c r="AH16" s="589"/>
      <c r="AI16" s="589"/>
      <c r="AJ16" s="589"/>
      <c r="AK16" s="588">
        <f>AK14+AK13</f>
        <v>27.043246700000033</v>
      </c>
      <c r="AL16" s="589"/>
      <c r="AM16" s="589"/>
      <c r="AN16" s="589"/>
      <c r="AO16" s="589"/>
      <c r="AP16" s="588">
        <f>AP14+AP13</f>
        <v>30.431283811000011</v>
      </c>
      <c r="AQ16" s="589"/>
      <c r="AR16" s="589"/>
      <c r="AS16" s="589"/>
      <c r="AT16" s="589"/>
      <c r="AU16" s="588">
        <f>AU14+AU13</f>
        <v>32.372339087210008</v>
      </c>
      <c r="AV16" s="569"/>
      <c r="AW16" s="569"/>
      <c r="AX16" s="569"/>
      <c r="AY16" s="569"/>
      <c r="AZ16" s="588">
        <f>AU16*1.03</f>
        <v>33.343509259826313</v>
      </c>
      <c r="BA16" s="569"/>
      <c r="BB16" s="569"/>
      <c r="BC16" s="569"/>
      <c r="BD16" s="569"/>
      <c r="BE16" s="588">
        <f>AZ16*1.03</f>
        <v>34.3438145376211</v>
      </c>
      <c r="BF16" s="569"/>
      <c r="BG16" s="569"/>
      <c r="BH16" s="569"/>
      <c r="BI16" s="569"/>
      <c r="BJ16" s="588">
        <f>BE16*1.03</f>
        <v>35.374128973749734</v>
      </c>
      <c r="BK16" s="569"/>
      <c r="BL16" s="569"/>
      <c r="BM16" s="569"/>
      <c r="BN16" s="569"/>
      <c r="BO16" s="588">
        <f>BJ16*1.03</f>
        <v>36.435352842962224</v>
      </c>
      <c r="BP16" s="569"/>
      <c r="BQ16" s="569"/>
      <c r="BR16" s="569"/>
      <c r="BS16" s="569"/>
      <c r="BT16" s="588">
        <f>BO16*1.03</f>
        <v>37.528413428251092</v>
      </c>
      <c r="BU16" s="569"/>
      <c r="BV16" s="569"/>
      <c r="BW16" s="569"/>
      <c r="BX16" s="569"/>
      <c r="BY16" s="588">
        <f>BT16*1.03</f>
        <v>38.654265831098627</v>
      </c>
    </row>
    <row r="17" spans="1:78">
      <c r="C17" s="490"/>
      <c r="D17" s="490"/>
      <c r="E17" s="490"/>
      <c r="F17" s="490"/>
      <c r="G17" s="569"/>
      <c r="H17" s="466"/>
      <c r="I17" s="466"/>
      <c r="J17" s="466"/>
      <c r="K17" s="466"/>
      <c r="L17" s="569"/>
      <c r="M17" s="490"/>
      <c r="N17" s="490"/>
      <c r="O17" s="490"/>
      <c r="P17" s="490"/>
      <c r="Q17" s="569"/>
      <c r="R17" s="490"/>
      <c r="S17" s="490"/>
      <c r="T17" s="490"/>
      <c r="U17" s="490"/>
      <c r="V17" s="569"/>
      <c r="W17" s="569"/>
      <c r="X17" s="569"/>
      <c r="Y17" s="569"/>
      <c r="Z17" s="569"/>
      <c r="AA17" s="569"/>
      <c r="AB17" s="569"/>
      <c r="AC17" s="569"/>
      <c r="AD17" s="569"/>
      <c r="AE17" s="569"/>
      <c r="AF17" s="569"/>
      <c r="AG17" s="569"/>
      <c r="AH17" s="569"/>
      <c r="AI17" s="569"/>
      <c r="AJ17" s="569"/>
      <c r="AK17" s="569"/>
      <c r="AL17" s="569"/>
      <c r="AM17" s="569"/>
      <c r="AN17" s="569"/>
      <c r="AO17" s="569"/>
      <c r="AP17" s="569"/>
      <c r="AQ17" s="569"/>
      <c r="AR17" s="569"/>
      <c r="AS17" s="569"/>
      <c r="AT17" s="569"/>
      <c r="AU17" s="569"/>
      <c r="AV17" s="569"/>
      <c r="AW17" s="569"/>
      <c r="AX17" s="569"/>
      <c r="AY17" s="569"/>
      <c r="AZ17" s="569"/>
      <c r="BA17" s="569"/>
      <c r="BB17" s="569"/>
      <c r="BC17" s="569"/>
      <c r="BD17" s="569"/>
      <c r="BE17" s="569"/>
      <c r="BF17" s="569"/>
      <c r="BG17" s="569"/>
      <c r="BH17" s="569"/>
      <c r="BI17" s="569"/>
      <c r="BJ17" s="569"/>
      <c r="BK17" s="569"/>
      <c r="BL17" s="569"/>
      <c r="BM17" s="569"/>
      <c r="BN17" s="569"/>
      <c r="BO17" s="569"/>
      <c r="BP17" s="569"/>
      <c r="BQ17" s="569"/>
      <c r="BR17" s="569"/>
      <c r="BS17" s="569"/>
      <c r="BT17" s="569"/>
      <c r="BU17" s="569"/>
      <c r="BV17" s="569"/>
      <c r="BW17" s="569"/>
      <c r="BX17" s="569"/>
      <c r="BY17" s="569"/>
    </row>
    <row r="18" spans="1:78">
      <c r="B18" s="467" t="s">
        <v>219</v>
      </c>
      <c r="C18" s="490"/>
      <c r="D18" s="490"/>
      <c r="E18" s="490"/>
      <c r="F18" s="490"/>
      <c r="G18" s="569"/>
      <c r="H18" s="466"/>
      <c r="I18" s="466"/>
      <c r="J18" s="466"/>
      <c r="K18" s="466"/>
      <c r="L18" s="569"/>
      <c r="M18" s="490"/>
      <c r="N18" s="490"/>
      <c r="O18" s="490"/>
      <c r="P18" s="490"/>
      <c r="Q18" s="569"/>
      <c r="R18" s="490"/>
      <c r="S18" s="490"/>
      <c r="T18" s="490"/>
      <c r="U18" s="490"/>
      <c r="V18" s="569"/>
      <c r="W18" s="569"/>
      <c r="X18" s="569"/>
      <c r="Y18" s="569"/>
      <c r="Z18" s="569"/>
      <c r="AA18" s="569"/>
      <c r="AB18" s="569"/>
      <c r="AC18" s="569"/>
      <c r="AD18" s="569"/>
      <c r="AE18" s="569"/>
      <c r="AF18" s="569"/>
      <c r="AG18" s="569"/>
      <c r="AH18" s="569"/>
      <c r="AI18" s="569"/>
      <c r="AJ18" s="569"/>
      <c r="AK18" s="569"/>
      <c r="AL18" s="569"/>
      <c r="AM18" s="569"/>
      <c r="AN18" s="569"/>
      <c r="AO18" s="569"/>
      <c r="AP18" s="569"/>
      <c r="AQ18" s="569"/>
      <c r="AR18" s="569"/>
      <c r="AS18" s="569"/>
      <c r="AT18" s="569"/>
      <c r="AU18" s="569"/>
      <c r="AV18" s="569"/>
      <c r="AW18" s="569"/>
      <c r="AX18" s="569"/>
      <c r="AY18" s="569"/>
      <c r="AZ18" s="569"/>
      <c r="BA18" s="569"/>
      <c r="BB18" s="569"/>
      <c r="BC18" s="569"/>
      <c r="BD18" s="569"/>
      <c r="BE18" s="569"/>
      <c r="BF18" s="569"/>
      <c r="BG18" s="569"/>
      <c r="BH18" s="569"/>
      <c r="BI18" s="569"/>
      <c r="BJ18" s="569"/>
      <c r="BK18" s="569"/>
      <c r="BL18" s="569"/>
      <c r="BM18" s="569"/>
      <c r="BN18" s="569"/>
      <c r="BO18" s="569"/>
      <c r="BP18" s="569"/>
      <c r="BQ18" s="569"/>
      <c r="BR18" s="569"/>
      <c r="BS18" s="569"/>
      <c r="BT18" s="569"/>
      <c r="BU18" s="569"/>
      <c r="BV18" s="569"/>
      <c r="BW18" s="569"/>
      <c r="BX18" s="569"/>
      <c r="BY18" s="569"/>
    </row>
    <row r="19" spans="1:78">
      <c r="B19" s="535" t="s">
        <v>661</v>
      </c>
      <c r="C19" s="490"/>
      <c r="D19" s="490"/>
      <c r="E19" s="490"/>
      <c r="F19" s="490"/>
      <c r="G19" s="468">
        <v>419</v>
      </c>
      <c r="H19" s="466"/>
      <c r="I19" s="466"/>
      <c r="J19" s="466"/>
      <c r="K19" s="466"/>
      <c r="L19" s="468">
        <v>446</v>
      </c>
      <c r="M19" s="490">
        <f>L19+M20+M21</f>
        <v>452.75</v>
      </c>
      <c r="N19" s="490">
        <f>M19+N20+N21</f>
        <v>459.5</v>
      </c>
      <c r="O19" s="490">
        <f>N19+O20+O21</f>
        <v>466.25</v>
      </c>
      <c r="P19" s="490">
        <f>O19+P20+P21</f>
        <v>473</v>
      </c>
      <c r="Q19" s="469">
        <f>L19+Q20+Q21</f>
        <v>473</v>
      </c>
      <c r="R19" s="490">
        <f>Q19+R20+R21</f>
        <v>477.43029999999999</v>
      </c>
      <c r="S19" s="490">
        <f>R19+S20+S21</f>
        <v>481.86059999999998</v>
      </c>
      <c r="T19" s="490">
        <f>S19+T20+T21</f>
        <v>486.29089999999997</v>
      </c>
      <c r="U19" s="490">
        <f>T19+U20+U21</f>
        <v>490.72119999999995</v>
      </c>
      <c r="V19" s="469">
        <f>Q19+V20+V21</f>
        <v>490.72120000000001</v>
      </c>
      <c r="W19" s="490">
        <f>V19+W20+W21</f>
        <v>493.074545</v>
      </c>
      <c r="X19" s="490">
        <f>W19+X20+X21</f>
        <v>495.42788999999999</v>
      </c>
      <c r="Y19" s="490">
        <f>X19+Y20+Y21</f>
        <v>497.78123499999998</v>
      </c>
      <c r="Z19" s="490">
        <f>Y19+Z20+Z21</f>
        <v>500.13457999999997</v>
      </c>
      <c r="AA19" s="469">
        <f>V19+AA20+AA21</f>
        <v>500.13458000000003</v>
      </c>
      <c r="AB19" s="569"/>
      <c r="AC19" s="569"/>
      <c r="AD19" s="569"/>
      <c r="AE19" s="569"/>
      <c r="AF19" s="469">
        <f>AA19+AF20+AF21</f>
        <v>503.29883800000005</v>
      </c>
      <c r="AG19" s="569"/>
      <c r="AH19" s="569"/>
      <c r="AI19" s="569"/>
      <c r="AJ19" s="569"/>
      <c r="AK19" s="469">
        <f>AF19+AK20+AK21</f>
        <v>503.25559129999999</v>
      </c>
      <c r="AL19" s="569"/>
      <c r="AM19" s="569"/>
      <c r="AN19" s="569"/>
      <c r="AO19" s="569"/>
      <c r="AP19" s="469">
        <f>AK19+AP20+AP21</f>
        <v>499.82430748899998</v>
      </c>
      <c r="AQ19" s="569"/>
      <c r="AR19" s="569"/>
      <c r="AS19" s="569"/>
      <c r="AT19" s="569"/>
      <c r="AU19" s="469">
        <f>AP19+AU20+AU21</f>
        <v>494.45196840178994</v>
      </c>
      <c r="AV19" s="569"/>
      <c r="AW19" s="569"/>
      <c r="AX19" s="569"/>
      <c r="AY19" s="569"/>
      <c r="AZ19" s="469">
        <f>AU19+AZ20+AZ21</f>
        <v>488.10845914196364</v>
      </c>
      <c r="BA19" s="569"/>
      <c r="BB19" s="569"/>
      <c r="BC19" s="569"/>
      <c r="BD19" s="569"/>
      <c r="BE19" s="469">
        <f>AZ19+BE20+BE21</f>
        <v>480.76464460434255</v>
      </c>
      <c r="BF19" s="569"/>
      <c r="BG19" s="569"/>
      <c r="BH19" s="569"/>
      <c r="BI19" s="569"/>
      <c r="BJ19" s="469">
        <f>BE19+BJ20+BJ21</f>
        <v>472.3905156305928</v>
      </c>
      <c r="BK19" s="569"/>
      <c r="BL19" s="569"/>
      <c r="BM19" s="569"/>
      <c r="BN19" s="569"/>
      <c r="BO19" s="469">
        <f>BJ19+BO20+BO21</f>
        <v>462.95516278763057</v>
      </c>
      <c r="BP19" s="569"/>
      <c r="BQ19" s="569"/>
      <c r="BR19" s="569"/>
      <c r="BS19" s="569"/>
      <c r="BT19" s="469">
        <f>BO19+BT20+BT21</f>
        <v>452.42674935937947</v>
      </c>
      <c r="BU19" s="569"/>
      <c r="BV19" s="569"/>
      <c r="BW19" s="569"/>
      <c r="BX19" s="569"/>
      <c r="BY19" s="469">
        <f>BT19+BY20+BY21</f>
        <v>440.77248352828087</v>
      </c>
    </row>
    <row r="20" spans="1:78">
      <c r="B20" s="535" t="s">
        <v>753</v>
      </c>
      <c r="C20" s="490"/>
      <c r="D20" s="490"/>
      <c r="E20" s="490"/>
      <c r="F20" s="490"/>
      <c r="G20" s="569"/>
      <c r="H20" s="466"/>
      <c r="I20" s="466"/>
      <c r="J20" s="466"/>
      <c r="K20" s="466"/>
      <c r="L20" s="472"/>
      <c r="M20" s="490">
        <f>IF(M16&gt;0,IF(0.2*L19&gt;M16,-M16,-0.2*L19),0)</f>
        <v>0</v>
      </c>
      <c r="N20" s="490">
        <f>IF(N16&gt;0,IF(0.2*M19&gt;N16,-N16,-0.2*M19),0)</f>
        <v>0</v>
      </c>
      <c r="O20" s="490">
        <f>IF(O16&gt;0,IF(0.2*N19&gt;O16,-O16,-0.2*N19),0)</f>
        <v>0</v>
      </c>
      <c r="P20" s="490">
        <f>IF(P16&gt;0,IF(0.2*O19&gt;P16,-P16,-0.2*O19),0)</f>
        <v>0</v>
      </c>
      <c r="Q20" s="569">
        <f>SUM(M20:P20)</f>
        <v>0</v>
      </c>
      <c r="R20" s="490">
        <f>IF(R16&gt;0,IF(0.2*Q19&gt;R16,-R16,-0.2*Q19),0)</f>
        <v>-2.3197000000000014</v>
      </c>
      <c r="S20" s="490">
        <f>IF(S16&gt;0,IF(0.2*R19&gt;S16,-S16,-0.2*R19),0)</f>
        <v>-2.3197000000000014</v>
      </c>
      <c r="T20" s="490">
        <f>IF(T16&gt;0,IF(0.2*S19&gt;T16,-T16,-0.2*S19),0)</f>
        <v>-2.3197000000000014</v>
      </c>
      <c r="U20" s="490">
        <f>IF(U16&gt;0,IF(0.2*T19&gt;U16,-U16,-0.2*T19),0)</f>
        <v>-2.3196999999999997</v>
      </c>
      <c r="V20" s="569">
        <f>IF(V16&gt;0,IF(0.2*Q19&gt;V16,-V16,-0.2*Q19),0)</f>
        <v>-9.2788000000000057</v>
      </c>
      <c r="W20" s="490">
        <f>IF(W16&gt;0,IF(0.2*V19&gt;W16,-W16,-0.2*V19),0)</f>
        <v>-4.3966550000000009</v>
      </c>
      <c r="X20" s="490">
        <f>IF(X16&gt;0,IF(0.2*W19&gt;X16,-X16,-0.2*W19),0)</f>
        <v>-4.3966550000000009</v>
      </c>
      <c r="Y20" s="490">
        <f>IF(Y16&gt;0,IF(0.2*X19&gt;Y16,-Y16,-0.2*X19),0)</f>
        <v>-4.3966550000000009</v>
      </c>
      <c r="Z20" s="490">
        <f>IF(Z16&gt;0,IF(0.2*Y19&gt;Z16,-Z16,-0.2*Y19),0)</f>
        <v>-4.3966549999999991</v>
      </c>
      <c r="AA20" s="569">
        <f>IF(AA16&gt;0,IF(0.2*V19&gt;AA16,-AA16,-0.2*V19),0)</f>
        <v>-17.586620000000003</v>
      </c>
      <c r="AB20" s="569"/>
      <c r="AC20" s="569"/>
      <c r="AD20" s="569"/>
      <c r="AE20" s="569"/>
      <c r="AF20" s="569">
        <f>IF(AF16&gt;0,IF(0.2*AA19&gt;AF16,-AF16,-0.2*AA19),0)</f>
        <v>-23.83574200000001</v>
      </c>
      <c r="AG20" s="569"/>
      <c r="AH20" s="569"/>
      <c r="AI20" s="569"/>
      <c r="AJ20" s="569"/>
      <c r="AK20" s="569">
        <f>IF(AK16&gt;0,IF(0.2*AF19&gt;AK16,-AK16,-0.2*AF19),0)</f>
        <v>-27.043246700000033</v>
      </c>
      <c r="AL20" s="569"/>
      <c r="AM20" s="569"/>
      <c r="AN20" s="569"/>
      <c r="AO20" s="569"/>
      <c r="AP20" s="569">
        <f>IF(AP16&gt;0,IF(0.2*AK19&gt;AP16,-AP16,-0.2*AK19),0)</f>
        <v>-30.431283811000011</v>
      </c>
      <c r="AQ20" s="569"/>
      <c r="AR20" s="569"/>
      <c r="AS20" s="569"/>
      <c r="AT20" s="569"/>
      <c r="AU20" s="569">
        <f>IF(AU16&gt;0,IF(0.2*AP19&gt;AU16,-AU16,-0.2*AP19),0)</f>
        <v>-32.372339087210008</v>
      </c>
      <c r="AV20" s="569"/>
      <c r="AW20" s="569"/>
      <c r="AX20" s="569"/>
      <c r="AY20" s="569"/>
      <c r="AZ20" s="569">
        <f>IF(AZ16&gt;0,IF(0.2*AU19&gt;AZ16,-AZ16,-0.2*AU19),0)</f>
        <v>-33.343509259826313</v>
      </c>
      <c r="BA20" s="569"/>
      <c r="BB20" s="569"/>
      <c r="BC20" s="569"/>
      <c r="BD20" s="569"/>
      <c r="BE20" s="569">
        <f>IF(BE16&gt;0,IF(0.2*AZ19&gt;BE16,-BE16,-0.2*AZ19),0)</f>
        <v>-34.3438145376211</v>
      </c>
      <c r="BF20" s="569"/>
      <c r="BG20" s="569"/>
      <c r="BH20" s="569"/>
      <c r="BI20" s="569"/>
      <c r="BJ20" s="569">
        <f>IF(BJ16&gt;0,IF(0.2*BE19&gt;BJ16,-BJ16,-0.2*BE19),0)</f>
        <v>-35.374128973749734</v>
      </c>
      <c r="BK20" s="569"/>
      <c r="BL20" s="569"/>
      <c r="BM20" s="569"/>
      <c r="BN20" s="569"/>
      <c r="BO20" s="569">
        <f>IF(BO16&gt;0,IF(0.2*BJ19&gt;BO16,-BO16,-0.2*BJ19),0)</f>
        <v>-36.435352842962224</v>
      </c>
      <c r="BP20" s="569"/>
      <c r="BQ20" s="569"/>
      <c r="BR20" s="569"/>
      <c r="BS20" s="569"/>
      <c r="BT20" s="569">
        <f>IF(BT16&gt;0,IF(0.2*BO19&gt;BT16,-BT16,-0.2*BO19),0)</f>
        <v>-37.528413428251092</v>
      </c>
      <c r="BU20" s="569"/>
      <c r="BV20" s="569"/>
      <c r="BW20" s="569"/>
      <c r="BX20" s="569"/>
      <c r="BY20" s="569">
        <f>IF(BY16&gt;0,IF(0.2*BT19&gt;BY16,-BY16,-0.2*BT19),0)</f>
        <v>-38.654265831098627</v>
      </c>
    </row>
    <row r="21" spans="1:78">
      <c r="B21" s="535" t="s">
        <v>660</v>
      </c>
      <c r="C21" s="490"/>
      <c r="D21" s="490"/>
      <c r="E21" s="490"/>
      <c r="F21" s="490"/>
      <c r="G21" s="569"/>
      <c r="H21" s="466"/>
      <c r="I21" s="466"/>
      <c r="J21" s="466"/>
      <c r="K21" s="466"/>
      <c r="L21" s="569">
        <f>L19-G19</f>
        <v>27</v>
      </c>
      <c r="M21" s="490">
        <f>Q21/4</f>
        <v>6.75</v>
      </c>
      <c r="N21" s="490">
        <f>M21</f>
        <v>6.75</v>
      </c>
      <c r="O21" s="490">
        <f>N21</f>
        <v>6.75</v>
      </c>
      <c r="P21" s="490">
        <f>O21</f>
        <v>6.75</v>
      </c>
      <c r="Q21" s="469">
        <f>L21</f>
        <v>27</v>
      </c>
      <c r="R21" s="490">
        <f>V21/4</f>
        <v>6.75</v>
      </c>
      <c r="S21" s="490">
        <f>R21</f>
        <v>6.75</v>
      </c>
      <c r="T21" s="490">
        <f>S21</f>
        <v>6.75</v>
      </c>
      <c r="U21" s="490">
        <f>T21</f>
        <v>6.75</v>
      </c>
      <c r="V21" s="469">
        <f>Q21</f>
        <v>27</v>
      </c>
      <c r="W21" s="490">
        <f>AA21/4</f>
        <v>6.75</v>
      </c>
      <c r="X21" s="490">
        <f>W21</f>
        <v>6.75</v>
      </c>
      <c r="Y21" s="490">
        <f>X21</f>
        <v>6.75</v>
      </c>
      <c r="Z21" s="490">
        <f>Y21</f>
        <v>6.75</v>
      </c>
      <c r="AA21" s="469">
        <f>V21</f>
        <v>27</v>
      </c>
      <c r="AB21" s="569"/>
      <c r="AC21" s="569"/>
      <c r="AD21" s="569"/>
      <c r="AE21" s="569"/>
      <c r="AF21" s="469">
        <f>AA21</f>
        <v>27</v>
      </c>
      <c r="AG21" s="569"/>
      <c r="AH21" s="569"/>
      <c r="AI21" s="569"/>
      <c r="AJ21" s="569"/>
      <c r="AK21" s="469">
        <f>AF21</f>
        <v>27</v>
      </c>
      <c r="AL21" s="569"/>
      <c r="AM21" s="569"/>
      <c r="AN21" s="569"/>
      <c r="AO21" s="569"/>
      <c r="AP21" s="469">
        <f>AK21</f>
        <v>27</v>
      </c>
      <c r="AQ21" s="569"/>
      <c r="AR21" s="569"/>
      <c r="AS21" s="569"/>
      <c r="AT21" s="569"/>
      <c r="AU21" s="469">
        <f>AP21</f>
        <v>27</v>
      </c>
      <c r="AV21" s="569"/>
      <c r="AW21" s="569"/>
      <c r="AX21" s="569"/>
      <c r="AY21" s="569"/>
      <c r="AZ21" s="469">
        <f>AU21</f>
        <v>27</v>
      </c>
      <c r="BA21" s="569"/>
      <c r="BB21" s="569"/>
      <c r="BC21" s="569"/>
      <c r="BD21" s="569"/>
      <c r="BE21" s="469">
        <f>AZ21</f>
        <v>27</v>
      </c>
      <c r="BF21" s="569"/>
      <c r="BG21" s="569"/>
      <c r="BH21" s="569"/>
      <c r="BI21" s="569"/>
      <c r="BJ21" s="469">
        <f>BE21</f>
        <v>27</v>
      </c>
      <c r="BK21" s="569"/>
      <c r="BL21" s="569"/>
      <c r="BM21" s="569"/>
      <c r="BN21" s="569"/>
      <c r="BO21" s="469">
        <f>BJ21</f>
        <v>27</v>
      </c>
      <c r="BP21" s="569"/>
      <c r="BQ21" s="569"/>
      <c r="BR21" s="569"/>
      <c r="BS21" s="569"/>
      <c r="BT21" s="469">
        <f>BO21</f>
        <v>27</v>
      </c>
      <c r="BU21" s="569"/>
      <c r="BV21" s="569"/>
      <c r="BW21" s="569"/>
      <c r="BX21" s="569"/>
      <c r="BY21" s="469">
        <f>BT21</f>
        <v>27</v>
      </c>
    </row>
    <row r="22" spans="1:78">
      <c r="C22" s="490"/>
      <c r="D22" s="490"/>
      <c r="E22" s="490"/>
      <c r="F22" s="490"/>
      <c r="G22" s="569"/>
      <c r="H22" s="466"/>
      <c r="I22" s="466"/>
      <c r="J22" s="466"/>
      <c r="K22" s="466"/>
      <c r="L22" s="569"/>
      <c r="M22" s="490"/>
      <c r="N22" s="490"/>
      <c r="O22" s="490"/>
      <c r="P22" s="490"/>
      <c r="Q22" s="569"/>
      <c r="R22" s="490"/>
      <c r="S22" s="490"/>
      <c r="T22" s="490"/>
      <c r="U22" s="490"/>
      <c r="V22" s="569"/>
      <c r="W22" s="490"/>
      <c r="X22" s="490"/>
      <c r="Y22" s="490"/>
      <c r="Z22" s="490"/>
      <c r="AA22" s="569"/>
      <c r="AB22" s="569"/>
      <c r="AC22" s="569"/>
      <c r="AD22" s="569"/>
      <c r="AE22" s="569"/>
      <c r="AF22" s="569"/>
      <c r="AG22" s="569"/>
      <c r="AH22" s="569"/>
      <c r="AI22" s="569"/>
      <c r="AJ22" s="569"/>
      <c r="AK22" s="569"/>
      <c r="AL22" s="569"/>
      <c r="AM22" s="569"/>
      <c r="AN22" s="569"/>
      <c r="AO22" s="569"/>
      <c r="AP22" s="569"/>
      <c r="AQ22" s="569"/>
      <c r="AR22" s="569"/>
      <c r="AS22" s="569"/>
      <c r="AT22" s="569"/>
      <c r="AU22" s="569"/>
      <c r="AV22" s="569"/>
      <c r="AW22" s="569"/>
      <c r="AX22" s="569"/>
      <c r="AY22" s="569"/>
      <c r="AZ22" s="569"/>
      <c r="BA22" s="569"/>
      <c r="BB22" s="569"/>
      <c r="BC22" s="569"/>
      <c r="BD22" s="569"/>
      <c r="BE22" s="569"/>
      <c r="BF22" s="569"/>
      <c r="BG22" s="569"/>
      <c r="BH22" s="569"/>
      <c r="BI22" s="569"/>
      <c r="BJ22" s="569"/>
      <c r="BK22" s="569"/>
      <c r="BL22" s="569"/>
      <c r="BM22" s="569"/>
      <c r="BN22" s="569"/>
      <c r="BO22" s="569"/>
      <c r="BP22" s="569"/>
      <c r="BQ22" s="569"/>
      <c r="BR22" s="569"/>
      <c r="BS22" s="569"/>
      <c r="BT22" s="569"/>
      <c r="BU22" s="569"/>
      <c r="BV22" s="569"/>
      <c r="BW22" s="569"/>
      <c r="BX22" s="569"/>
      <c r="BY22" s="569"/>
    </row>
    <row r="23" spans="1:78">
      <c r="B23" s="536" t="s">
        <v>677</v>
      </c>
      <c r="C23" s="586"/>
      <c r="D23" s="586"/>
      <c r="E23" s="586"/>
      <c r="F23" s="586"/>
      <c r="G23" s="589"/>
      <c r="H23" s="590"/>
      <c r="I23" s="590"/>
      <c r="J23" s="590"/>
      <c r="K23" s="590"/>
      <c r="L23" s="588">
        <f>L20+L16</f>
        <v>-30.8</v>
      </c>
      <c r="M23" s="591">
        <f>M20+M16</f>
        <v>-3.2120000000000002</v>
      </c>
      <c r="N23" s="591">
        <f>N20+N16</f>
        <v>-0.69199999999999995</v>
      </c>
      <c r="O23" s="591">
        <f>O20+O16</f>
        <v>-1.008</v>
      </c>
      <c r="P23" s="591">
        <f>P20+P16</f>
        <v>0</v>
      </c>
      <c r="Q23" s="588">
        <f>SUM(M23:P23)</f>
        <v>-4.9119999999999999</v>
      </c>
      <c r="R23" s="591">
        <f t="shared" ref="R23:AA23" si="23">R20+R16</f>
        <v>0</v>
      </c>
      <c r="S23" s="591">
        <f t="shared" si="23"/>
        <v>0</v>
      </c>
      <c r="T23" s="591">
        <f t="shared" si="23"/>
        <v>0</v>
      </c>
      <c r="U23" s="591">
        <f t="shared" si="23"/>
        <v>0</v>
      </c>
      <c r="V23" s="588">
        <f t="shared" si="23"/>
        <v>0</v>
      </c>
      <c r="W23" s="591">
        <f t="shared" si="23"/>
        <v>0</v>
      </c>
      <c r="X23" s="591">
        <f t="shared" si="23"/>
        <v>0</v>
      </c>
      <c r="Y23" s="591">
        <f t="shared" si="23"/>
        <v>0</v>
      </c>
      <c r="Z23" s="591">
        <f t="shared" si="23"/>
        <v>0</v>
      </c>
      <c r="AA23" s="588">
        <f t="shared" si="23"/>
        <v>0</v>
      </c>
      <c r="AB23" s="589"/>
      <c r="AC23" s="589"/>
      <c r="AD23" s="589"/>
      <c r="AE23" s="589"/>
      <c r="AF23" s="588">
        <f>AF20+AF16</f>
        <v>0</v>
      </c>
      <c r="AG23" s="589"/>
      <c r="AH23" s="589"/>
      <c r="AI23" s="589"/>
      <c r="AJ23" s="589"/>
      <c r="AK23" s="588">
        <f>AK20+AK16</f>
        <v>0</v>
      </c>
      <c r="AL23" s="589"/>
      <c r="AM23" s="589"/>
      <c r="AN23" s="589"/>
      <c r="AO23" s="589"/>
      <c r="AP23" s="588">
        <f>AP20+AP16</f>
        <v>0</v>
      </c>
      <c r="AQ23" s="589"/>
      <c r="AR23" s="589"/>
      <c r="AS23" s="589"/>
      <c r="AT23" s="589"/>
      <c r="AU23" s="588">
        <f>AU20+AU16</f>
        <v>0</v>
      </c>
      <c r="AV23" s="569"/>
      <c r="AW23" s="569"/>
      <c r="AX23" s="569"/>
      <c r="AY23" s="569"/>
      <c r="AZ23" s="588">
        <f>AZ20+AZ16</f>
        <v>0</v>
      </c>
      <c r="BA23" s="569"/>
      <c r="BB23" s="569"/>
      <c r="BC23" s="569"/>
      <c r="BD23" s="569"/>
      <c r="BE23" s="588">
        <f>BE20+BE16</f>
        <v>0</v>
      </c>
      <c r="BF23" s="569"/>
      <c r="BG23" s="569"/>
      <c r="BH23" s="569"/>
      <c r="BI23" s="569"/>
      <c r="BJ23" s="588">
        <f>BJ20+BJ16</f>
        <v>0</v>
      </c>
      <c r="BK23" s="569"/>
      <c r="BL23" s="569"/>
      <c r="BM23" s="569"/>
      <c r="BN23" s="569"/>
      <c r="BO23" s="588">
        <f>BO20+BO16</f>
        <v>0</v>
      </c>
      <c r="BP23" s="569"/>
      <c r="BQ23" s="569"/>
      <c r="BR23" s="569"/>
      <c r="BS23" s="569"/>
      <c r="BT23" s="588">
        <f>BT20+BT16</f>
        <v>0</v>
      </c>
      <c r="BU23" s="569"/>
      <c r="BV23" s="569"/>
      <c r="BW23" s="569"/>
      <c r="BX23" s="569"/>
      <c r="BY23" s="588">
        <f>BY20+BY16</f>
        <v>0</v>
      </c>
      <c r="BZ23" s="569"/>
    </row>
    <row r="26" spans="1:78">
      <c r="B26" s="465" t="s">
        <v>678</v>
      </c>
      <c r="V26" s="569"/>
    </row>
    <row r="27" spans="1:78">
      <c r="B27" s="474" t="s">
        <v>679</v>
      </c>
      <c r="H27" s="569">
        <f>0.025*H6</f>
        <v>0.35250000000000004</v>
      </c>
      <c r="I27" s="569">
        <f>0.025*I6</f>
        <v>0.46500000000000008</v>
      </c>
      <c r="J27" s="569">
        <f>0.02*J6</f>
        <v>0.35600000000000004</v>
      </c>
      <c r="K27" s="569">
        <f t="shared" ref="K27:AY27" si="24">0.02*K6</f>
        <v>0.39400000000000002</v>
      </c>
      <c r="L27" s="569">
        <f t="shared" si="24"/>
        <v>1.4040000000000001</v>
      </c>
      <c r="M27" s="569">
        <f t="shared" si="24"/>
        <v>0.43200000000000005</v>
      </c>
      <c r="N27" s="569">
        <f t="shared" si="24"/>
        <v>0.42399999999999999</v>
      </c>
      <c r="O27" s="569">
        <f t="shared" si="24"/>
        <v>0.46799999999999997</v>
      </c>
      <c r="P27" s="569">
        <f t="shared" si="24"/>
        <v>0.50400000000000023</v>
      </c>
      <c r="Q27" s="569">
        <f t="shared" si="24"/>
        <v>1.8280000000000001</v>
      </c>
      <c r="R27" s="569">
        <f>0.02*R6</f>
        <v>0.60324000000000011</v>
      </c>
      <c r="S27" s="569">
        <f t="shared" si="24"/>
        <v>0.60324000000000011</v>
      </c>
      <c r="T27" s="569">
        <f t="shared" si="24"/>
        <v>0.60324000000000011</v>
      </c>
      <c r="U27" s="569">
        <f t="shared" si="24"/>
        <v>0.60324000000000011</v>
      </c>
      <c r="V27" s="569">
        <f t="shared" si="24"/>
        <v>2.4129600000000004</v>
      </c>
      <c r="W27" s="569">
        <f t="shared" si="24"/>
        <v>0.69372600000000006</v>
      </c>
      <c r="X27" s="569">
        <f t="shared" si="24"/>
        <v>0.69372600000000006</v>
      </c>
      <c r="Y27" s="569">
        <f t="shared" si="24"/>
        <v>0.69372600000000006</v>
      </c>
      <c r="Z27" s="569">
        <f t="shared" si="24"/>
        <v>0.69372600000000006</v>
      </c>
      <c r="AA27" s="569">
        <f t="shared" si="24"/>
        <v>2.7749040000000003</v>
      </c>
      <c r="AB27" s="569">
        <f t="shared" si="24"/>
        <v>0</v>
      </c>
      <c r="AC27" s="569">
        <f t="shared" si="24"/>
        <v>0</v>
      </c>
      <c r="AD27" s="569">
        <f t="shared" si="24"/>
        <v>0</v>
      </c>
      <c r="AE27" s="569">
        <f t="shared" si="24"/>
        <v>0</v>
      </c>
      <c r="AF27" s="569">
        <f t="shared" si="24"/>
        <v>3.0523944000000003</v>
      </c>
      <c r="AG27" s="569">
        <f t="shared" si="24"/>
        <v>0</v>
      </c>
      <c r="AH27" s="569">
        <f t="shared" si="24"/>
        <v>0</v>
      </c>
      <c r="AI27" s="569">
        <f t="shared" si="24"/>
        <v>0</v>
      </c>
      <c r="AJ27" s="569">
        <f t="shared" si="24"/>
        <v>0</v>
      </c>
      <c r="AK27" s="569">
        <f t="shared" si="24"/>
        <v>3.2050141200000009</v>
      </c>
      <c r="AL27" s="569">
        <f t="shared" si="24"/>
        <v>0</v>
      </c>
      <c r="AM27" s="569">
        <f t="shared" si="24"/>
        <v>0</v>
      </c>
      <c r="AN27" s="569">
        <f t="shared" si="24"/>
        <v>0</v>
      </c>
      <c r="AO27" s="569">
        <f t="shared" si="24"/>
        <v>0</v>
      </c>
      <c r="AP27" s="569">
        <f t="shared" si="24"/>
        <v>3.3652648260000002</v>
      </c>
      <c r="AQ27" s="569">
        <f t="shared" si="24"/>
        <v>0</v>
      </c>
      <c r="AR27" s="569">
        <f t="shared" si="24"/>
        <v>0</v>
      </c>
      <c r="AS27" s="569">
        <f t="shared" si="24"/>
        <v>0</v>
      </c>
      <c r="AT27" s="569">
        <f t="shared" si="24"/>
        <v>0</v>
      </c>
      <c r="AU27" s="569">
        <f t="shared" si="24"/>
        <v>3.4662227707800004</v>
      </c>
      <c r="AV27" s="569">
        <f t="shared" si="24"/>
        <v>0</v>
      </c>
      <c r="AW27" s="569">
        <f t="shared" si="24"/>
        <v>0</v>
      </c>
      <c r="AX27" s="569">
        <f t="shared" si="24"/>
        <v>0</v>
      </c>
      <c r="AY27" s="569">
        <f t="shared" si="24"/>
        <v>0</v>
      </c>
    </row>
    <row r="28" spans="1:78">
      <c r="B28" s="474" t="s">
        <v>680</v>
      </c>
      <c r="H28" s="569">
        <f>0.055*H6</f>
        <v>0.77550000000000008</v>
      </c>
      <c r="I28" s="569">
        <f>0.055*I6</f>
        <v>1.0230000000000001</v>
      </c>
      <c r="J28" s="569">
        <f>0.055*J6</f>
        <v>0.97900000000000009</v>
      </c>
      <c r="K28" s="569">
        <f>0.055*K6</f>
        <v>1.0834999999999999</v>
      </c>
      <c r="L28" s="569">
        <f>0.055*L6</f>
        <v>3.8610000000000002</v>
      </c>
      <c r="M28" s="569">
        <f t="shared" ref="M28:AT28" si="25">0.055*M6</f>
        <v>1.1880000000000002</v>
      </c>
      <c r="N28" s="569">
        <f t="shared" si="25"/>
        <v>1.1659999999999999</v>
      </c>
      <c r="O28" s="569">
        <f t="shared" si="25"/>
        <v>1.2869999999999999</v>
      </c>
      <c r="P28" s="569">
        <f t="shared" si="25"/>
        <v>1.3860000000000006</v>
      </c>
      <c r="Q28" s="569">
        <f t="shared" si="25"/>
        <v>5.0270000000000001</v>
      </c>
      <c r="R28" s="569">
        <f>0.055*R6</f>
        <v>1.6589100000000001</v>
      </c>
      <c r="S28" s="569">
        <f t="shared" si="25"/>
        <v>1.6589100000000001</v>
      </c>
      <c r="T28" s="569">
        <f t="shared" si="25"/>
        <v>1.6589100000000001</v>
      </c>
      <c r="U28" s="569">
        <f t="shared" si="25"/>
        <v>1.6589100000000001</v>
      </c>
      <c r="V28" s="569">
        <f t="shared" si="25"/>
        <v>6.6356400000000004</v>
      </c>
      <c r="W28" s="569">
        <f t="shared" si="25"/>
        <v>1.9077465000000002</v>
      </c>
      <c r="X28" s="569">
        <f t="shared" si="25"/>
        <v>1.9077465000000002</v>
      </c>
      <c r="Y28" s="569"/>
      <c r="Z28" s="840"/>
      <c r="AA28" s="592">
        <f>0.055*AA6/2</f>
        <v>3.8154930000000005</v>
      </c>
      <c r="AB28" s="592">
        <f t="shared" si="25"/>
        <v>0</v>
      </c>
      <c r="AC28" s="592">
        <f t="shared" si="25"/>
        <v>0</v>
      </c>
      <c r="AD28" s="592">
        <f t="shared" si="25"/>
        <v>0</v>
      </c>
      <c r="AE28" s="592">
        <f t="shared" si="25"/>
        <v>0</v>
      </c>
      <c r="AF28" s="592"/>
      <c r="AG28" s="569">
        <f t="shared" si="25"/>
        <v>0</v>
      </c>
      <c r="AH28" s="569">
        <f t="shared" si="25"/>
        <v>0</v>
      </c>
      <c r="AI28" s="569">
        <f t="shared" si="25"/>
        <v>0</v>
      </c>
      <c r="AJ28" s="569">
        <f t="shared" si="25"/>
        <v>0</v>
      </c>
      <c r="AK28" s="569"/>
      <c r="AL28" s="569">
        <f t="shared" si="25"/>
        <v>0</v>
      </c>
      <c r="AM28" s="569">
        <f t="shared" si="25"/>
        <v>0</v>
      </c>
      <c r="AN28" s="569">
        <f t="shared" si="25"/>
        <v>0</v>
      </c>
      <c r="AO28" s="569">
        <f t="shared" si="25"/>
        <v>0</v>
      </c>
      <c r="AP28" s="569"/>
      <c r="AQ28" s="569">
        <f t="shared" si="25"/>
        <v>0</v>
      </c>
      <c r="AR28" s="569">
        <f t="shared" si="25"/>
        <v>0</v>
      </c>
      <c r="AS28" s="569">
        <f t="shared" si="25"/>
        <v>0</v>
      </c>
      <c r="AT28" s="569">
        <f t="shared" si="25"/>
        <v>0</v>
      </c>
      <c r="AU28" s="569"/>
    </row>
    <row r="29" spans="1:78">
      <c r="A29" s="465" t="s">
        <v>1</v>
      </c>
      <c r="B29" s="561" t="s">
        <v>681</v>
      </c>
      <c r="H29" s="569">
        <f t="shared" ref="H29:AU29" si="26">H28+H27</f>
        <v>1.1280000000000001</v>
      </c>
      <c r="I29" s="569">
        <f t="shared" si="26"/>
        <v>1.4880000000000002</v>
      </c>
      <c r="J29" s="569">
        <f t="shared" si="26"/>
        <v>1.3350000000000002</v>
      </c>
      <c r="K29" s="569">
        <f t="shared" si="26"/>
        <v>1.4775</v>
      </c>
      <c r="L29" s="569">
        <f t="shared" si="26"/>
        <v>5.2650000000000006</v>
      </c>
      <c r="M29" s="569">
        <f t="shared" si="26"/>
        <v>1.62</v>
      </c>
      <c r="N29" s="569">
        <f t="shared" si="26"/>
        <v>1.5899999999999999</v>
      </c>
      <c r="O29" s="569">
        <f t="shared" si="26"/>
        <v>1.7549999999999999</v>
      </c>
      <c r="P29" s="569">
        <f t="shared" si="26"/>
        <v>1.8900000000000008</v>
      </c>
      <c r="Q29" s="569">
        <f t="shared" si="26"/>
        <v>6.8550000000000004</v>
      </c>
      <c r="R29" s="569">
        <f>R28+R27</f>
        <v>2.2621500000000001</v>
      </c>
      <c r="S29" s="569">
        <f t="shared" si="26"/>
        <v>2.2621500000000001</v>
      </c>
      <c r="T29" s="569">
        <f t="shared" si="26"/>
        <v>2.2621500000000001</v>
      </c>
      <c r="U29" s="569">
        <f t="shared" si="26"/>
        <v>2.2621500000000001</v>
      </c>
      <c r="V29" s="569">
        <f t="shared" si="26"/>
        <v>9.0486000000000004</v>
      </c>
      <c r="W29" s="569">
        <f t="shared" si="26"/>
        <v>2.6014725000000003</v>
      </c>
      <c r="X29" s="569">
        <f t="shared" si="26"/>
        <v>2.6014725000000003</v>
      </c>
      <c r="Y29" s="569">
        <f t="shared" si="26"/>
        <v>0.69372600000000006</v>
      </c>
      <c r="Z29" s="569">
        <f t="shared" si="26"/>
        <v>0.69372600000000006</v>
      </c>
      <c r="AA29" s="569">
        <f t="shared" si="26"/>
        <v>6.5903970000000012</v>
      </c>
      <c r="AB29" s="569">
        <f>AF29/4</f>
        <v>0.76309860000000007</v>
      </c>
      <c r="AC29" s="569">
        <f>AF29/4</f>
        <v>0.76309860000000007</v>
      </c>
      <c r="AD29" s="569">
        <f>AF29/4</f>
        <v>0.76309860000000007</v>
      </c>
      <c r="AE29" s="569">
        <f>AF29/4</f>
        <v>0.76309860000000007</v>
      </c>
      <c r="AF29" s="569">
        <f t="shared" si="26"/>
        <v>3.0523944000000003</v>
      </c>
      <c r="AG29" s="569">
        <f t="shared" si="26"/>
        <v>0</v>
      </c>
      <c r="AH29" s="569">
        <f t="shared" si="26"/>
        <v>0</v>
      </c>
      <c r="AI29" s="569">
        <f t="shared" si="26"/>
        <v>0</v>
      </c>
      <c r="AJ29" s="569">
        <f t="shared" si="26"/>
        <v>0</v>
      </c>
      <c r="AK29" s="569">
        <f t="shared" si="26"/>
        <v>3.2050141200000009</v>
      </c>
      <c r="AL29" s="569">
        <f t="shared" si="26"/>
        <v>0</v>
      </c>
      <c r="AM29" s="569">
        <f t="shared" si="26"/>
        <v>0</v>
      </c>
      <c r="AN29" s="569">
        <f t="shared" si="26"/>
        <v>0</v>
      </c>
      <c r="AO29" s="569">
        <f t="shared" si="26"/>
        <v>0</v>
      </c>
      <c r="AP29" s="569">
        <f t="shared" si="26"/>
        <v>3.3652648260000002</v>
      </c>
      <c r="AQ29" s="569">
        <f t="shared" si="26"/>
        <v>0</v>
      </c>
      <c r="AR29" s="569">
        <f t="shared" si="26"/>
        <v>0</v>
      </c>
      <c r="AS29" s="569">
        <f t="shared" si="26"/>
        <v>0</v>
      </c>
      <c r="AT29" s="569">
        <f t="shared" si="26"/>
        <v>0</v>
      </c>
      <c r="AU29" s="569">
        <f t="shared" si="26"/>
        <v>3.4662227707800004</v>
      </c>
    </row>
    <row r="30" spans="1:78">
      <c r="G30" s="569"/>
      <c r="H30" s="569"/>
      <c r="I30" s="569"/>
      <c r="J30" s="569"/>
      <c r="K30" s="569"/>
      <c r="L30" s="569"/>
      <c r="M30" s="569"/>
      <c r="N30" s="569"/>
      <c r="O30" s="569"/>
      <c r="P30" s="569"/>
      <c r="Q30" s="569"/>
      <c r="R30" s="569"/>
      <c r="S30" s="569"/>
      <c r="T30" s="569"/>
      <c r="U30" s="569"/>
      <c r="V30" s="569"/>
      <c r="W30" s="569"/>
      <c r="X30" s="569"/>
      <c r="Y30" s="569"/>
      <c r="Z30" s="569"/>
      <c r="AA30" s="569"/>
      <c r="AB30" s="569"/>
      <c r="AC30" s="569"/>
      <c r="AD30" s="569"/>
      <c r="AE30" s="569"/>
      <c r="AF30" s="569"/>
      <c r="AG30" s="569"/>
      <c r="AH30" s="569"/>
      <c r="AI30" s="569"/>
      <c r="AJ30" s="569"/>
      <c r="AK30" s="569"/>
      <c r="AL30" s="569"/>
      <c r="AM30" s="569"/>
      <c r="AN30" s="569"/>
      <c r="AO30" s="569"/>
      <c r="AP30" s="569"/>
      <c r="AQ30" s="569"/>
      <c r="AR30" s="569"/>
      <c r="AS30" s="569"/>
      <c r="AT30" s="569"/>
      <c r="AU30" s="569"/>
    </row>
    <row r="31" spans="1:78">
      <c r="A31" s="465" t="s">
        <v>1</v>
      </c>
      <c r="B31" s="465" t="s">
        <v>682</v>
      </c>
      <c r="H31" s="569">
        <f>H29/2</f>
        <v>0.56400000000000006</v>
      </c>
      <c r="I31" s="569">
        <f t="shared" ref="I31:AY31" si="27">I29/2</f>
        <v>0.74400000000000011</v>
      </c>
      <c r="J31" s="569">
        <f t="shared" si="27"/>
        <v>0.66750000000000009</v>
      </c>
      <c r="K31" s="569">
        <f t="shared" si="27"/>
        <v>0.73875000000000002</v>
      </c>
      <c r="L31" s="569">
        <f t="shared" si="27"/>
        <v>2.6325000000000003</v>
      </c>
      <c r="M31" s="569">
        <f t="shared" si="27"/>
        <v>0.81</v>
      </c>
      <c r="N31" s="569">
        <f t="shared" si="27"/>
        <v>0.79499999999999993</v>
      </c>
      <c r="O31" s="569">
        <f t="shared" si="27"/>
        <v>0.87749999999999995</v>
      </c>
      <c r="P31" s="569">
        <f t="shared" si="27"/>
        <v>0.9450000000000004</v>
      </c>
      <c r="Q31" s="569">
        <f t="shared" si="27"/>
        <v>3.4275000000000002</v>
      </c>
      <c r="R31" s="569">
        <f>R29/2</f>
        <v>1.1310750000000001</v>
      </c>
      <c r="S31" s="569">
        <f t="shared" si="27"/>
        <v>1.1310750000000001</v>
      </c>
      <c r="T31" s="569">
        <f t="shared" si="27"/>
        <v>1.1310750000000001</v>
      </c>
      <c r="U31" s="569">
        <f t="shared" si="27"/>
        <v>1.1310750000000001</v>
      </c>
      <c r="V31" s="569">
        <f t="shared" si="27"/>
        <v>4.5243000000000002</v>
      </c>
      <c r="W31" s="569">
        <f t="shared" si="27"/>
        <v>1.3007362500000001</v>
      </c>
      <c r="X31" s="569">
        <f t="shared" si="27"/>
        <v>1.3007362500000001</v>
      </c>
      <c r="Y31" s="569">
        <f t="shared" si="27"/>
        <v>0.34686300000000003</v>
      </c>
      <c r="Z31" s="569">
        <f t="shared" si="27"/>
        <v>0.34686300000000003</v>
      </c>
      <c r="AA31" s="569">
        <f t="shared" si="27"/>
        <v>3.2951985000000006</v>
      </c>
      <c r="AB31" s="569">
        <f t="shared" si="27"/>
        <v>0.38154930000000004</v>
      </c>
      <c r="AC31" s="569">
        <f t="shared" si="27"/>
        <v>0.38154930000000004</v>
      </c>
      <c r="AD31" s="569">
        <f t="shared" si="27"/>
        <v>0.38154930000000004</v>
      </c>
      <c r="AE31" s="569">
        <f t="shared" si="27"/>
        <v>0.38154930000000004</v>
      </c>
      <c r="AF31" s="569">
        <f t="shared" si="27"/>
        <v>1.5261972000000001</v>
      </c>
      <c r="AG31" s="569">
        <f t="shared" si="27"/>
        <v>0</v>
      </c>
      <c r="AH31" s="569">
        <f t="shared" si="27"/>
        <v>0</v>
      </c>
      <c r="AI31" s="569">
        <f t="shared" si="27"/>
        <v>0</v>
      </c>
      <c r="AJ31" s="569">
        <f t="shared" si="27"/>
        <v>0</v>
      </c>
      <c r="AK31" s="569">
        <f t="shared" si="27"/>
        <v>1.6025070600000004</v>
      </c>
      <c r="AL31" s="569">
        <f t="shared" si="27"/>
        <v>0</v>
      </c>
      <c r="AM31" s="569">
        <f t="shared" si="27"/>
        <v>0</v>
      </c>
      <c r="AN31" s="569">
        <f t="shared" si="27"/>
        <v>0</v>
      </c>
      <c r="AO31" s="569">
        <f t="shared" si="27"/>
        <v>0</v>
      </c>
      <c r="AP31" s="569">
        <f t="shared" si="27"/>
        <v>1.6826324130000001</v>
      </c>
      <c r="AQ31" s="569">
        <f t="shared" si="27"/>
        <v>0</v>
      </c>
      <c r="AR31" s="569">
        <f t="shared" si="27"/>
        <v>0</v>
      </c>
      <c r="AS31" s="569">
        <f t="shared" si="27"/>
        <v>0</v>
      </c>
      <c r="AT31" s="569">
        <f t="shared" si="27"/>
        <v>0</v>
      </c>
      <c r="AU31" s="569">
        <f t="shared" si="27"/>
        <v>1.7331113853900002</v>
      </c>
      <c r="AV31" s="569">
        <f t="shared" si="27"/>
        <v>0</v>
      </c>
      <c r="AW31" s="569">
        <f t="shared" si="27"/>
        <v>0</v>
      </c>
      <c r="AX31" s="569">
        <f t="shared" si="27"/>
        <v>0</v>
      </c>
      <c r="AY31" s="569">
        <f t="shared" si="27"/>
        <v>0</v>
      </c>
    </row>
    <row r="34" spans="1:51">
      <c r="A34" s="465" t="s">
        <v>1</v>
      </c>
      <c r="B34" s="465" t="s">
        <v>803</v>
      </c>
      <c r="S34" s="569">
        <f>S35*S6</f>
        <v>4.5243000000000002</v>
      </c>
      <c r="T34" s="569">
        <f t="shared" ref="T34:AY34" si="28">T35*T6</f>
        <v>4.5243000000000002</v>
      </c>
      <c r="U34" s="569">
        <f t="shared" si="28"/>
        <v>4.5243000000000002</v>
      </c>
      <c r="V34" s="569">
        <f t="shared" si="28"/>
        <v>18.097200000000001</v>
      </c>
      <c r="W34" s="569">
        <f t="shared" si="28"/>
        <v>5.2029450000000006</v>
      </c>
      <c r="X34" s="569">
        <f t="shared" si="28"/>
        <v>5.2029450000000006</v>
      </c>
      <c r="Y34" s="569">
        <f t="shared" si="28"/>
        <v>5.2029450000000006</v>
      </c>
      <c r="Z34" s="569">
        <f t="shared" si="28"/>
        <v>5.2029450000000006</v>
      </c>
      <c r="AA34" s="569">
        <f t="shared" si="28"/>
        <v>20.811780000000002</v>
      </c>
      <c r="AB34" s="569">
        <f t="shared" si="28"/>
        <v>0</v>
      </c>
      <c r="AC34" s="569">
        <f t="shared" si="28"/>
        <v>0</v>
      </c>
      <c r="AD34" s="569">
        <f t="shared" si="28"/>
        <v>0</v>
      </c>
      <c r="AE34" s="569">
        <f t="shared" si="28"/>
        <v>0</v>
      </c>
      <c r="AF34" s="569">
        <f t="shared" si="28"/>
        <v>22.892958</v>
      </c>
      <c r="AG34" s="569">
        <f t="shared" si="28"/>
        <v>0</v>
      </c>
      <c r="AH34" s="569">
        <f t="shared" si="28"/>
        <v>0</v>
      </c>
      <c r="AI34" s="569">
        <f t="shared" si="28"/>
        <v>0</v>
      </c>
      <c r="AJ34" s="569">
        <f t="shared" si="28"/>
        <v>0</v>
      </c>
      <c r="AK34" s="569">
        <f t="shared" si="28"/>
        <v>24.037605900000006</v>
      </c>
      <c r="AL34" s="569">
        <f t="shared" si="28"/>
        <v>0</v>
      </c>
      <c r="AM34" s="569">
        <f t="shared" si="28"/>
        <v>0</v>
      </c>
      <c r="AN34" s="569">
        <f t="shared" si="28"/>
        <v>0</v>
      </c>
      <c r="AO34" s="569">
        <f t="shared" si="28"/>
        <v>0</v>
      </c>
      <c r="AP34" s="569">
        <f t="shared" si="28"/>
        <v>25.239486195000001</v>
      </c>
      <c r="AQ34" s="569">
        <f t="shared" si="28"/>
        <v>0</v>
      </c>
      <c r="AR34" s="569">
        <f t="shared" si="28"/>
        <v>0</v>
      </c>
      <c r="AS34" s="569">
        <f t="shared" si="28"/>
        <v>0</v>
      </c>
      <c r="AT34" s="569">
        <f t="shared" si="28"/>
        <v>0</v>
      </c>
      <c r="AU34" s="569">
        <f t="shared" si="28"/>
        <v>25.99667078085</v>
      </c>
      <c r="AV34" s="569">
        <f t="shared" si="28"/>
        <v>0</v>
      </c>
      <c r="AW34" s="569">
        <f t="shared" si="28"/>
        <v>0</v>
      </c>
      <c r="AX34" s="569">
        <f t="shared" si="28"/>
        <v>0</v>
      </c>
      <c r="AY34" s="569">
        <f t="shared" si="28"/>
        <v>0</v>
      </c>
    </row>
    <row r="35" spans="1:51">
      <c r="S35" s="705">
        <v>0.15</v>
      </c>
      <c r="T35" s="705">
        <f>S35</f>
        <v>0.15</v>
      </c>
      <c r="U35" s="705">
        <f t="shared" ref="U35:AU35" si="29">T35</f>
        <v>0.15</v>
      </c>
      <c r="V35" s="705">
        <f t="shared" si="29"/>
        <v>0.15</v>
      </c>
      <c r="W35" s="705">
        <f t="shared" si="29"/>
        <v>0.15</v>
      </c>
      <c r="X35" s="705">
        <f t="shared" si="29"/>
        <v>0.15</v>
      </c>
      <c r="Y35" s="705">
        <f t="shared" si="29"/>
        <v>0.15</v>
      </c>
      <c r="Z35" s="705">
        <f t="shared" si="29"/>
        <v>0.15</v>
      </c>
      <c r="AA35" s="705">
        <f t="shared" si="29"/>
        <v>0.15</v>
      </c>
      <c r="AB35" s="705">
        <f t="shared" si="29"/>
        <v>0.15</v>
      </c>
      <c r="AC35" s="705">
        <f t="shared" si="29"/>
        <v>0.15</v>
      </c>
      <c r="AD35" s="705">
        <f t="shared" si="29"/>
        <v>0.15</v>
      </c>
      <c r="AE35" s="705">
        <f t="shared" si="29"/>
        <v>0.15</v>
      </c>
      <c r="AF35" s="705">
        <f t="shared" si="29"/>
        <v>0.15</v>
      </c>
      <c r="AG35" s="705">
        <f t="shared" si="29"/>
        <v>0.15</v>
      </c>
      <c r="AH35" s="705">
        <f t="shared" si="29"/>
        <v>0.15</v>
      </c>
      <c r="AI35" s="705">
        <f t="shared" si="29"/>
        <v>0.15</v>
      </c>
      <c r="AJ35" s="705">
        <f t="shared" si="29"/>
        <v>0.15</v>
      </c>
      <c r="AK35" s="705">
        <f t="shared" si="29"/>
        <v>0.15</v>
      </c>
      <c r="AL35" s="705">
        <f t="shared" si="29"/>
        <v>0.15</v>
      </c>
      <c r="AM35" s="705">
        <f t="shared" si="29"/>
        <v>0.15</v>
      </c>
      <c r="AN35" s="705">
        <f t="shared" si="29"/>
        <v>0.15</v>
      </c>
      <c r="AO35" s="705">
        <f t="shared" si="29"/>
        <v>0.15</v>
      </c>
      <c r="AP35" s="705">
        <f t="shared" si="29"/>
        <v>0.15</v>
      </c>
      <c r="AQ35" s="705">
        <f t="shared" si="29"/>
        <v>0.15</v>
      </c>
      <c r="AR35" s="705">
        <f t="shared" si="29"/>
        <v>0.15</v>
      </c>
      <c r="AS35" s="705">
        <f t="shared" si="29"/>
        <v>0.15</v>
      </c>
      <c r="AT35" s="705">
        <f t="shared" si="29"/>
        <v>0.15</v>
      </c>
      <c r="AU35" s="705">
        <f t="shared" si="29"/>
        <v>0.15</v>
      </c>
    </row>
  </sheetData>
  <phoneticPr fontId="9"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DH172"/>
  <sheetViews>
    <sheetView zoomScale="80" zoomScaleNormal="80" workbookViewId="0">
      <pane xSplit="2" ySplit="2" topLeftCell="CS3" activePane="bottomRight" state="frozen"/>
      <selection pane="topRight" activeCell="C1" sqref="C1"/>
      <selection pane="bottomLeft" activeCell="A3" sqref="A3"/>
      <selection pane="bottomRight" activeCell="DE10" sqref="DE10"/>
    </sheetView>
  </sheetViews>
  <sheetFormatPr defaultRowHeight="12.75" outlineLevelRow="1" outlineLevelCol="1"/>
  <cols>
    <col min="1" max="1" width="2.375" style="125" customWidth="1"/>
    <col min="2" max="2" width="38.5" style="125" bestFit="1" customWidth="1"/>
    <col min="3" max="3" width="9" style="125"/>
    <col min="4" max="7" width="9" style="125" hidden="1" customWidth="1" outlineLevel="1"/>
    <col min="8" max="8" width="9" style="125" collapsed="1"/>
    <col min="9" max="12" width="9" style="125" hidden="1" customWidth="1" outlineLevel="1"/>
    <col min="13" max="13" width="9" style="125" collapsed="1"/>
    <col min="14" max="17" width="9" style="125" hidden="1" customWidth="1" outlineLevel="1"/>
    <col min="18" max="18" width="9" style="125" customWidth="1" collapsed="1"/>
    <col min="19" max="22" width="9" style="125" customWidth="1" outlineLevel="1"/>
    <col min="23" max="23" width="9" style="125"/>
    <col min="24" max="27" width="9" style="125" customWidth="1" outlineLevel="1"/>
    <col min="28" max="28" width="9" style="125"/>
    <col min="29" max="32" width="9" style="125" hidden="1" customWidth="1" outlineLevel="1"/>
    <col min="33" max="33" width="9" style="125" collapsed="1"/>
    <col min="34" max="37" width="9" style="125" hidden="1" customWidth="1" outlineLevel="1"/>
    <col min="38" max="38" width="9" style="125" collapsed="1"/>
    <col min="39" max="42" width="9" style="125" hidden="1" customWidth="1" outlineLevel="1"/>
    <col min="43" max="43" width="9" style="125" collapsed="1"/>
    <col min="44" max="47" width="9" style="125" hidden="1" customWidth="1" outlineLevel="1"/>
    <col min="48" max="48" width="9" style="125" collapsed="1"/>
    <col min="49" max="52" width="9" style="125" hidden="1" customWidth="1" outlineLevel="1"/>
    <col min="53" max="53" width="9" style="125" collapsed="1"/>
    <col min="54" max="57" width="9" style="125" hidden="1" customWidth="1" outlineLevel="1"/>
    <col min="58" max="58" width="9" style="125" collapsed="1"/>
    <col min="59" max="62" width="9" style="125" hidden="1" customWidth="1" outlineLevel="1"/>
    <col min="63" max="63" width="9" style="125" collapsed="1"/>
    <col min="64" max="67" width="9" style="125" hidden="1" customWidth="1" outlineLevel="1"/>
    <col min="68" max="68" width="9" style="125" collapsed="1"/>
    <col min="69" max="72" width="0" style="125" hidden="1" customWidth="1" outlineLevel="1"/>
    <col min="73" max="73" width="9" style="125" collapsed="1"/>
    <col min="74" max="77" width="0" style="125" hidden="1" customWidth="1" outlineLevel="1"/>
    <col min="78" max="78" width="9" style="125" collapsed="1"/>
    <col min="79" max="82" width="0" style="125" hidden="1" customWidth="1" outlineLevel="1"/>
    <col min="83" max="83" width="9" style="125" collapsed="1"/>
    <col min="84" max="87" width="0" style="125" hidden="1" customWidth="1" outlineLevel="1"/>
    <col min="88" max="88" width="9" style="125" collapsed="1"/>
    <col min="89" max="93" width="9" style="125"/>
    <col min="94" max="94" width="9.25" style="125" bestFit="1" customWidth="1"/>
    <col min="95" max="16384" width="9" style="125"/>
  </cols>
  <sheetData>
    <row r="1" spans="1:112">
      <c r="D1" s="500"/>
      <c r="E1" s="500"/>
      <c r="F1" s="500"/>
      <c r="G1" s="500"/>
      <c r="H1" s="500">
        <v>2014</v>
      </c>
      <c r="I1" s="500"/>
      <c r="J1" s="500"/>
      <c r="K1" s="500"/>
      <c r="L1" s="500"/>
      <c r="M1" s="500">
        <v>2015</v>
      </c>
      <c r="N1" s="500"/>
      <c r="O1" s="500"/>
      <c r="P1" s="500"/>
      <c r="Q1" s="500"/>
      <c r="R1" s="500">
        <v>2016</v>
      </c>
      <c r="S1" s="500"/>
      <c r="T1" s="500"/>
      <c r="U1" s="500"/>
      <c r="V1" s="500"/>
      <c r="W1" s="500">
        <f>R1+1</f>
        <v>2017</v>
      </c>
      <c r="X1" s="500"/>
      <c r="Y1" s="500"/>
      <c r="Z1" s="500"/>
      <c r="AA1" s="500"/>
      <c r="AB1" s="500">
        <f>W1+1</f>
        <v>2018</v>
      </c>
      <c r="AC1" s="500"/>
      <c r="AD1" s="500"/>
      <c r="AE1" s="500"/>
      <c r="AF1" s="500"/>
      <c r="AG1" s="500">
        <f>AB1+1</f>
        <v>2019</v>
      </c>
      <c r="AH1" s="500"/>
      <c r="AI1" s="500"/>
      <c r="AJ1" s="500"/>
      <c r="AK1" s="500"/>
      <c r="AL1" s="500">
        <f>AG1+1</f>
        <v>2020</v>
      </c>
      <c r="AM1" s="500"/>
      <c r="AN1" s="500"/>
      <c r="AO1" s="500"/>
      <c r="AP1" s="500"/>
      <c r="AQ1" s="500">
        <f>AL1+1</f>
        <v>2021</v>
      </c>
      <c r="AR1" s="500"/>
      <c r="AS1" s="500"/>
      <c r="AT1" s="500"/>
      <c r="AU1" s="500"/>
      <c r="AV1" s="500">
        <f>AQ1+1</f>
        <v>2022</v>
      </c>
      <c r="AW1" s="500"/>
      <c r="AX1" s="500"/>
      <c r="AY1" s="500"/>
      <c r="AZ1" s="500"/>
      <c r="BA1" s="500">
        <f>AV1+1</f>
        <v>2023</v>
      </c>
      <c r="BB1" s="500"/>
      <c r="BC1" s="500"/>
      <c r="BD1" s="500"/>
      <c r="BE1" s="500"/>
      <c r="BF1" s="500">
        <f>BA1+1</f>
        <v>2024</v>
      </c>
      <c r="BG1" s="500"/>
      <c r="BH1" s="500"/>
      <c r="BI1" s="500"/>
      <c r="BJ1" s="500"/>
      <c r="BK1" s="500">
        <f>BF1+1</f>
        <v>2025</v>
      </c>
      <c r="BL1" s="500"/>
      <c r="BM1" s="500"/>
      <c r="BN1" s="500"/>
      <c r="BO1" s="500"/>
      <c r="BP1" s="500">
        <f>BK1+1</f>
        <v>2026</v>
      </c>
      <c r="BQ1" s="500"/>
      <c r="BR1" s="500"/>
      <c r="BS1" s="500"/>
      <c r="BT1" s="500"/>
      <c r="BU1" s="500">
        <f>BP1+1</f>
        <v>2027</v>
      </c>
      <c r="BV1" s="500"/>
      <c r="BW1" s="500"/>
      <c r="BX1" s="500"/>
      <c r="BY1" s="500"/>
      <c r="BZ1" s="500">
        <f>BU1+1</f>
        <v>2028</v>
      </c>
      <c r="CA1" s="500"/>
      <c r="CB1" s="500"/>
      <c r="CC1" s="500"/>
      <c r="CD1" s="500"/>
      <c r="CE1" s="500">
        <f>BZ1+1</f>
        <v>2029</v>
      </c>
      <c r="CF1" s="500"/>
      <c r="CG1" s="500"/>
      <c r="CH1" s="500"/>
      <c r="CI1" s="500"/>
      <c r="CJ1" s="500">
        <f>CE1+1</f>
        <v>2030</v>
      </c>
    </row>
    <row r="2" spans="1:112" s="147" customFormat="1" ht="12.75" customHeight="1" thickBot="1">
      <c r="A2" s="144"/>
      <c r="B2" s="270"/>
      <c r="C2" s="217">
        <v>2013</v>
      </c>
      <c r="D2" s="502" t="s">
        <v>106</v>
      </c>
      <c r="E2" s="502" t="s">
        <v>107</v>
      </c>
      <c r="F2" s="502" t="s">
        <v>108</v>
      </c>
      <c r="G2" s="502" t="s">
        <v>109</v>
      </c>
      <c r="H2" s="217" t="s">
        <v>110</v>
      </c>
      <c r="I2" s="502" t="s">
        <v>111</v>
      </c>
      <c r="J2" s="502" t="s">
        <v>112</v>
      </c>
      <c r="K2" s="502" t="s">
        <v>113</v>
      </c>
      <c r="L2" s="502" t="s">
        <v>114</v>
      </c>
      <c r="M2" s="217" t="s">
        <v>115</v>
      </c>
      <c r="N2" s="502" t="s">
        <v>813</v>
      </c>
      <c r="O2" s="502" t="s">
        <v>814</v>
      </c>
      <c r="P2" s="502" t="s">
        <v>816</v>
      </c>
      <c r="Q2" s="502" t="s">
        <v>820</v>
      </c>
      <c r="R2" s="217" t="s">
        <v>821</v>
      </c>
      <c r="S2" s="897" t="s">
        <v>823</v>
      </c>
      <c r="T2" s="897" t="s">
        <v>851</v>
      </c>
      <c r="U2" s="897" t="s">
        <v>871</v>
      </c>
      <c r="V2" s="897" t="s">
        <v>894</v>
      </c>
      <c r="W2" s="217" t="s">
        <v>895</v>
      </c>
      <c r="X2" s="217" t="s">
        <v>126</v>
      </c>
      <c r="Y2" s="217" t="s">
        <v>127</v>
      </c>
      <c r="Z2" s="217" t="s">
        <v>128</v>
      </c>
      <c r="AA2" s="217" t="s">
        <v>129</v>
      </c>
      <c r="AB2" s="217" t="s">
        <v>130</v>
      </c>
      <c r="AC2" s="217" t="s">
        <v>131</v>
      </c>
      <c r="AD2" s="217" t="s">
        <v>132</v>
      </c>
      <c r="AE2" s="217" t="s">
        <v>133</v>
      </c>
      <c r="AF2" s="217" t="s">
        <v>134</v>
      </c>
      <c r="AG2" s="217" t="s">
        <v>135</v>
      </c>
      <c r="AH2" s="217" t="s">
        <v>136</v>
      </c>
      <c r="AI2" s="217" t="s">
        <v>137</v>
      </c>
      <c r="AJ2" s="217" t="s">
        <v>138</v>
      </c>
      <c r="AK2" s="217" t="s">
        <v>139</v>
      </c>
      <c r="AL2" s="217" t="s">
        <v>140</v>
      </c>
      <c r="AM2" s="217" t="s">
        <v>141</v>
      </c>
      <c r="AN2" s="217" t="s">
        <v>142</v>
      </c>
      <c r="AO2" s="217" t="s">
        <v>143</v>
      </c>
      <c r="AP2" s="217" t="s">
        <v>144</v>
      </c>
      <c r="AQ2" s="271" t="s">
        <v>145</v>
      </c>
      <c r="AR2" s="217" t="s">
        <v>146</v>
      </c>
      <c r="AS2" s="217" t="s">
        <v>147</v>
      </c>
      <c r="AT2" s="217" t="s">
        <v>148</v>
      </c>
      <c r="AU2" s="217" t="s">
        <v>149</v>
      </c>
      <c r="AV2" s="271" t="s">
        <v>150</v>
      </c>
      <c r="AW2" s="217" t="s">
        <v>151</v>
      </c>
      <c r="AX2" s="217" t="s">
        <v>152</v>
      </c>
      <c r="AY2" s="217" t="s">
        <v>153</v>
      </c>
      <c r="AZ2" s="217" t="s">
        <v>154</v>
      </c>
      <c r="BA2" s="271" t="s">
        <v>155</v>
      </c>
      <c r="BB2" s="217" t="s">
        <v>156</v>
      </c>
      <c r="BC2" s="217" t="s">
        <v>157</v>
      </c>
      <c r="BD2" s="217" t="s">
        <v>158</v>
      </c>
      <c r="BE2" s="217" t="s">
        <v>159</v>
      </c>
      <c r="BF2" s="271" t="s">
        <v>160</v>
      </c>
      <c r="BG2" s="217" t="s">
        <v>161</v>
      </c>
      <c r="BH2" s="217" t="s">
        <v>162</v>
      </c>
      <c r="BI2" s="217" t="s">
        <v>163</v>
      </c>
      <c r="BJ2" s="217" t="s">
        <v>164</v>
      </c>
      <c r="BK2" s="271" t="s">
        <v>165</v>
      </c>
      <c r="BL2" s="217" t="s">
        <v>166</v>
      </c>
      <c r="BM2" s="217" t="s">
        <v>167</v>
      </c>
      <c r="BN2" s="217" t="s">
        <v>168</v>
      </c>
      <c r="BO2" s="217" t="s">
        <v>169</v>
      </c>
      <c r="BP2" s="271" t="s">
        <v>170</v>
      </c>
      <c r="BQ2" s="271"/>
      <c r="BR2" s="271"/>
      <c r="BS2" s="271"/>
      <c r="BT2" s="271"/>
      <c r="BU2" s="271" t="s">
        <v>171</v>
      </c>
      <c r="BV2" s="271"/>
      <c r="BW2" s="271"/>
      <c r="BX2" s="271"/>
      <c r="BY2" s="271"/>
      <c r="BZ2" s="271" t="s">
        <v>172</v>
      </c>
      <c r="CA2" s="271"/>
      <c r="CB2" s="271"/>
      <c r="CC2" s="271"/>
      <c r="CD2" s="271"/>
      <c r="CE2" s="271" t="s">
        <v>173</v>
      </c>
      <c r="CF2" s="271"/>
      <c r="CG2" s="271"/>
      <c r="CH2" s="271"/>
      <c r="CI2" s="271"/>
      <c r="CJ2" s="271" t="s">
        <v>671</v>
      </c>
    </row>
    <row r="3" spans="1:112">
      <c r="D3" s="427"/>
      <c r="E3" s="427"/>
      <c r="F3" s="427"/>
      <c r="G3" s="427"/>
      <c r="I3" s="427"/>
      <c r="J3" s="427"/>
      <c r="K3" s="427"/>
      <c r="L3" s="427"/>
      <c r="N3" s="427"/>
      <c r="O3" s="427"/>
      <c r="P3" s="427"/>
      <c r="Q3" s="427"/>
      <c r="S3" s="899"/>
      <c r="T3" s="899"/>
      <c r="U3" s="899"/>
      <c r="V3" s="899"/>
      <c r="X3" s="899"/>
      <c r="Y3" s="899"/>
      <c r="Z3" s="899"/>
      <c r="AA3" s="899"/>
    </row>
    <row r="4" spans="1:112">
      <c r="B4" s="593" t="s">
        <v>705</v>
      </c>
      <c r="C4" s="594"/>
      <c r="D4" s="594"/>
      <c r="E4" s="594"/>
      <c r="F4" s="594"/>
      <c r="G4" s="594"/>
      <c r="H4" s="594"/>
      <c r="I4" s="594"/>
      <c r="J4" s="594"/>
      <c r="K4" s="594"/>
      <c r="L4" s="594"/>
      <c r="M4" s="594"/>
      <c r="N4" s="594"/>
      <c r="O4" s="594"/>
      <c r="P4" s="594"/>
      <c r="Q4" s="594"/>
      <c r="R4" s="594"/>
      <c r="S4" s="594"/>
      <c r="T4" s="594"/>
      <c r="U4" s="594"/>
      <c r="V4" s="594"/>
      <c r="W4" s="594"/>
      <c r="X4" s="594"/>
      <c r="Y4" s="594"/>
      <c r="Z4" s="594"/>
      <c r="AA4" s="594"/>
      <c r="AB4" s="594"/>
      <c r="AC4" s="594"/>
      <c r="AD4" s="594"/>
      <c r="AE4" s="594"/>
      <c r="AF4" s="594"/>
      <c r="AG4" s="594"/>
      <c r="AH4" s="594"/>
      <c r="AI4" s="594"/>
      <c r="AJ4" s="594"/>
      <c r="AK4" s="594"/>
      <c r="AL4" s="594"/>
      <c r="AM4" s="594"/>
      <c r="AN4" s="594"/>
      <c r="AO4" s="594"/>
      <c r="AP4" s="594"/>
      <c r="AQ4" s="594"/>
      <c r="AR4" s="594"/>
      <c r="AS4" s="594"/>
      <c r="AT4" s="594"/>
      <c r="AU4" s="594"/>
      <c r="AV4" s="594"/>
      <c r="AW4" s="594"/>
      <c r="AX4" s="594"/>
      <c r="AY4" s="594"/>
      <c r="AZ4" s="594"/>
      <c r="BA4" s="594"/>
      <c r="BB4" s="594"/>
      <c r="BC4" s="594"/>
      <c r="BD4" s="594"/>
      <c r="BE4" s="594"/>
      <c r="BF4" s="594"/>
      <c r="BG4" s="594"/>
      <c r="BH4" s="594"/>
      <c r="BI4" s="594"/>
      <c r="BJ4" s="594"/>
      <c r="BK4" s="594"/>
      <c r="BL4" s="594"/>
      <c r="BM4" s="594"/>
      <c r="BN4" s="594"/>
      <c r="BO4" s="594"/>
      <c r="BP4" s="594"/>
      <c r="BQ4" s="996"/>
      <c r="BR4" s="996"/>
      <c r="BS4" s="996"/>
      <c r="BT4" s="996"/>
      <c r="BU4" s="594"/>
      <c r="BZ4" s="594"/>
      <c r="CE4" s="594"/>
      <c r="CJ4" s="594"/>
      <c r="CK4" s="1009" t="s">
        <v>836</v>
      </c>
      <c r="CL4" s="188" t="s">
        <v>835</v>
      </c>
    </row>
    <row r="5" spans="1:112">
      <c r="D5" s="427"/>
      <c r="E5" s="427"/>
      <c r="F5" s="427"/>
      <c r="G5" s="427"/>
      <c r="I5" s="427"/>
      <c r="J5" s="427"/>
      <c r="K5" s="427"/>
      <c r="L5" s="427"/>
      <c r="N5" s="427"/>
      <c r="O5" s="427"/>
      <c r="P5" s="427"/>
      <c r="Q5" s="427"/>
      <c r="S5" s="899"/>
      <c r="T5" s="899"/>
      <c r="U5" s="899"/>
      <c r="V5" s="899"/>
      <c r="X5" s="899"/>
      <c r="Y5" s="899"/>
      <c r="Z5" s="899"/>
      <c r="AA5" s="899"/>
      <c r="AL5" s="223"/>
      <c r="CL5" s="188" t="s">
        <v>837</v>
      </c>
    </row>
    <row r="6" spans="1:112" ht="13.5" thickBot="1">
      <c r="B6" s="259" t="s">
        <v>702</v>
      </c>
      <c r="C6" s="261"/>
      <c r="D6" s="595"/>
      <c r="E6" s="595"/>
      <c r="F6" s="595"/>
      <c r="G6" s="595"/>
      <c r="H6" s="261"/>
      <c r="I6" s="595"/>
      <c r="J6" s="595"/>
      <c r="K6" s="595"/>
      <c r="L6" s="595"/>
      <c r="M6" s="261"/>
      <c r="N6" s="595"/>
      <c r="O6" s="595"/>
      <c r="P6" s="595"/>
      <c r="Q6" s="595"/>
      <c r="R6" s="261"/>
      <c r="S6" s="926"/>
      <c r="T6" s="926"/>
      <c r="U6" s="926"/>
      <c r="V6" s="926"/>
      <c r="W6" s="261"/>
      <c r="X6" s="926"/>
      <c r="Y6" s="926"/>
      <c r="Z6" s="926"/>
      <c r="AA6" s="926"/>
      <c r="AB6" s="261"/>
      <c r="AC6" s="261"/>
      <c r="AD6" s="261"/>
      <c r="AE6" s="261"/>
      <c r="AF6" s="261"/>
      <c r="AG6" s="261"/>
      <c r="AH6" s="261"/>
      <c r="AI6" s="261"/>
      <c r="AJ6" s="261"/>
      <c r="AK6" s="261"/>
      <c r="AL6" s="261"/>
      <c r="AM6" s="261"/>
      <c r="AN6" s="261"/>
      <c r="AO6" s="261"/>
      <c r="AP6" s="261"/>
      <c r="AQ6" s="261"/>
      <c r="AR6" s="261"/>
      <c r="AS6" s="261"/>
      <c r="AT6" s="261"/>
      <c r="AU6" s="261"/>
      <c r="AV6" s="261"/>
      <c r="AW6" s="261"/>
      <c r="AX6" s="261"/>
      <c r="AY6" s="261"/>
      <c r="AZ6" s="261"/>
      <c r="BA6" s="261"/>
      <c r="BB6" s="261"/>
      <c r="BC6" s="261"/>
      <c r="BD6" s="261"/>
      <c r="BE6" s="261"/>
      <c r="BF6" s="261"/>
      <c r="BG6" s="261"/>
      <c r="BH6" s="261"/>
      <c r="BI6" s="261"/>
      <c r="BJ6" s="261"/>
      <c r="BK6" s="261"/>
      <c r="BL6" s="261"/>
      <c r="BM6" s="261"/>
      <c r="BN6" s="261"/>
      <c r="BO6" s="261"/>
      <c r="BP6" s="261"/>
      <c r="BQ6" s="261"/>
      <c r="BR6" s="261"/>
      <c r="BS6" s="261"/>
      <c r="BT6" s="261"/>
      <c r="BU6" s="261"/>
      <c r="BV6" s="261"/>
      <c r="BW6" s="261"/>
      <c r="BX6" s="261"/>
      <c r="BY6" s="261"/>
      <c r="BZ6" s="261"/>
      <c r="CA6" s="261"/>
      <c r="CB6" s="261"/>
      <c r="CC6" s="261"/>
      <c r="CD6" s="261"/>
      <c r="CE6" s="261"/>
      <c r="CF6" s="261"/>
      <c r="CG6" s="261"/>
      <c r="CH6" s="261"/>
      <c r="CI6" s="261"/>
      <c r="CJ6" s="261"/>
      <c r="CK6" s="261"/>
      <c r="CL6" s="1010" t="s">
        <v>838</v>
      </c>
      <c r="CM6" s="261"/>
      <c r="CN6" s="261"/>
      <c r="CO6" s="261"/>
      <c r="CP6" s="261"/>
      <c r="CQ6" s="261"/>
      <c r="CR6" s="1092"/>
      <c r="CS6" s="1092"/>
      <c r="CT6" s="1092"/>
      <c r="CU6" s="1092"/>
      <c r="CV6" s="261"/>
      <c r="CW6" s="261"/>
      <c r="CX6" s="261"/>
      <c r="CY6" s="261"/>
      <c r="CZ6" s="261"/>
    </row>
    <row r="7" spans="1:112">
      <c r="B7" s="125" t="s">
        <v>721</v>
      </c>
      <c r="D7" s="427"/>
      <c r="E7" s="427"/>
      <c r="F7" s="427"/>
      <c r="G7" s="427"/>
      <c r="I7" s="427">
        <v>0</v>
      </c>
      <c r="J7" s="427">
        <v>0</v>
      </c>
      <c r="K7" s="427">
        <v>4</v>
      </c>
      <c r="L7" s="521">
        <v>7</v>
      </c>
      <c r="M7" s="223">
        <f>SUM(I7:L7)</f>
        <v>11</v>
      </c>
      <c r="N7" s="431">
        <f>0.75*13</f>
        <v>9.75</v>
      </c>
      <c r="O7" s="431">
        <f>24*0.8</f>
        <v>19.200000000000003</v>
      </c>
      <c r="P7" s="431">
        <f>32</f>
        <v>32</v>
      </c>
      <c r="Q7" s="520">
        <f>R7-N7-O7-P7</f>
        <v>33.450000000000003</v>
      </c>
      <c r="R7" s="606">
        <v>94.4</v>
      </c>
      <c r="S7" s="431">
        <v>25</v>
      </c>
      <c r="T7" s="431">
        <v>32.6</v>
      </c>
      <c r="U7" s="431">
        <v>32.212389380530972</v>
      </c>
      <c r="V7" s="431">
        <v>41.391304347826093</v>
      </c>
      <c r="W7" s="223">
        <f>SUM(S7:V7)</f>
        <v>131.20369372835705</v>
      </c>
      <c r="X7" s="520">
        <f>CR13</f>
        <v>38.216609215210312</v>
      </c>
      <c r="Y7" s="520">
        <f t="shared" ref="Y7:AA7" si="0">CS13</f>
        <v>44.849121268307222</v>
      </c>
      <c r="Z7" s="520">
        <f t="shared" si="0"/>
        <v>52.849693476939542</v>
      </c>
      <c r="AA7" s="520">
        <f t="shared" si="0"/>
        <v>60.386577955310059</v>
      </c>
      <c r="AB7" s="223">
        <f>CV13</f>
        <v>196.30200191576714</v>
      </c>
      <c r="AC7" s="520"/>
      <c r="AD7" s="520"/>
      <c r="AE7" s="520"/>
      <c r="AF7" s="520"/>
      <c r="AG7" s="223">
        <f>CW13</f>
        <v>361.47622211650918</v>
      </c>
      <c r="AH7" s="520"/>
      <c r="AI7" s="520"/>
      <c r="AJ7" s="520"/>
      <c r="AK7" s="520"/>
      <c r="AL7" s="223">
        <f>CX13</f>
        <v>493.62542451494625</v>
      </c>
      <c r="AM7" s="520"/>
      <c r="AN7" s="520"/>
      <c r="AO7" s="520"/>
      <c r="AP7" s="520"/>
      <c r="AQ7" s="223">
        <f>CY13</f>
        <v>562.03221193763022</v>
      </c>
      <c r="AR7" s="520"/>
      <c r="AS7" s="520"/>
      <c r="AT7" s="520"/>
      <c r="AU7" s="520"/>
      <c r="AV7" s="223">
        <f>CZ13</f>
        <v>615.00405677056381</v>
      </c>
      <c r="AW7" s="520"/>
      <c r="AX7" s="520"/>
      <c r="AY7" s="520"/>
      <c r="AZ7" s="520"/>
      <c r="BA7" s="223">
        <f>DA13</f>
        <v>656.65606775231322</v>
      </c>
      <c r="BB7" s="520"/>
      <c r="BC7" s="520"/>
      <c r="BD7" s="520"/>
      <c r="BE7" s="520"/>
      <c r="BF7" s="223">
        <f>DB13</f>
        <v>692.16783461677664</v>
      </c>
      <c r="BG7" s="520"/>
      <c r="BH7" s="520"/>
      <c r="BI7" s="520"/>
      <c r="BJ7" s="520"/>
      <c r="BK7" s="223">
        <f>DC13</f>
        <v>719.68290978203856</v>
      </c>
      <c r="BL7" s="520"/>
      <c r="BM7" s="520"/>
      <c r="BN7" s="520"/>
      <c r="BO7" s="520"/>
      <c r="BP7" s="223">
        <f>DD13</f>
        <v>741.2733970754997</v>
      </c>
      <c r="BQ7" s="223"/>
      <c r="BR7" s="223"/>
      <c r="BS7" s="223"/>
      <c r="BT7" s="223"/>
      <c r="BU7" s="1006">
        <f>DE13</f>
        <v>763.51159898776473</v>
      </c>
      <c r="BZ7" s="1006">
        <f>DF13</f>
        <v>786.41694695739773</v>
      </c>
      <c r="CE7" s="1006">
        <f>DG13</f>
        <v>810.0094553661196</v>
      </c>
      <c r="CJ7" s="1006">
        <f>DH13</f>
        <v>821.97509203418906</v>
      </c>
    </row>
    <row r="8" spans="1:112">
      <c r="B8" s="176"/>
      <c r="D8" s="427"/>
      <c r="E8" s="427"/>
      <c r="F8" s="427"/>
      <c r="G8" s="427"/>
      <c r="I8" s="427"/>
      <c r="J8" s="427"/>
      <c r="K8" s="427"/>
      <c r="L8" s="427"/>
      <c r="N8" s="427"/>
      <c r="O8" s="427"/>
      <c r="P8" s="427"/>
      <c r="Q8" s="427"/>
      <c r="S8" s="427"/>
      <c r="T8" s="427"/>
      <c r="U8" s="427"/>
      <c r="V8" s="427"/>
      <c r="X8" s="427"/>
      <c r="Y8" s="427"/>
      <c r="Z8" s="427"/>
      <c r="AA8" s="427"/>
      <c r="AC8" s="427"/>
      <c r="AD8" s="427"/>
      <c r="AE8" s="427"/>
      <c r="AF8" s="427"/>
      <c r="AH8" s="427"/>
      <c r="AI8" s="427"/>
      <c r="AJ8" s="427"/>
      <c r="AK8" s="427"/>
      <c r="AM8" s="427"/>
      <c r="AN8" s="427"/>
      <c r="AO8" s="427"/>
      <c r="AP8" s="427"/>
      <c r="AR8" s="427"/>
      <c r="AS8" s="427"/>
      <c r="AT8" s="427"/>
      <c r="AU8" s="427"/>
      <c r="AW8" s="427"/>
      <c r="AX8" s="427"/>
      <c r="AY8" s="427"/>
      <c r="AZ8" s="427"/>
      <c r="BB8" s="427"/>
      <c r="BC8" s="427"/>
      <c r="BD8" s="427"/>
      <c r="BE8" s="427"/>
      <c r="BG8" s="427"/>
      <c r="BH8" s="427"/>
      <c r="BI8" s="427"/>
      <c r="BJ8" s="427"/>
      <c r="BL8" s="427"/>
      <c r="BM8" s="427"/>
      <c r="BN8" s="427"/>
      <c r="BO8" s="427"/>
      <c r="CL8" s="1005" t="s">
        <v>834</v>
      </c>
      <c r="CM8" s="1005"/>
      <c r="CN8" s="1005"/>
    </row>
    <row r="9" spans="1:112" s="188" customFormat="1">
      <c r="B9" s="266" t="s">
        <v>647</v>
      </c>
      <c r="D9" s="515"/>
      <c r="E9" s="515"/>
      <c r="F9" s="515"/>
      <c r="G9" s="515"/>
      <c r="I9" s="516">
        <f>M9</f>
        <v>0.17</v>
      </c>
      <c r="J9" s="516">
        <f>N9</f>
        <v>0.17</v>
      </c>
      <c r="K9" s="516">
        <f>O9</f>
        <v>0.17</v>
      </c>
      <c r="L9" s="516">
        <f>P9</f>
        <v>0.17</v>
      </c>
      <c r="M9" s="811">
        <v>0.17</v>
      </c>
      <c r="N9" s="516">
        <f>R9</f>
        <v>0.17</v>
      </c>
      <c r="O9" s="516">
        <f>R9</f>
        <v>0.17</v>
      </c>
      <c r="P9" s="516">
        <f>R9</f>
        <v>0.17</v>
      </c>
      <c r="Q9" s="516">
        <f>R9</f>
        <v>0.17</v>
      </c>
      <c r="R9" s="208">
        <f>M9</f>
        <v>0.17</v>
      </c>
      <c r="S9" s="516">
        <f>W9</f>
        <v>0.17</v>
      </c>
      <c r="T9" s="516">
        <f>S9</f>
        <v>0.17</v>
      </c>
      <c r="U9" s="813">
        <f t="shared" ref="U9:V9" si="1">T9</f>
        <v>0.17</v>
      </c>
      <c r="V9" s="813">
        <f t="shared" si="1"/>
        <v>0.17</v>
      </c>
      <c r="W9" s="208">
        <f>R9</f>
        <v>0.17</v>
      </c>
      <c r="X9" s="516">
        <f>AB9</f>
        <v>0.17</v>
      </c>
      <c r="Y9" s="516">
        <f>X9</f>
        <v>0.17</v>
      </c>
      <c r="Z9" s="813">
        <f t="shared" ref="Z9:AA9" si="2">Y9</f>
        <v>0.17</v>
      </c>
      <c r="AA9" s="813">
        <f t="shared" si="2"/>
        <v>0.17</v>
      </c>
      <c r="AB9" s="208">
        <f>W9</f>
        <v>0.17</v>
      </c>
      <c r="AC9" s="515"/>
      <c r="AD9" s="515"/>
      <c r="AE9" s="515"/>
      <c r="AF9" s="515"/>
      <c r="AG9" s="208">
        <f>AB9</f>
        <v>0.17</v>
      </c>
      <c r="AH9" s="515"/>
      <c r="AI9" s="515"/>
      <c r="AJ9" s="515"/>
      <c r="AK9" s="515"/>
      <c r="AL9" s="208">
        <f>AG9</f>
        <v>0.17</v>
      </c>
      <c r="AM9" s="515"/>
      <c r="AN9" s="515"/>
      <c r="AO9" s="515"/>
      <c r="AP9" s="515"/>
      <c r="AQ9" s="208">
        <f>AL9</f>
        <v>0.17</v>
      </c>
      <c r="AR9" s="515"/>
      <c r="AS9" s="515"/>
      <c r="AT9" s="515"/>
      <c r="AU9" s="515"/>
      <c r="AV9" s="208">
        <f>AQ9</f>
        <v>0.17</v>
      </c>
      <c r="AW9" s="515"/>
      <c r="AX9" s="515"/>
      <c r="AY9" s="515"/>
      <c r="AZ9" s="515"/>
      <c r="BA9" s="208">
        <f>AV9</f>
        <v>0.17</v>
      </c>
      <c r="BB9" s="515"/>
      <c r="BC9" s="515"/>
      <c r="BD9" s="515"/>
      <c r="BE9" s="515"/>
      <c r="BF9" s="208">
        <f>BA9</f>
        <v>0.17</v>
      </c>
      <c r="BG9" s="515"/>
      <c r="BH9" s="515"/>
      <c r="BI9" s="515"/>
      <c r="BJ9" s="515"/>
      <c r="BK9" s="208">
        <f>BF9</f>
        <v>0.17</v>
      </c>
      <c r="BL9" s="515"/>
      <c r="BM9" s="515"/>
      <c r="BN9" s="515"/>
      <c r="BO9" s="515"/>
      <c r="BP9" s="208">
        <f>BK9</f>
        <v>0.17</v>
      </c>
      <c r="BQ9" s="208"/>
      <c r="BR9" s="208"/>
      <c r="BS9" s="208"/>
      <c r="BT9" s="208"/>
      <c r="BU9" s="208">
        <f>BP9</f>
        <v>0.17</v>
      </c>
      <c r="BZ9" s="208">
        <f>BU9</f>
        <v>0.17</v>
      </c>
      <c r="CE9" s="208">
        <f>BZ9</f>
        <v>0.17</v>
      </c>
      <c r="CJ9" s="208">
        <f>CE9</f>
        <v>0.17</v>
      </c>
      <c r="CL9" s="993"/>
      <c r="CM9" s="987" t="s">
        <v>829</v>
      </c>
      <c r="CN9" s="987" t="s">
        <v>830</v>
      </c>
      <c r="CO9" s="987" t="s">
        <v>831</v>
      </c>
      <c r="CP9" s="987" t="s">
        <v>832</v>
      </c>
      <c r="CQ9" s="987">
        <v>2017</v>
      </c>
      <c r="CR9" s="987" t="s">
        <v>886</v>
      </c>
      <c r="CS9" s="987" t="s">
        <v>887</v>
      </c>
      <c r="CT9" s="987" t="s">
        <v>888</v>
      </c>
      <c r="CU9" s="987" t="s">
        <v>889</v>
      </c>
      <c r="CV9" s="987">
        <f>CQ9+1</f>
        <v>2018</v>
      </c>
      <c r="CW9" s="987">
        <f t="shared" ref="CW9:DH9" si="3">CV9+1</f>
        <v>2019</v>
      </c>
      <c r="CX9" s="987">
        <f t="shared" si="3"/>
        <v>2020</v>
      </c>
      <c r="CY9" s="987">
        <f t="shared" si="3"/>
        <v>2021</v>
      </c>
      <c r="CZ9" s="987">
        <f t="shared" si="3"/>
        <v>2022</v>
      </c>
      <c r="DA9" s="987">
        <f t="shared" si="3"/>
        <v>2023</v>
      </c>
      <c r="DB9" s="987">
        <f t="shared" si="3"/>
        <v>2024</v>
      </c>
      <c r="DC9" s="987">
        <f t="shared" si="3"/>
        <v>2025</v>
      </c>
      <c r="DD9" s="987">
        <f t="shared" si="3"/>
        <v>2026</v>
      </c>
      <c r="DE9" s="987">
        <f t="shared" si="3"/>
        <v>2027</v>
      </c>
      <c r="DF9" s="987">
        <f t="shared" si="3"/>
        <v>2028</v>
      </c>
      <c r="DG9" s="987">
        <f t="shared" si="3"/>
        <v>2029</v>
      </c>
      <c r="DH9" s="987">
        <f t="shared" si="3"/>
        <v>2030</v>
      </c>
    </row>
    <row r="10" spans="1:112">
      <c r="B10" s="176" t="s">
        <v>6</v>
      </c>
      <c r="D10" s="427"/>
      <c r="E10" s="427"/>
      <c r="F10" s="427"/>
      <c r="G10" s="427"/>
      <c r="I10" s="427">
        <f t="shared" ref="I10:K10" si="4">I9*I7</f>
        <v>0</v>
      </c>
      <c r="J10" s="427">
        <f t="shared" si="4"/>
        <v>0</v>
      </c>
      <c r="K10" s="427">
        <f t="shared" si="4"/>
        <v>0.68</v>
      </c>
      <c r="L10" s="427">
        <f t="shared" ref="L10:AA10" si="5">L9*L7</f>
        <v>1.1900000000000002</v>
      </c>
      <c r="M10" s="178">
        <f>SUM(I10:L10)</f>
        <v>1.87</v>
      </c>
      <c r="N10" s="513">
        <f t="shared" si="5"/>
        <v>1.6575000000000002</v>
      </c>
      <c r="O10" s="513">
        <f t="shared" si="5"/>
        <v>3.2640000000000007</v>
      </c>
      <c r="P10" s="513">
        <f t="shared" si="5"/>
        <v>5.44</v>
      </c>
      <c r="Q10" s="513">
        <f t="shared" si="5"/>
        <v>5.6865000000000006</v>
      </c>
      <c r="R10" s="178">
        <f>R9*R7</f>
        <v>16.048000000000002</v>
      </c>
      <c r="S10" s="513">
        <f t="shared" si="5"/>
        <v>4.25</v>
      </c>
      <c r="T10" s="513">
        <f t="shared" si="5"/>
        <v>5.5420000000000007</v>
      </c>
      <c r="U10" s="513">
        <f t="shared" si="5"/>
        <v>5.4761061946902654</v>
      </c>
      <c r="V10" s="513">
        <f t="shared" si="5"/>
        <v>7.0365217391304364</v>
      </c>
      <c r="W10" s="178">
        <f>W9*W7</f>
        <v>22.304627933820701</v>
      </c>
      <c r="X10" s="513">
        <f t="shared" si="5"/>
        <v>6.4968235665857534</v>
      </c>
      <c r="Y10" s="513">
        <f t="shared" si="5"/>
        <v>7.6243506156122285</v>
      </c>
      <c r="Z10" s="513">
        <f t="shared" si="5"/>
        <v>8.9844478910797232</v>
      </c>
      <c r="AA10" s="513">
        <f t="shared" si="5"/>
        <v>10.26571825240271</v>
      </c>
      <c r="AB10" s="178">
        <f>AB9*AB7</f>
        <v>33.371340325680414</v>
      </c>
      <c r="AC10" s="427"/>
      <c r="AD10" s="427"/>
      <c r="AE10" s="427"/>
      <c r="AF10" s="427"/>
      <c r="AG10" s="178">
        <f>AG9*AG7</f>
        <v>61.450957759806563</v>
      </c>
      <c r="AH10" s="427"/>
      <c r="AI10" s="427"/>
      <c r="AJ10" s="427"/>
      <c r="AK10" s="427"/>
      <c r="AL10" s="178">
        <f>AL9*AL7</f>
        <v>83.916322167540869</v>
      </c>
      <c r="AM10" s="427"/>
      <c r="AN10" s="427"/>
      <c r="AO10" s="427"/>
      <c r="AP10" s="427"/>
      <c r="AQ10" s="178">
        <f>AQ9*AQ7</f>
        <v>95.54547602939715</v>
      </c>
      <c r="AR10" s="427"/>
      <c r="AS10" s="427"/>
      <c r="AT10" s="427"/>
      <c r="AU10" s="427"/>
      <c r="AV10" s="178">
        <f>AV9*AV7</f>
        <v>104.55068965099585</v>
      </c>
      <c r="AW10" s="427"/>
      <c r="AX10" s="427"/>
      <c r="AY10" s="427"/>
      <c r="AZ10" s="427"/>
      <c r="BA10" s="178">
        <f>BA9*BA7</f>
        <v>111.63153151789325</v>
      </c>
      <c r="BB10" s="427"/>
      <c r="BC10" s="427"/>
      <c r="BD10" s="427"/>
      <c r="BE10" s="427"/>
      <c r="BF10" s="178">
        <f>BF9*BF7</f>
        <v>117.66853188485204</v>
      </c>
      <c r="BG10" s="427"/>
      <c r="BH10" s="427"/>
      <c r="BI10" s="427"/>
      <c r="BJ10" s="427"/>
      <c r="BK10" s="178">
        <f>BK9*BK7</f>
        <v>122.34609466294657</v>
      </c>
      <c r="BL10" s="427"/>
      <c r="BM10" s="427"/>
      <c r="BN10" s="427"/>
      <c r="BO10" s="427"/>
      <c r="BP10" s="178">
        <f>BP9*BP7</f>
        <v>126.01647750283496</v>
      </c>
      <c r="BQ10" s="178"/>
      <c r="BR10" s="178"/>
      <c r="BS10" s="178"/>
      <c r="BT10" s="178"/>
      <c r="BU10" s="178">
        <f>BU9*BU7</f>
        <v>129.79697182792</v>
      </c>
      <c r="BZ10" s="178">
        <f>BZ9*BZ7</f>
        <v>133.69088098275762</v>
      </c>
      <c r="CE10" s="178">
        <f>CE9*CE7</f>
        <v>137.70160741224035</v>
      </c>
      <c r="CJ10" s="178">
        <f>CJ9*CJ7</f>
        <v>139.73576564581214</v>
      </c>
      <c r="CL10" s="125" t="s">
        <v>778</v>
      </c>
      <c r="CM10" s="989">
        <f>S7</f>
        <v>25</v>
      </c>
      <c r="CN10" s="989">
        <f>T7</f>
        <v>32.6</v>
      </c>
      <c r="CO10" s="989">
        <f>U7</f>
        <v>32.212389380530972</v>
      </c>
      <c r="CP10" s="989">
        <f>V7</f>
        <v>41.391304347826093</v>
      </c>
      <c r="CQ10" s="989">
        <f>SUM(CM10:CP10)</f>
        <v>131.20369372835705</v>
      </c>
      <c r="CR10" s="988">
        <v>45.212216332263495</v>
      </c>
      <c r="CS10" s="988">
        <v>67.273681902460837</v>
      </c>
      <c r="CT10" s="988">
        <v>66.062116846174433</v>
      </c>
      <c r="CU10" s="988">
        <v>75.483222444137567</v>
      </c>
      <c r="CV10" s="988">
        <v>254.03123752503635</v>
      </c>
      <c r="CW10" s="988">
        <v>451.84527764563643</v>
      </c>
      <c r="CX10" s="988">
        <v>617.03178064368285</v>
      </c>
      <c r="CY10" s="988">
        <v>702.54026492203786</v>
      </c>
      <c r="CZ10" s="988">
        <v>768.75507096320484</v>
      </c>
      <c r="DA10" s="988">
        <v>820.82008469039147</v>
      </c>
      <c r="DB10" s="988">
        <v>865.20979327097086</v>
      </c>
      <c r="DC10" s="988">
        <v>899.60363722754823</v>
      </c>
      <c r="DD10" s="988">
        <v>926.59174634437454</v>
      </c>
      <c r="DE10" s="988">
        <v>954.38949873470597</v>
      </c>
      <c r="DF10" s="988">
        <v>983.02118369674713</v>
      </c>
      <c r="DG10" s="988">
        <v>1012.5118192076495</v>
      </c>
      <c r="DH10" s="988">
        <v>1027.4688650427363</v>
      </c>
    </row>
    <row r="11" spans="1:112">
      <c r="B11" s="176" t="s">
        <v>216</v>
      </c>
      <c r="D11" s="427"/>
      <c r="E11" s="427"/>
      <c r="F11" s="427"/>
      <c r="G11" s="427"/>
      <c r="H11" s="125">
        <v>20</v>
      </c>
      <c r="I11" s="521">
        <f t="shared" ref="I11:K11" si="6">I7-I10-I12</f>
        <v>29.788888888888891</v>
      </c>
      <c r="J11" s="521">
        <f t="shared" si="6"/>
        <v>52.917777777777779</v>
      </c>
      <c r="K11" s="521">
        <f t="shared" si="6"/>
        <v>94.686666666666653</v>
      </c>
      <c r="L11" s="521">
        <f>L7-L10-L12</f>
        <v>120.16333333333334</v>
      </c>
      <c r="M11" s="222">
        <f>SUM(I11:L11)</f>
        <v>297.55666666666667</v>
      </c>
      <c r="N11" s="521">
        <f>REVS!AL20*2</f>
        <v>146.548</v>
      </c>
      <c r="O11" s="521">
        <f>REVS!AM20*2</f>
        <v>171.77</v>
      </c>
      <c r="P11" s="521">
        <f>REVS!AN20*2</f>
        <v>131.40600000000001</v>
      </c>
      <c r="Q11" s="521">
        <f>REVS!AO20*2</f>
        <v>194.57400000000001</v>
      </c>
      <c r="R11" s="222">
        <f>SUM(N11:Q11)</f>
        <v>644.298</v>
      </c>
      <c r="S11" s="521">
        <f>REVS!AQ20*2</f>
        <v>147.11799999999999</v>
      </c>
      <c r="T11" s="521">
        <f>REVS!AR20*2</f>
        <v>174.208</v>
      </c>
      <c r="U11" s="521">
        <f>REVS!AS20*2</f>
        <v>180.678</v>
      </c>
      <c r="V11" s="521">
        <f>REVS!AT20*2</f>
        <v>235.596</v>
      </c>
      <c r="W11" s="222">
        <f>SUM(S11:V11)</f>
        <v>737.6</v>
      </c>
      <c r="X11" s="427">
        <v>140</v>
      </c>
      <c r="Y11" s="427">
        <f>X11*1.05</f>
        <v>147</v>
      </c>
      <c r="Z11" s="521">
        <f>Y11*1.05</f>
        <v>154.35</v>
      </c>
      <c r="AA11" s="521">
        <f>AB11-SUM(X11:Z11)</f>
        <v>222.49</v>
      </c>
      <c r="AB11" s="222">
        <f>W11*0.9</f>
        <v>663.84</v>
      </c>
      <c r="AC11" s="427"/>
      <c r="AD11" s="427"/>
      <c r="AE11" s="427"/>
      <c r="AF11" s="427"/>
      <c r="AG11" s="222">
        <f>AB11*1.05</f>
        <v>697.03200000000004</v>
      </c>
      <c r="AH11" s="427"/>
      <c r="AI11" s="427"/>
      <c r="AJ11" s="427"/>
      <c r="AK11" s="427"/>
      <c r="AL11" s="222">
        <f>AG11*0.9</f>
        <v>627.3288</v>
      </c>
      <c r="AM11" s="427"/>
      <c r="AN11" s="427"/>
      <c r="AO11" s="427"/>
      <c r="AP11" s="427"/>
      <c r="AQ11" s="222">
        <f>AL11*1.025</f>
        <v>643.01201999999989</v>
      </c>
      <c r="AR11" s="427"/>
      <c r="AS11" s="427"/>
      <c r="AT11" s="427"/>
      <c r="AU11" s="427"/>
      <c r="AV11" s="222">
        <f>AQ11*1.025</f>
        <v>659.08732049999981</v>
      </c>
      <c r="AW11" s="427"/>
      <c r="AX11" s="427"/>
      <c r="AY11" s="427"/>
      <c r="AZ11" s="427"/>
      <c r="BA11" s="222">
        <f>AV11*1.025</f>
        <v>675.56450351249975</v>
      </c>
      <c r="BB11" s="427"/>
      <c r="BC11" s="427"/>
      <c r="BD11" s="427"/>
      <c r="BE11" s="427"/>
      <c r="BF11" s="222">
        <f>BA11*1.025</f>
        <v>692.45361610031216</v>
      </c>
      <c r="BG11" s="427"/>
      <c r="BH11" s="427"/>
      <c r="BI11" s="427"/>
      <c r="BJ11" s="427"/>
      <c r="BK11" s="222">
        <f>BF11*1.025</f>
        <v>709.76495650281993</v>
      </c>
      <c r="BL11" s="427"/>
      <c r="BM11" s="427"/>
      <c r="BN11" s="427"/>
      <c r="BO11" s="427"/>
      <c r="BP11" s="222">
        <f>BK11*1.025</f>
        <v>727.50908041539037</v>
      </c>
      <c r="BQ11" s="222"/>
      <c r="BR11" s="222"/>
      <c r="BS11" s="222"/>
      <c r="BT11" s="222"/>
      <c r="BU11" s="222">
        <f>BP11*1.025</f>
        <v>745.69680742577509</v>
      </c>
      <c r="BZ11" s="222">
        <f>BU11*1.025</f>
        <v>764.33922761141935</v>
      </c>
      <c r="CE11" s="222">
        <f>BZ11*1.025</f>
        <v>783.44770830170478</v>
      </c>
      <c r="CJ11" s="222">
        <f>CE11*1.025</f>
        <v>803.0339010092473</v>
      </c>
      <c r="CK11" s="264"/>
      <c r="CL11" s="125" t="s">
        <v>780</v>
      </c>
      <c r="CM11" s="989">
        <f t="shared" ref="CM11:CO12" si="7">CM10</f>
        <v>25</v>
      </c>
      <c r="CN11" s="989">
        <f t="shared" si="7"/>
        <v>32.6</v>
      </c>
      <c r="CO11" s="989">
        <f t="shared" si="7"/>
        <v>32.212389380530972</v>
      </c>
      <c r="CP11" s="989">
        <f t="shared" ref="CP11" si="8">CP10</f>
        <v>41.391304347826093</v>
      </c>
      <c r="CQ11" s="989">
        <f t="shared" ref="CQ11" si="9">SUM(CM11:CP11)</f>
        <v>131.20369372835705</v>
      </c>
      <c r="CR11" s="988">
        <v>38.216609215210312</v>
      </c>
      <c r="CS11" s="988">
        <v>44.849121268307222</v>
      </c>
      <c r="CT11" s="988">
        <v>52.849693476939542</v>
      </c>
      <c r="CU11" s="988">
        <v>60.386577955310059</v>
      </c>
      <c r="CV11" s="988">
        <v>196.30200191576714</v>
      </c>
      <c r="CW11" s="988">
        <v>361.47622211650918</v>
      </c>
      <c r="CX11" s="988">
        <v>493.62542451494625</v>
      </c>
      <c r="CY11" s="988">
        <v>562.03221193763022</v>
      </c>
      <c r="CZ11" s="988">
        <v>615.00405677056381</v>
      </c>
      <c r="DA11" s="988">
        <v>656.65606775231322</v>
      </c>
      <c r="DB11" s="988">
        <v>692.16783461677664</v>
      </c>
      <c r="DC11" s="988">
        <v>719.68290978203856</v>
      </c>
      <c r="DD11" s="988">
        <v>741.2733970754997</v>
      </c>
      <c r="DE11" s="988">
        <v>763.51159898776473</v>
      </c>
      <c r="DF11" s="988">
        <v>786.41694695739773</v>
      </c>
      <c r="DG11" s="988">
        <v>810.0094553661196</v>
      </c>
      <c r="DH11" s="988">
        <v>821.97509203418906</v>
      </c>
    </row>
    <row r="12" spans="1:112" s="223" customFormat="1" ht="13.5" thickBot="1">
      <c r="B12" s="221" t="s">
        <v>217</v>
      </c>
      <c r="C12" s="221"/>
      <c r="D12" s="526"/>
      <c r="E12" s="526"/>
      <c r="F12" s="526"/>
      <c r="G12" s="526"/>
      <c r="H12" s="221">
        <f>H7-H10-H11</f>
        <v>-20</v>
      </c>
      <c r="I12" s="526">
        <f t="shared" ref="I12:K12" si="10">I15/I14</f>
        <v>-29.788888888888891</v>
      </c>
      <c r="J12" s="526">
        <f t="shared" si="10"/>
        <v>-52.917777777777779</v>
      </c>
      <c r="K12" s="526">
        <f t="shared" si="10"/>
        <v>-91.36666666666666</v>
      </c>
      <c r="L12" s="526">
        <f>L15/L14</f>
        <v>-114.35333333333334</v>
      </c>
      <c r="M12" s="221">
        <f>SUM(I12:L12)</f>
        <v>-288.42666666666668</v>
      </c>
      <c r="N12" s="526">
        <f>N7-N10-N11</f>
        <v>-138.4555</v>
      </c>
      <c r="O12" s="526">
        <f t="shared" ref="O12:P12" si="11">O7-O10-O11</f>
        <v>-155.834</v>
      </c>
      <c r="P12" s="526">
        <f t="shared" si="11"/>
        <v>-104.846</v>
      </c>
      <c r="Q12" s="526">
        <f t="shared" ref="Q12:AA12" si="12">Q7-Q10-Q11</f>
        <v>-166.81050000000002</v>
      </c>
      <c r="R12" s="221">
        <f>R7-R10-R11</f>
        <v>-565.94600000000003</v>
      </c>
      <c r="S12" s="526">
        <f t="shared" si="12"/>
        <v>-126.36799999999999</v>
      </c>
      <c r="T12" s="526">
        <f t="shared" si="12"/>
        <v>-147.15</v>
      </c>
      <c r="U12" s="526">
        <f t="shared" si="12"/>
        <v>-153.94171681415929</v>
      </c>
      <c r="V12" s="526">
        <f t="shared" si="12"/>
        <v>-201.24121739130436</v>
      </c>
      <c r="W12" s="221">
        <f>W7-W10-W11</f>
        <v>-628.70093420546368</v>
      </c>
      <c r="X12" s="526">
        <f t="shared" si="12"/>
        <v>-108.28021435137543</v>
      </c>
      <c r="Y12" s="526">
        <f t="shared" si="12"/>
        <v>-109.77522934730501</v>
      </c>
      <c r="Z12" s="526">
        <f t="shared" si="12"/>
        <v>-110.48475441414018</v>
      </c>
      <c r="AA12" s="526">
        <f t="shared" si="12"/>
        <v>-172.36914029709266</v>
      </c>
      <c r="AB12" s="221">
        <f>AB7-AB10-AB11</f>
        <v>-500.90933840991329</v>
      </c>
      <c r="AC12" s="526"/>
      <c r="AD12" s="526"/>
      <c r="AE12" s="526"/>
      <c r="AF12" s="526"/>
      <c r="AG12" s="221">
        <f>AG7-AG10-AG11</f>
        <v>-397.00673564329742</v>
      </c>
      <c r="AH12" s="526"/>
      <c r="AI12" s="526"/>
      <c r="AJ12" s="526"/>
      <c r="AK12" s="526"/>
      <c r="AL12" s="221">
        <f>AL7-AL10-AL11</f>
        <v>-217.6196976525946</v>
      </c>
      <c r="AM12" s="526"/>
      <c r="AN12" s="526"/>
      <c r="AO12" s="526"/>
      <c r="AP12" s="526"/>
      <c r="AQ12" s="221">
        <f>AQ7-AQ10-AQ11</f>
        <v>-176.52528409176682</v>
      </c>
      <c r="AR12" s="526"/>
      <c r="AS12" s="526"/>
      <c r="AT12" s="526"/>
      <c r="AU12" s="526"/>
      <c r="AV12" s="221">
        <f>AV7-AV10-AV11</f>
        <v>-148.63395338043188</v>
      </c>
      <c r="AW12" s="526"/>
      <c r="AX12" s="526"/>
      <c r="AY12" s="526"/>
      <c r="AZ12" s="526"/>
      <c r="BA12" s="221">
        <f>BA7-BA10-BA11</f>
        <v>-130.53996727807976</v>
      </c>
      <c r="BB12" s="526"/>
      <c r="BC12" s="526"/>
      <c r="BD12" s="526"/>
      <c r="BE12" s="526"/>
      <c r="BF12" s="221">
        <f>BF7-BF10-BF11</f>
        <v>-117.9543133683876</v>
      </c>
      <c r="BG12" s="526"/>
      <c r="BH12" s="526"/>
      <c r="BI12" s="526"/>
      <c r="BJ12" s="526"/>
      <c r="BK12" s="221">
        <f>BK7-BK10-BK11</f>
        <v>-112.42814138372796</v>
      </c>
      <c r="BL12" s="526"/>
      <c r="BM12" s="526"/>
      <c r="BN12" s="526"/>
      <c r="BO12" s="526"/>
      <c r="BP12" s="221">
        <f>BP7-BP10-BP11</f>
        <v>-112.25216084272563</v>
      </c>
      <c r="BQ12" s="997"/>
      <c r="BR12" s="997"/>
      <c r="BS12" s="997"/>
      <c r="BT12" s="997"/>
      <c r="BU12" s="221">
        <f>BU7-BU10-BU11</f>
        <v>-111.98218026593042</v>
      </c>
      <c r="BZ12" s="221">
        <f>BZ7-BZ10-BZ11</f>
        <v>-111.6131616367793</v>
      </c>
      <c r="CE12" s="221">
        <f>CE7-CE10-CE11</f>
        <v>-111.13986034782556</v>
      </c>
      <c r="CJ12" s="221">
        <f>CJ7-CJ10-CJ11</f>
        <v>-120.79457462087043</v>
      </c>
      <c r="CL12" s="223" t="s">
        <v>779</v>
      </c>
      <c r="CM12" s="989">
        <f t="shared" si="7"/>
        <v>25</v>
      </c>
      <c r="CN12" s="989">
        <f t="shared" si="7"/>
        <v>32.6</v>
      </c>
      <c r="CO12" s="989">
        <f t="shared" si="7"/>
        <v>32.212389380530972</v>
      </c>
      <c r="CP12" s="989">
        <f>CP11</f>
        <v>41.391304347826093</v>
      </c>
      <c r="CQ12" s="989">
        <f>SUM(CM12:CP12)</f>
        <v>131.20369372835705</v>
      </c>
      <c r="CR12" s="988">
        <v>34.019244944978404</v>
      </c>
      <c r="CS12" s="988">
        <v>31.394384887815047</v>
      </c>
      <c r="CT12" s="988">
        <v>36.994785433857679</v>
      </c>
      <c r="CU12" s="988">
        <v>42.270604568717047</v>
      </c>
      <c r="CV12" s="988">
        <v>144.67901983536819</v>
      </c>
      <c r="CW12" s="988">
        <v>253.03335548155638</v>
      </c>
      <c r="CX12" s="988">
        <v>345.53779716046239</v>
      </c>
      <c r="CY12" s="988">
        <v>393.42254835634122</v>
      </c>
      <c r="CZ12" s="988">
        <v>430.50283973939452</v>
      </c>
      <c r="DA12" s="988">
        <v>459.65924742661917</v>
      </c>
      <c r="DB12" s="988">
        <v>484.51748423174365</v>
      </c>
      <c r="DC12" s="988">
        <v>503.77803684742696</v>
      </c>
      <c r="DD12" s="988">
        <v>518.89137795284978</v>
      </c>
      <c r="DE12" s="988">
        <v>534.45811929143542</v>
      </c>
      <c r="DF12" s="988">
        <v>550.49186287017847</v>
      </c>
      <c r="DG12" s="988">
        <v>567.00661875628384</v>
      </c>
      <c r="DH12" s="988">
        <v>575.38256442393242</v>
      </c>
    </row>
    <row r="13" spans="1:112" ht="13.5" thickBot="1">
      <c r="D13" s="427"/>
      <c r="E13" s="427"/>
      <c r="F13" s="427"/>
      <c r="G13" s="427"/>
      <c r="I13" s="427"/>
      <c r="J13" s="427"/>
      <c r="K13" s="427"/>
      <c r="L13" s="427"/>
      <c r="N13" s="427"/>
      <c r="O13" s="427"/>
      <c r="P13" s="427"/>
      <c r="Q13" s="427"/>
      <c r="S13" s="427"/>
      <c r="T13" s="427"/>
      <c r="U13" s="427"/>
      <c r="V13" s="427"/>
      <c r="X13" s="427"/>
      <c r="Y13" s="427"/>
      <c r="Z13" s="427"/>
      <c r="AA13" s="427"/>
      <c r="AC13" s="427"/>
      <c r="AD13" s="427"/>
      <c r="AE13" s="427"/>
      <c r="AF13" s="427"/>
      <c r="AH13" s="427"/>
      <c r="AI13" s="427"/>
      <c r="AJ13" s="427"/>
      <c r="AK13" s="427"/>
      <c r="AM13" s="427"/>
      <c r="AN13" s="427"/>
      <c r="AO13" s="427"/>
      <c r="AP13" s="427"/>
      <c r="AR13" s="427"/>
      <c r="AS13" s="427"/>
      <c r="AT13" s="427"/>
      <c r="AU13" s="427"/>
      <c r="AW13" s="427"/>
      <c r="AX13" s="427"/>
      <c r="AY13" s="427"/>
      <c r="AZ13" s="427"/>
      <c r="BB13" s="427"/>
      <c r="BC13" s="427"/>
      <c r="BD13" s="427"/>
      <c r="BE13" s="427"/>
      <c r="BG13" s="427"/>
      <c r="BH13" s="427"/>
      <c r="BI13" s="427"/>
      <c r="BJ13" s="427"/>
      <c r="BL13" s="427"/>
      <c r="BM13" s="427"/>
      <c r="BN13" s="427"/>
      <c r="BO13" s="427"/>
      <c r="CL13" s="990" t="s">
        <v>833</v>
      </c>
      <c r="CM13" s="991">
        <f>CHOOSE(DCF!$C$25,Antibodies!CM10,Antibodies!CM11,Antibodies!CM12)</f>
        <v>25</v>
      </c>
      <c r="CN13" s="991">
        <f>CHOOSE(DCF!$C$25,Antibodies!CN10,Antibodies!CN11,Antibodies!CN12)</f>
        <v>32.6</v>
      </c>
      <c r="CO13" s="991">
        <f>CHOOSE(DCF!$C$25,Antibodies!CO10,Antibodies!CO11,Antibodies!CO12)</f>
        <v>32.212389380530972</v>
      </c>
      <c r="CP13" s="991">
        <f>CHOOSE(DCF!$C$25,Antibodies!CP10,Antibodies!CP11,Antibodies!CP12)</f>
        <v>41.391304347826093</v>
      </c>
      <c r="CQ13" s="991">
        <f>CHOOSE(DCF!$C$25,Antibodies!CQ10,Antibodies!CQ11,Antibodies!CQ12)</f>
        <v>131.20369372835705</v>
      </c>
      <c r="CR13" s="991">
        <f>CHOOSE(DCF!$C$25,Antibodies!CR10,Antibodies!CR11,Antibodies!CR12)</f>
        <v>38.216609215210312</v>
      </c>
      <c r="CS13" s="991">
        <f>CHOOSE(DCF!$C$25,Antibodies!CS10,Antibodies!CS11,Antibodies!CS12)</f>
        <v>44.849121268307222</v>
      </c>
      <c r="CT13" s="991">
        <f>CHOOSE(DCF!$C$25,Antibodies!CT10,Antibodies!CT11,Antibodies!CT12)</f>
        <v>52.849693476939542</v>
      </c>
      <c r="CU13" s="991">
        <f>CHOOSE(DCF!$C$25,Antibodies!CU10,Antibodies!CU11,Antibodies!CU12)</f>
        <v>60.386577955310059</v>
      </c>
      <c r="CV13" s="991">
        <f>CHOOSE(DCF!$C$25,Antibodies!CV10,Antibodies!CV11,Antibodies!CV12)</f>
        <v>196.30200191576714</v>
      </c>
      <c r="CW13" s="991">
        <f>CHOOSE(DCF!$C$25,Antibodies!CW10,Antibodies!CW11,Antibodies!CW12)</f>
        <v>361.47622211650918</v>
      </c>
      <c r="CX13" s="991">
        <f>CHOOSE(DCF!$C$25,Antibodies!CX10,Antibodies!CX11,Antibodies!CX12)</f>
        <v>493.62542451494625</v>
      </c>
      <c r="CY13" s="991">
        <f>CHOOSE(DCF!$C$25,Antibodies!CY10,Antibodies!CY11,Antibodies!CY12)</f>
        <v>562.03221193763022</v>
      </c>
      <c r="CZ13" s="991">
        <f>CHOOSE(DCF!$C$25,Antibodies!CZ10,Antibodies!CZ11,Antibodies!CZ12)</f>
        <v>615.00405677056381</v>
      </c>
      <c r="DA13" s="991">
        <f>CHOOSE(DCF!$C$25,Antibodies!DA10,Antibodies!DA11,Antibodies!DA12)</f>
        <v>656.65606775231322</v>
      </c>
      <c r="DB13" s="991">
        <f>CHOOSE(DCF!$C$25,Antibodies!DB10,Antibodies!DB11,Antibodies!DB12)</f>
        <v>692.16783461677664</v>
      </c>
      <c r="DC13" s="991">
        <f>CHOOSE(DCF!$C$25,Antibodies!DC10,Antibodies!DC11,Antibodies!DC12)</f>
        <v>719.68290978203856</v>
      </c>
      <c r="DD13" s="991">
        <f>CHOOSE(DCF!$C$25,Antibodies!DD10,Antibodies!DD11,Antibodies!DD12)</f>
        <v>741.2733970754997</v>
      </c>
      <c r="DE13" s="991">
        <f>CHOOSE(DCF!$C$25,Antibodies!DE10,Antibodies!DE11,Antibodies!DE12)</f>
        <v>763.51159898776473</v>
      </c>
      <c r="DF13" s="991">
        <f>CHOOSE(DCF!$C$25,Antibodies!DF10,Antibodies!DF11,Antibodies!DF12)</f>
        <v>786.41694695739773</v>
      </c>
      <c r="DG13" s="991">
        <f>CHOOSE(DCF!$C$25,Antibodies!DG10,Antibodies!DG11,Antibodies!DG12)</f>
        <v>810.0094553661196</v>
      </c>
      <c r="DH13" s="992">
        <f>CHOOSE(DCF!$C$25,Antibodies!DH10,Antibodies!DH11,Antibodies!DH12)</f>
        <v>821.97509203418906</v>
      </c>
    </row>
    <row r="14" spans="1:112" s="188" customFormat="1">
      <c r="B14" s="186" t="s">
        <v>714</v>
      </c>
      <c r="D14" s="515"/>
      <c r="E14" s="515"/>
      <c r="F14" s="515"/>
      <c r="G14" s="515"/>
      <c r="H14" s="208">
        <f>IF(H12&lt;0,0.45,0.5)</f>
        <v>0.45</v>
      </c>
      <c r="I14" s="516">
        <f>M14</f>
        <v>0.45</v>
      </c>
      <c r="J14" s="516">
        <f>I14</f>
        <v>0.45</v>
      </c>
      <c r="K14" s="813">
        <f>J14</f>
        <v>0.45</v>
      </c>
      <c r="L14" s="813">
        <f>K14</f>
        <v>0.45</v>
      </c>
      <c r="M14" s="208">
        <v>0.45</v>
      </c>
      <c r="N14" s="813">
        <f>L14</f>
        <v>0.45</v>
      </c>
      <c r="O14" s="813">
        <f>N14</f>
        <v>0.45</v>
      </c>
      <c r="P14" s="813">
        <f>O14</f>
        <v>0.45</v>
      </c>
      <c r="Q14" s="813">
        <f t="shared" ref="Q14" si="13">IF(Q12&lt;0,0.45,0.5)</f>
        <v>0.45</v>
      </c>
      <c r="R14" s="208">
        <f>IF(R12&lt;0,0.45,0.5)</f>
        <v>0.45</v>
      </c>
      <c r="S14" s="813">
        <f t="shared" ref="S14:AA14" si="14">IF(S12&lt;0,0.45,0.5)</f>
        <v>0.45</v>
      </c>
      <c r="T14" s="813">
        <f t="shared" si="14"/>
        <v>0.45</v>
      </c>
      <c r="U14" s="813">
        <f t="shared" si="14"/>
        <v>0.45</v>
      </c>
      <c r="V14" s="813">
        <f t="shared" si="14"/>
        <v>0.45</v>
      </c>
      <c r="W14" s="208">
        <f>W15/W12</f>
        <v>0.45</v>
      </c>
      <c r="X14" s="813">
        <f t="shared" si="14"/>
        <v>0.45</v>
      </c>
      <c r="Y14" s="813">
        <f t="shared" si="14"/>
        <v>0.45</v>
      </c>
      <c r="Z14" s="813">
        <f t="shared" si="14"/>
        <v>0.45</v>
      </c>
      <c r="AA14" s="813">
        <f t="shared" si="14"/>
        <v>0.45</v>
      </c>
      <c r="AB14" s="208">
        <f>IF(AB12&lt;0,0.45,0.5)</f>
        <v>0.45</v>
      </c>
      <c r="AC14" s="515"/>
      <c r="AD14" s="515"/>
      <c r="AE14" s="515"/>
      <c r="AF14" s="515"/>
      <c r="AG14" s="208">
        <f>IF(AG12&lt;0,0.45,0.5)</f>
        <v>0.45</v>
      </c>
      <c r="AH14" s="515"/>
      <c r="AI14" s="515"/>
      <c r="AJ14" s="515"/>
      <c r="AK14" s="515"/>
      <c r="AL14" s="208">
        <f>IF(AL12&lt;0,0.45,0.5)</f>
        <v>0.45</v>
      </c>
      <c r="AM14" s="515"/>
      <c r="AN14" s="515"/>
      <c r="AO14" s="515"/>
      <c r="AP14" s="515"/>
      <c r="AQ14" s="208">
        <f>IF(AQ12&lt;0,0.45,0.5)</f>
        <v>0.45</v>
      </c>
      <c r="AR14" s="515"/>
      <c r="AS14" s="515"/>
      <c r="AT14" s="515"/>
      <c r="AU14" s="515"/>
      <c r="AV14" s="208">
        <f>IF(AV12&lt;0,0.45,0.5)</f>
        <v>0.45</v>
      </c>
      <c r="AW14" s="515"/>
      <c r="AX14" s="515"/>
      <c r="AY14" s="515"/>
      <c r="AZ14" s="515"/>
      <c r="BA14" s="208">
        <f>IF(BA12&lt;0,0.45,0.5)</f>
        <v>0.45</v>
      </c>
      <c r="BB14" s="515"/>
      <c r="BC14" s="515"/>
      <c r="BD14" s="515"/>
      <c r="BE14" s="515"/>
      <c r="BF14" s="208">
        <f>IF(BF12&lt;0,0.45,0.5)</f>
        <v>0.45</v>
      </c>
      <c r="BG14" s="515"/>
      <c r="BH14" s="515"/>
      <c r="BI14" s="515"/>
      <c r="BJ14" s="515"/>
      <c r="BK14" s="208">
        <f>IF(BK12&lt;0,0.45,0.5)</f>
        <v>0.45</v>
      </c>
      <c r="BL14" s="515"/>
      <c r="BM14" s="515"/>
      <c r="BN14" s="515"/>
      <c r="BO14" s="515"/>
      <c r="BP14" s="208">
        <f>IF(BP12&lt;0,0.45,0.5)</f>
        <v>0.45</v>
      </c>
      <c r="BQ14" s="208"/>
      <c r="BR14" s="208"/>
      <c r="BS14" s="208"/>
      <c r="BT14" s="208"/>
      <c r="BU14" s="208">
        <f>IF(BU12&lt;0,0.45,0.5)</f>
        <v>0.45</v>
      </c>
      <c r="BZ14" s="208">
        <f>IF(BZ12&lt;0,0.45,0.5)</f>
        <v>0.45</v>
      </c>
      <c r="CE14" s="208">
        <f>IF(CE12&lt;0,0.45,0.5)</f>
        <v>0.45</v>
      </c>
      <c r="CJ14" s="208">
        <f>IF(CJ12&lt;0,0.45,0.5)</f>
        <v>0.45</v>
      </c>
    </row>
    <row r="15" spans="1:112">
      <c r="B15" s="467" t="s">
        <v>715</v>
      </c>
      <c r="D15" s="427"/>
      <c r="E15" s="427"/>
      <c r="F15" s="427"/>
      <c r="G15" s="427"/>
      <c r="H15" s="178">
        <f>H14*H12</f>
        <v>-9</v>
      </c>
      <c r="I15" s="814">
        <f t="shared" ref="I15:K15" si="15">I34-I32</f>
        <v>-13.405000000000001</v>
      </c>
      <c r="J15" s="814">
        <f t="shared" si="15"/>
        <v>-23.813000000000002</v>
      </c>
      <c r="K15" s="814">
        <f t="shared" si="15"/>
        <v>-41.114999999999995</v>
      </c>
      <c r="L15" s="814">
        <f>L34-L32</f>
        <v>-51.459000000000003</v>
      </c>
      <c r="M15" s="178">
        <f>M14*M12</f>
        <v>-129.792</v>
      </c>
      <c r="N15" s="513">
        <f>N12*N14</f>
        <v>-62.304974999999999</v>
      </c>
      <c r="O15" s="513">
        <f t="shared" ref="O15:P15" si="16">O12*O14</f>
        <v>-70.12530000000001</v>
      </c>
      <c r="P15" s="513">
        <f t="shared" si="16"/>
        <v>-47.180700000000002</v>
      </c>
      <c r="Q15" s="513">
        <f t="shared" ref="Q15:AA15" si="17">Q14*Q12</f>
        <v>-75.06472500000001</v>
      </c>
      <c r="R15" s="178">
        <f>R14*R12</f>
        <v>-254.67570000000001</v>
      </c>
      <c r="S15" s="513">
        <f t="shared" si="17"/>
        <v>-56.865600000000001</v>
      </c>
      <c r="T15" s="513">
        <f t="shared" si="17"/>
        <v>-66.217500000000001</v>
      </c>
      <c r="U15" s="513">
        <f t="shared" si="17"/>
        <v>-69.27377256637169</v>
      </c>
      <c r="V15" s="513">
        <f t="shared" si="17"/>
        <v>-90.558547826086965</v>
      </c>
      <c r="W15" s="178">
        <f>SUM(S15:V15)</f>
        <v>-282.91542039245866</v>
      </c>
      <c r="X15" s="513">
        <f t="shared" si="17"/>
        <v>-48.726096458118946</v>
      </c>
      <c r="Y15" s="513">
        <f t="shared" si="17"/>
        <v>-49.398853206287257</v>
      </c>
      <c r="Z15" s="513">
        <f t="shared" si="17"/>
        <v>-49.718139486363086</v>
      </c>
      <c r="AA15" s="513">
        <f t="shared" si="17"/>
        <v>-77.566113133691701</v>
      </c>
      <c r="AB15" s="178">
        <f>AB14*AB12</f>
        <v>-225.40920228446097</v>
      </c>
      <c r="AC15" s="521"/>
      <c r="AD15" s="521"/>
      <c r="AE15" s="521"/>
      <c r="AF15" s="521"/>
      <c r="AG15" s="178">
        <f>AG14*AG12</f>
        <v>-178.65303103948384</v>
      </c>
      <c r="AH15" s="521"/>
      <c r="AI15" s="521"/>
      <c r="AJ15" s="521"/>
      <c r="AK15" s="521"/>
      <c r="AL15" s="178">
        <f>AL14*AL12</f>
        <v>-97.928863943667565</v>
      </c>
      <c r="AM15" s="521"/>
      <c r="AN15" s="521"/>
      <c r="AO15" s="521"/>
      <c r="AP15" s="521"/>
      <c r="AQ15" s="178">
        <f>AQ14*AQ12</f>
        <v>-79.436377841295069</v>
      </c>
      <c r="AR15" s="521"/>
      <c r="AS15" s="521"/>
      <c r="AT15" s="521"/>
      <c r="AU15" s="521"/>
      <c r="AV15" s="178">
        <f>AV14*AV12</f>
        <v>-66.88527902119435</v>
      </c>
      <c r="AW15" s="521"/>
      <c r="AX15" s="521"/>
      <c r="AY15" s="521"/>
      <c r="AZ15" s="521"/>
      <c r="BA15" s="178">
        <f>BA14*BA12</f>
        <v>-58.742985275135894</v>
      </c>
      <c r="BB15" s="521"/>
      <c r="BC15" s="521"/>
      <c r="BD15" s="521"/>
      <c r="BE15" s="521"/>
      <c r="BF15" s="178">
        <f>BF14*BF12</f>
        <v>-53.079441015774421</v>
      </c>
      <c r="BG15" s="521"/>
      <c r="BH15" s="521"/>
      <c r="BI15" s="521"/>
      <c r="BJ15" s="521"/>
      <c r="BK15" s="178">
        <f>BK14*BK12</f>
        <v>-50.592663622677584</v>
      </c>
      <c r="BL15" s="521"/>
      <c r="BM15" s="521"/>
      <c r="BN15" s="521"/>
      <c r="BO15" s="521"/>
      <c r="BP15" s="178">
        <f>BP14*BP12</f>
        <v>-50.513472379226535</v>
      </c>
      <c r="BQ15" s="178"/>
      <c r="BR15" s="178"/>
      <c r="BS15" s="178"/>
      <c r="BT15" s="178"/>
      <c r="BU15" s="178">
        <f>BU14*BU12</f>
        <v>-50.391981119668692</v>
      </c>
      <c r="BZ15" s="178">
        <f>BZ14*BZ12</f>
        <v>-50.225922736550686</v>
      </c>
      <c r="CE15" s="178">
        <f>CE14*CE12</f>
        <v>-50.012937156521502</v>
      </c>
      <c r="CJ15" s="178">
        <f>CJ14*CJ12</f>
        <v>-54.3575585793917</v>
      </c>
    </row>
    <row r="16" spans="1:112">
      <c r="B16" s="951" t="s">
        <v>819</v>
      </c>
      <c r="C16" s="952"/>
      <c r="D16" s="952"/>
      <c r="E16" s="952"/>
      <c r="F16" s="952"/>
      <c r="G16" s="952"/>
      <c r="H16" s="953"/>
      <c r="I16" s="954"/>
      <c r="J16" s="954"/>
      <c r="K16" s="954"/>
      <c r="L16" s="954"/>
      <c r="M16" s="953"/>
      <c r="N16" s="513"/>
      <c r="O16" s="513"/>
      <c r="P16" s="513"/>
      <c r="Q16" s="513"/>
      <c r="R16" s="953"/>
      <c r="S16" s="910">
        <f>CHOOSE(DCF!$C$25,Antibodies!S17,Antibodies!S18,Antibodies!S19)</f>
        <v>0</v>
      </c>
      <c r="T16" s="910">
        <f>CHOOSE(DCF!$C$25,Antibodies!T17,Antibodies!T18,Antibodies!T19)</f>
        <v>0</v>
      </c>
      <c r="U16" s="910">
        <f>CHOOSE(DCF!$C$25,Antibodies!U17,Antibodies!U18,Antibodies!U19)</f>
        <v>0</v>
      </c>
      <c r="V16" s="910">
        <f>CHOOSE(DCF!$C$25,Antibodies!V17,Antibodies!V18,Antibodies!V19)</f>
        <v>0</v>
      </c>
      <c r="W16" s="955">
        <f>CHOOSE(DCF!$C$25,Antibodies!W17,Antibodies!W18,Antibodies!W19)</f>
        <v>0</v>
      </c>
      <c r="X16" s="910">
        <f>CHOOSE(DCF!$C$25,Antibodies!X17,Antibodies!X18,Antibodies!X19)</f>
        <v>0</v>
      </c>
      <c r="Y16" s="910">
        <f>CHOOSE(DCF!$C$25,Antibodies!Y17,Antibodies!Y18,Antibodies!Y19)</f>
        <v>0</v>
      </c>
      <c r="Z16" s="910">
        <f>CHOOSE(DCF!$C$25,Antibodies!Z17,Antibodies!Z18,Antibodies!Z19)</f>
        <v>0</v>
      </c>
      <c r="AA16" s="910">
        <f>CHOOSE(DCF!$C$25,Antibodies!AA17,Antibodies!AA18,Antibodies!AA19)</f>
        <v>0</v>
      </c>
      <c r="AB16" s="955">
        <f>CHOOSE(DCF!$C$25,Antibodies!AB17,Antibodies!AB18,Antibodies!AB19)</f>
        <v>0</v>
      </c>
      <c r="AC16" s="955"/>
      <c r="AD16" s="955"/>
      <c r="AE16" s="955"/>
      <c r="AF16" s="955"/>
      <c r="AG16" s="955">
        <f>CHOOSE(DCF!$C$25,Antibodies!AG17,Antibodies!AG18,Antibodies!AG19)</f>
        <v>0</v>
      </c>
      <c r="AH16" s="955"/>
      <c r="AI16" s="955"/>
      <c r="AJ16" s="955"/>
      <c r="AK16" s="955"/>
      <c r="AL16" s="955">
        <f>CHOOSE(DCF!$C$25,Antibodies!AL17,Antibodies!AL18,Antibodies!AL19)</f>
        <v>0.35</v>
      </c>
      <c r="AM16" s="955"/>
      <c r="AN16" s="955"/>
      <c r="AO16" s="955"/>
      <c r="AP16" s="955"/>
      <c r="AQ16" s="955">
        <f>CHOOSE(DCF!$C$25,Antibodies!AQ17,Antibodies!AQ18,Antibodies!AQ19)</f>
        <v>0.35</v>
      </c>
      <c r="AR16" s="955"/>
      <c r="AS16" s="955"/>
      <c r="AT16" s="955"/>
      <c r="AU16" s="955"/>
      <c r="AV16" s="955">
        <f>CHOOSE(DCF!$C$25,Antibodies!AV17,Antibodies!AV18,Antibodies!AV19)</f>
        <v>0.35</v>
      </c>
      <c r="AW16" s="955"/>
      <c r="AX16" s="955"/>
      <c r="AY16" s="955"/>
      <c r="AZ16" s="955"/>
      <c r="BA16" s="955">
        <f>CHOOSE(DCF!$C$25,Antibodies!BA17,Antibodies!BA18,Antibodies!BA19)</f>
        <v>0.35</v>
      </c>
      <c r="BB16" s="955"/>
      <c r="BC16" s="955"/>
      <c r="BD16" s="955"/>
      <c r="BE16" s="955"/>
      <c r="BF16" s="955">
        <f>CHOOSE(DCF!$C$25,Antibodies!BF17,Antibodies!BF18,Antibodies!BF19)</f>
        <v>0.35</v>
      </c>
      <c r="BG16" s="955"/>
      <c r="BH16" s="955"/>
      <c r="BI16" s="955"/>
      <c r="BJ16" s="955"/>
      <c r="BK16" s="955">
        <f>CHOOSE(DCF!$C$25,Antibodies!BK17,Antibodies!BK18,Antibodies!BK19)</f>
        <v>0.35</v>
      </c>
      <c r="BL16" s="955"/>
      <c r="BM16" s="955"/>
      <c r="BN16" s="955"/>
      <c r="BO16" s="955"/>
      <c r="BP16" s="955">
        <f>CHOOSE(DCF!$C$25,Antibodies!BP17,Antibodies!BP18,Antibodies!BP19)</f>
        <v>0.35</v>
      </c>
      <c r="BQ16" s="955"/>
      <c r="BR16" s="955"/>
      <c r="BS16" s="955"/>
      <c r="BT16" s="955"/>
      <c r="BU16" s="955">
        <f>CHOOSE(DCF!$C$25,Antibodies!BU17,Antibodies!BU18,Antibodies!BU19)</f>
        <v>0.35</v>
      </c>
      <c r="BZ16" s="955">
        <f>CHOOSE(DCF!$C$25,Antibodies!BZ17,Antibodies!BZ18,Antibodies!BZ19)</f>
        <v>0.35</v>
      </c>
      <c r="CE16" s="955">
        <f>CHOOSE(DCF!$C$25,Antibodies!CE17,Antibodies!CE18,Antibodies!CE19)</f>
        <v>0.35</v>
      </c>
      <c r="CJ16" s="955">
        <f>CHOOSE(DCF!$C$25,Antibodies!CJ17,Antibodies!CJ18,Antibodies!CJ19)</f>
        <v>0.35</v>
      </c>
    </row>
    <row r="17" spans="2:88" outlineLevel="1">
      <c r="B17" s="946" t="s">
        <v>868</v>
      </c>
      <c r="C17" s="944"/>
      <c r="D17" s="427"/>
      <c r="E17" s="427"/>
      <c r="F17" s="427"/>
      <c r="G17" s="427"/>
      <c r="H17" s="945"/>
      <c r="I17" s="814"/>
      <c r="J17" s="814"/>
      <c r="K17" s="814"/>
      <c r="L17" s="814"/>
      <c r="M17" s="945"/>
      <c r="N17" s="513"/>
      <c r="O17" s="513"/>
      <c r="P17" s="513"/>
      <c r="Q17" s="513"/>
      <c r="R17" s="945"/>
      <c r="S17" s="947">
        <v>0</v>
      </c>
      <c r="T17" s="947">
        <v>0</v>
      </c>
      <c r="U17" s="947">
        <v>0</v>
      </c>
      <c r="V17" s="947">
        <v>0</v>
      </c>
      <c r="W17" s="950">
        <v>0</v>
      </c>
      <c r="X17" s="947">
        <v>0</v>
      </c>
      <c r="Y17" s="947">
        <v>0</v>
      </c>
      <c r="Z17" s="947">
        <v>0</v>
      </c>
      <c r="AA17" s="947">
        <v>0</v>
      </c>
      <c r="AB17" s="949">
        <f>W17</f>
        <v>0</v>
      </c>
      <c r="AC17" s="948"/>
      <c r="AD17" s="948"/>
      <c r="AE17" s="948"/>
      <c r="AF17" s="948"/>
      <c r="AG17" s="949">
        <f>AB17</f>
        <v>0</v>
      </c>
      <c r="AH17" s="948"/>
      <c r="AI17" s="948"/>
      <c r="AJ17" s="948"/>
      <c r="AK17" s="948"/>
      <c r="AL17" s="950">
        <v>0</v>
      </c>
      <c r="AM17" s="948"/>
      <c r="AN17" s="948"/>
      <c r="AO17" s="948"/>
      <c r="AP17" s="948"/>
      <c r="AQ17" s="949">
        <f>AL17</f>
        <v>0</v>
      </c>
      <c r="AR17" s="948"/>
      <c r="AS17" s="948"/>
      <c r="AT17" s="948"/>
      <c r="AU17" s="948"/>
      <c r="AV17" s="949">
        <f>AQ17</f>
        <v>0</v>
      </c>
      <c r="AW17" s="948"/>
      <c r="AX17" s="948"/>
      <c r="AY17" s="948"/>
      <c r="AZ17" s="948"/>
      <c r="BA17" s="949">
        <f>AV17</f>
        <v>0</v>
      </c>
      <c r="BB17" s="948"/>
      <c r="BC17" s="948"/>
      <c r="BD17" s="948"/>
      <c r="BE17" s="948"/>
      <c r="BF17" s="949">
        <f>BA17</f>
        <v>0</v>
      </c>
      <c r="BG17" s="948"/>
      <c r="BH17" s="948"/>
      <c r="BI17" s="948"/>
      <c r="BJ17" s="948"/>
      <c r="BK17" s="949">
        <f>BF17</f>
        <v>0</v>
      </c>
      <c r="BL17" s="948"/>
      <c r="BM17" s="948"/>
      <c r="BN17" s="948"/>
      <c r="BO17" s="948"/>
      <c r="BP17" s="949">
        <f>BK17</f>
        <v>0</v>
      </c>
      <c r="BQ17" s="949"/>
      <c r="BR17" s="949"/>
      <c r="BS17" s="949"/>
      <c r="BT17" s="949"/>
      <c r="BU17" s="949">
        <f>BP17</f>
        <v>0</v>
      </c>
      <c r="BZ17" s="949">
        <f>BU17</f>
        <v>0</v>
      </c>
      <c r="CE17" s="949">
        <f>BZ17</f>
        <v>0</v>
      </c>
      <c r="CJ17" s="949">
        <f>CE17</f>
        <v>0</v>
      </c>
    </row>
    <row r="18" spans="2:88" outlineLevel="1">
      <c r="B18" s="946" t="s">
        <v>869</v>
      </c>
      <c r="C18" s="944"/>
      <c r="D18" s="427"/>
      <c r="E18" s="427"/>
      <c r="F18" s="427"/>
      <c r="G18" s="427"/>
      <c r="H18" s="945"/>
      <c r="I18" s="814"/>
      <c r="J18" s="814"/>
      <c r="K18" s="814"/>
      <c r="L18" s="814"/>
      <c r="M18" s="945"/>
      <c r="N18" s="513"/>
      <c r="O18" s="513"/>
      <c r="P18" s="513"/>
      <c r="Q18" s="513"/>
      <c r="R18" s="945"/>
      <c r="S18" s="947">
        <v>0</v>
      </c>
      <c r="T18" s="947">
        <v>0</v>
      </c>
      <c r="U18" s="947">
        <v>0</v>
      </c>
      <c r="V18" s="947">
        <v>0</v>
      </c>
      <c r="W18" s="950">
        <v>0</v>
      </c>
      <c r="X18" s="947">
        <v>0</v>
      </c>
      <c r="Y18" s="947">
        <v>0</v>
      </c>
      <c r="Z18" s="947">
        <v>0</v>
      </c>
      <c r="AA18" s="947">
        <v>0</v>
      </c>
      <c r="AB18" s="949">
        <f t="shared" ref="AB18:AB19" si="18">W18</f>
        <v>0</v>
      </c>
      <c r="AC18" s="948"/>
      <c r="AD18" s="948"/>
      <c r="AE18" s="948"/>
      <c r="AF18" s="948"/>
      <c r="AG18" s="949">
        <f>AB18</f>
        <v>0</v>
      </c>
      <c r="AH18" s="948"/>
      <c r="AI18" s="948"/>
      <c r="AJ18" s="948"/>
      <c r="AK18" s="948"/>
      <c r="AL18" s="950">
        <v>0.35</v>
      </c>
      <c r="AM18" s="948"/>
      <c r="AN18" s="948"/>
      <c r="AO18" s="948"/>
      <c r="AP18" s="948"/>
      <c r="AQ18" s="949">
        <f>AL18</f>
        <v>0.35</v>
      </c>
      <c r="AR18" s="948"/>
      <c r="AS18" s="948"/>
      <c r="AT18" s="948"/>
      <c r="AU18" s="948"/>
      <c r="AV18" s="949">
        <f>AQ18</f>
        <v>0.35</v>
      </c>
      <c r="AW18" s="948"/>
      <c r="AX18" s="948"/>
      <c r="AY18" s="948"/>
      <c r="AZ18" s="948"/>
      <c r="BA18" s="949">
        <f>AV18</f>
        <v>0.35</v>
      </c>
      <c r="BB18" s="948"/>
      <c r="BC18" s="948"/>
      <c r="BD18" s="948"/>
      <c r="BE18" s="948"/>
      <c r="BF18" s="949">
        <f>BA18</f>
        <v>0.35</v>
      </c>
      <c r="BG18" s="948"/>
      <c r="BH18" s="948"/>
      <c r="BI18" s="948"/>
      <c r="BJ18" s="948"/>
      <c r="BK18" s="949">
        <f>BF18</f>
        <v>0.35</v>
      </c>
      <c r="BL18" s="948"/>
      <c r="BM18" s="948"/>
      <c r="BN18" s="948"/>
      <c r="BO18" s="948"/>
      <c r="BP18" s="949">
        <f>BK18</f>
        <v>0.35</v>
      </c>
      <c r="BQ18" s="949"/>
      <c r="BR18" s="949"/>
      <c r="BS18" s="949"/>
      <c r="BT18" s="949"/>
      <c r="BU18" s="949">
        <f>BP18</f>
        <v>0.35</v>
      </c>
      <c r="BZ18" s="949">
        <f>BU18</f>
        <v>0.35</v>
      </c>
      <c r="CE18" s="949">
        <f>BZ18</f>
        <v>0.35</v>
      </c>
      <c r="CJ18" s="949">
        <f>CE18</f>
        <v>0.35</v>
      </c>
    </row>
    <row r="19" spans="2:88" outlineLevel="1">
      <c r="B19" s="946" t="s">
        <v>870</v>
      </c>
      <c r="C19" s="944"/>
      <c r="D19" s="427"/>
      <c r="E19" s="427"/>
      <c r="F19" s="427"/>
      <c r="G19" s="427"/>
      <c r="H19" s="945"/>
      <c r="I19" s="814"/>
      <c r="J19" s="814"/>
      <c r="K19" s="814"/>
      <c r="L19" s="814"/>
      <c r="M19" s="945"/>
      <c r="N19" s="513"/>
      <c r="O19" s="513"/>
      <c r="P19" s="513"/>
      <c r="Q19" s="513"/>
      <c r="R19" s="945"/>
      <c r="S19" s="947">
        <v>0</v>
      </c>
      <c r="T19" s="947">
        <v>0</v>
      </c>
      <c r="U19" s="947">
        <v>0</v>
      </c>
      <c r="V19" s="947">
        <v>0</v>
      </c>
      <c r="W19" s="950">
        <v>0</v>
      </c>
      <c r="X19" s="947">
        <v>0</v>
      </c>
      <c r="Y19" s="947">
        <v>0</v>
      </c>
      <c r="Z19" s="947">
        <v>0</v>
      </c>
      <c r="AA19" s="947">
        <v>0</v>
      </c>
      <c r="AB19" s="949">
        <f t="shared" si="18"/>
        <v>0</v>
      </c>
      <c r="AC19" s="948"/>
      <c r="AD19" s="948"/>
      <c r="AE19" s="948"/>
      <c r="AF19" s="948"/>
      <c r="AG19" s="949">
        <f>AB19</f>
        <v>0</v>
      </c>
      <c r="AH19" s="948"/>
      <c r="AI19" s="948"/>
      <c r="AJ19" s="948"/>
      <c r="AK19" s="948"/>
      <c r="AL19" s="950">
        <v>1</v>
      </c>
      <c r="AM19" s="948"/>
      <c r="AN19" s="948"/>
      <c r="AO19" s="948"/>
      <c r="AP19" s="948"/>
      <c r="AQ19" s="949">
        <f>AL19</f>
        <v>1</v>
      </c>
      <c r="AR19" s="948"/>
      <c r="AS19" s="948"/>
      <c r="AT19" s="948"/>
      <c r="AU19" s="948"/>
      <c r="AV19" s="949">
        <f>AQ19</f>
        <v>1</v>
      </c>
      <c r="AW19" s="948"/>
      <c r="AX19" s="948"/>
      <c r="AY19" s="948"/>
      <c r="AZ19" s="948"/>
      <c r="BA19" s="949">
        <f>AV19</f>
        <v>1</v>
      </c>
      <c r="BB19" s="948"/>
      <c r="BC19" s="948"/>
      <c r="BD19" s="948"/>
      <c r="BE19" s="948"/>
      <c r="BF19" s="949">
        <f>BA19</f>
        <v>1</v>
      </c>
      <c r="BG19" s="948"/>
      <c r="BH19" s="948"/>
      <c r="BI19" s="948"/>
      <c r="BJ19" s="948"/>
      <c r="BK19" s="949">
        <f>BF19</f>
        <v>1</v>
      </c>
      <c r="BL19" s="948"/>
      <c r="BM19" s="948"/>
      <c r="BN19" s="948"/>
      <c r="BO19" s="948"/>
      <c r="BP19" s="949">
        <f>BK19</f>
        <v>1</v>
      </c>
      <c r="BQ19" s="949"/>
      <c r="BR19" s="949"/>
      <c r="BS19" s="949"/>
      <c r="BT19" s="949"/>
      <c r="BU19" s="949">
        <f>BP19</f>
        <v>1</v>
      </c>
      <c r="BZ19" s="949">
        <f>BU19</f>
        <v>1</v>
      </c>
      <c r="CE19" s="949">
        <f>BZ19</f>
        <v>1</v>
      </c>
      <c r="CJ19" s="949">
        <f>CE19</f>
        <v>1</v>
      </c>
    </row>
    <row r="20" spans="2:88">
      <c r="B20" s="956" t="s">
        <v>818</v>
      </c>
      <c r="C20" s="952"/>
      <c r="D20" s="952"/>
      <c r="E20" s="952"/>
      <c r="F20" s="952"/>
      <c r="G20" s="952"/>
      <c r="H20" s="952"/>
      <c r="I20" s="952"/>
      <c r="J20" s="952"/>
      <c r="K20" s="952"/>
      <c r="L20" s="952"/>
      <c r="M20" s="952"/>
      <c r="N20" s="513"/>
      <c r="O20" s="513"/>
      <c r="P20" s="513"/>
      <c r="Q20" s="513"/>
      <c r="R20" s="952"/>
      <c r="S20" s="899">
        <f>S16*S15</f>
        <v>0</v>
      </c>
      <c r="T20" s="899">
        <f>T16*T15</f>
        <v>0</v>
      </c>
      <c r="U20" s="905">
        <f>U16*U15</f>
        <v>0</v>
      </c>
      <c r="V20" s="905">
        <f>V16*V15</f>
        <v>0</v>
      </c>
      <c r="W20" s="953">
        <f>SUM(S20:V20)</f>
        <v>0</v>
      </c>
      <c r="X20" s="899">
        <f t="shared" ref="X20:AA20" si="19">X16*X15</f>
        <v>0</v>
      </c>
      <c r="Y20" s="899">
        <f t="shared" si="19"/>
        <v>0</v>
      </c>
      <c r="Z20" s="905">
        <f t="shared" si="19"/>
        <v>0</v>
      </c>
      <c r="AA20" s="905">
        <f t="shared" si="19"/>
        <v>0</v>
      </c>
      <c r="AB20" s="953">
        <f>AB16*AB15</f>
        <v>0</v>
      </c>
      <c r="AC20" s="953"/>
      <c r="AD20" s="953"/>
      <c r="AE20" s="953"/>
      <c r="AF20" s="953"/>
      <c r="AG20" s="953">
        <f>AG16*AG15</f>
        <v>0</v>
      </c>
      <c r="AH20" s="953"/>
      <c r="AI20" s="953"/>
      <c r="AJ20" s="953"/>
      <c r="AK20" s="953"/>
      <c r="AL20" s="953">
        <f>AL16*AL15</f>
        <v>-34.275102380283649</v>
      </c>
      <c r="AM20" s="953"/>
      <c r="AN20" s="953"/>
      <c r="AO20" s="953"/>
      <c r="AP20" s="953"/>
      <c r="AQ20" s="953">
        <f>AQ16*AQ15</f>
        <v>-27.802732244453274</v>
      </c>
      <c r="AR20" s="953"/>
      <c r="AS20" s="953"/>
      <c r="AT20" s="953"/>
      <c r="AU20" s="953"/>
      <c r="AV20" s="953">
        <f>AV16*AV15</f>
        <v>-23.40984765741802</v>
      </c>
      <c r="AW20" s="953"/>
      <c r="AX20" s="953"/>
      <c r="AY20" s="953"/>
      <c r="AZ20" s="953"/>
      <c r="BA20" s="953">
        <f>BA16*BA15</f>
        <v>-20.560044846297561</v>
      </c>
      <c r="BB20" s="953"/>
      <c r="BC20" s="953"/>
      <c r="BD20" s="953"/>
      <c r="BE20" s="953"/>
      <c r="BF20" s="953">
        <f>BF16*BF15</f>
        <v>-18.577804355521046</v>
      </c>
      <c r="BG20" s="953"/>
      <c r="BH20" s="953"/>
      <c r="BI20" s="953"/>
      <c r="BJ20" s="953"/>
      <c r="BK20" s="953">
        <f>BK16*BK15</f>
        <v>-17.707432267937154</v>
      </c>
      <c r="BL20" s="953"/>
      <c r="BM20" s="953"/>
      <c r="BN20" s="953"/>
      <c r="BO20" s="953"/>
      <c r="BP20" s="953">
        <f>BP16*BP15</f>
        <v>-17.679715332729288</v>
      </c>
      <c r="BQ20" s="953"/>
      <c r="BR20" s="953"/>
      <c r="BS20" s="953"/>
      <c r="BT20" s="953"/>
      <c r="BU20" s="953">
        <f>BU16*BU15</f>
        <v>-17.63719339188404</v>
      </c>
      <c r="BZ20" s="953">
        <f>BZ16*BZ15</f>
        <v>-17.579072957792739</v>
      </c>
      <c r="CE20" s="953">
        <f>CE16*CE15</f>
        <v>-17.504528004782525</v>
      </c>
      <c r="CJ20" s="953">
        <f>CJ16*CJ15</f>
        <v>-19.025145502787094</v>
      </c>
    </row>
    <row r="21" spans="2:88">
      <c r="B21" s="176" t="s">
        <v>817</v>
      </c>
      <c r="D21" s="427"/>
      <c r="E21" s="427"/>
      <c r="F21" s="427"/>
      <c r="G21" s="427"/>
      <c r="I21" s="427"/>
      <c r="J21" s="427"/>
      <c r="K21" s="427"/>
      <c r="L21" s="427"/>
      <c r="N21" s="513">
        <f t="shared" ref="N21:S21" si="20">N15</f>
        <v>-62.304974999999999</v>
      </c>
      <c r="O21" s="513">
        <f t="shared" si="20"/>
        <v>-70.12530000000001</v>
      </c>
      <c r="P21" s="513">
        <f t="shared" si="20"/>
        <v>-47.180700000000002</v>
      </c>
      <c r="Q21" s="513">
        <f t="shared" si="20"/>
        <v>-75.06472500000001</v>
      </c>
      <c r="R21" s="178">
        <f t="shared" si="20"/>
        <v>-254.67570000000001</v>
      </c>
      <c r="S21" s="513">
        <f t="shared" si="20"/>
        <v>-56.865600000000001</v>
      </c>
      <c r="T21" s="513">
        <f>T15-T20</f>
        <v>-66.217500000000001</v>
      </c>
      <c r="U21" s="513">
        <f>U15-U20</f>
        <v>-69.27377256637169</v>
      </c>
      <c r="V21" s="513">
        <f>V15-V20</f>
        <v>-90.558547826086965</v>
      </c>
      <c r="W21" s="178">
        <f>W15-W20</f>
        <v>-282.91542039245866</v>
      </c>
      <c r="X21" s="513">
        <f t="shared" ref="X21:AA21" si="21">X15-X20</f>
        <v>-48.726096458118946</v>
      </c>
      <c r="Y21" s="513">
        <f t="shared" si="21"/>
        <v>-49.398853206287257</v>
      </c>
      <c r="Z21" s="513">
        <f t="shared" si="21"/>
        <v>-49.718139486363086</v>
      </c>
      <c r="AA21" s="513">
        <f t="shared" si="21"/>
        <v>-77.566113133691701</v>
      </c>
      <c r="AB21" s="178">
        <f>AB15-AB20</f>
        <v>-225.40920228446097</v>
      </c>
      <c r="AC21" s="513"/>
      <c r="AD21" s="513"/>
      <c r="AE21" s="513"/>
      <c r="AF21" s="513"/>
      <c r="AG21" s="178">
        <f>AG15-AG20</f>
        <v>-178.65303103948384</v>
      </c>
      <c r="AH21" s="513"/>
      <c r="AI21" s="513"/>
      <c r="AJ21" s="513"/>
      <c r="AK21" s="513"/>
      <c r="AL21" s="178">
        <f>AL15-AL20</f>
        <v>-63.653761563383917</v>
      </c>
      <c r="AM21" s="513"/>
      <c r="AN21" s="513"/>
      <c r="AO21" s="513"/>
      <c r="AP21" s="513"/>
      <c r="AQ21" s="178">
        <f>AQ15-AQ20</f>
        <v>-51.633645596841795</v>
      </c>
      <c r="AR21" s="513"/>
      <c r="AS21" s="513"/>
      <c r="AT21" s="513"/>
      <c r="AU21" s="513"/>
      <c r="AV21" s="178">
        <f>AV15-AV20</f>
        <v>-43.47543136377633</v>
      </c>
      <c r="AW21" s="513"/>
      <c r="AX21" s="513"/>
      <c r="AY21" s="513"/>
      <c r="AZ21" s="513"/>
      <c r="BA21" s="178">
        <f>BA15-BA20</f>
        <v>-38.182940428838336</v>
      </c>
      <c r="BB21" s="513"/>
      <c r="BC21" s="513"/>
      <c r="BD21" s="513"/>
      <c r="BE21" s="513"/>
      <c r="BF21" s="178">
        <f>BF15-BF20</f>
        <v>-34.501636660253375</v>
      </c>
      <c r="BG21" s="513"/>
      <c r="BH21" s="513"/>
      <c r="BI21" s="513"/>
      <c r="BJ21" s="513"/>
      <c r="BK21" s="178">
        <f>BK15-BK20</f>
        <v>-32.885231354740426</v>
      </c>
      <c r="BL21" s="513"/>
      <c r="BM21" s="513"/>
      <c r="BN21" s="513"/>
      <c r="BO21" s="513"/>
      <c r="BP21" s="178">
        <f>BP15-BP20</f>
        <v>-32.833757046497247</v>
      </c>
      <c r="BQ21" s="178"/>
      <c r="BR21" s="178"/>
      <c r="BS21" s="178"/>
      <c r="BT21" s="178"/>
      <c r="BU21" s="178">
        <f>BU15-BU20</f>
        <v>-32.754787727784652</v>
      </c>
      <c r="BZ21" s="178">
        <f>BZ15-BZ20</f>
        <v>-32.646849778757947</v>
      </c>
      <c r="CE21" s="178">
        <f>CE15-CE20</f>
        <v>-32.508409151738974</v>
      </c>
      <c r="CJ21" s="178">
        <f>CJ15-CJ20</f>
        <v>-35.33241307660461</v>
      </c>
    </row>
    <row r="22" spans="2:88">
      <c r="B22" s="176"/>
      <c r="D22" s="427"/>
      <c r="E22" s="427"/>
      <c r="F22" s="427"/>
      <c r="G22" s="427"/>
      <c r="I22" s="427"/>
      <c r="J22" s="427"/>
      <c r="K22" s="427"/>
      <c r="L22" s="427"/>
      <c r="N22" s="427"/>
      <c r="O22" s="427"/>
      <c r="P22" s="427"/>
      <c r="Q22" s="427"/>
      <c r="S22" s="427"/>
      <c r="T22" s="427"/>
      <c r="U22" s="427"/>
      <c r="V22" s="427"/>
      <c r="X22" s="427"/>
      <c r="Y22" s="427"/>
      <c r="Z22" s="427"/>
      <c r="AA22" s="427"/>
      <c r="AC22" s="427"/>
      <c r="AD22" s="427"/>
      <c r="AE22" s="427"/>
      <c r="AF22" s="427"/>
      <c r="AH22" s="427"/>
      <c r="AI22" s="427"/>
      <c r="AJ22" s="427"/>
      <c r="AK22" s="427"/>
      <c r="AM22" s="427"/>
      <c r="AN22" s="427"/>
      <c r="AO22" s="427"/>
      <c r="AP22" s="427"/>
      <c r="AR22" s="427"/>
      <c r="AS22" s="427"/>
      <c r="AT22" s="427"/>
      <c r="AU22" s="427"/>
      <c r="AW22" s="427"/>
      <c r="AX22" s="427"/>
      <c r="AY22" s="427"/>
      <c r="AZ22" s="427"/>
      <c r="BB22" s="427"/>
      <c r="BC22" s="427"/>
      <c r="BD22" s="427"/>
      <c r="BE22" s="427"/>
      <c r="BG22" s="427"/>
      <c r="BH22" s="427"/>
      <c r="BI22" s="427"/>
      <c r="BJ22" s="427"/>
      <c r="BL22" s="427"/>
      <c r="BM22" s="427"/>
      <c r="BN22" s="427"/>
      <c r="BO22" s="427"/>
    </row>
    <row r="23" spans="2:88" ht="13.5" thickBot="1">
      <c r="B23" s="259" t="s">
        <v>706</v>
      </c>
      <c r="C23" s="260"/>
      <c r="D23" s="596"/>
      <c r="E23" s="596"/>
      <c r="F23" s="596"/>
      <c r="G23" s="596"/>
      <c r="H23" s="260"/>
      <c r="I23" s="596"/>
      <c r="J23" s="596"/>
      <c r="K23" s="596"/>
      <c r="L23" s="596"/>
      <c r="M23" s="260"/>
      <c r="N23" s="596"/>
      <c r="O23" s="596"/>
      <c r="P23" s="596"/>
      <c r="Q23" s="596"/>
      <c r="R23" s="260"/>
      <c r="S23" s="596"/>
      <c r="T23" s="596"/>
      <c r="U23" s="596"/>
      <c r="V23" s="596"/>
      <c r="W23" s="260"/>
      <c r="X23" s="596"/>
      <c r="Y23" s="596"/>
      <c r="Z23" s="596"/>
      <c r="AA23" s="596"/>
      <c r="AB23" s="260"/>
      <c r="AC23" s="596"/>
      <c r="AD23" s="596"/>
      <c r="AE23" s="596"/>
      <c r="AF23" s="596"/>
      <c r="AG23" s="260"/>
      <c r="AH23" s="596"/>
      <c r="AI23" s="596"/>
      <c r="AJ23" s="596"/>
      <c r="AK23" s="596"/>
      <c r="AL23" s="260"/>
      <c r="AM23" s="596"/>
      <c r="AN23" s="596"/>
      <c r="AO23" s="596"/>
      <c r="AP23" s="596"/>
      <c r="AQ23" s="260"/>
      <c r="AR23" s="596"/>
      <c r="AS23" s="596"/>
      <c r="AT23" s="596"/>
      <c r="AU23" s="596"/>
      <c r="AV23" s="260"/>
      <c r="AW23" s="596"/>
      <c r="AX23" s="596"/>
      <c r="AY23" s="596"/>
      <c r="AZ23" s="596"/>
      <c r="BA23" s="260"/>
      <c r="BB23" s="596"/>
      <c r="BC23" s="596"/>
      <c r="BD23" s="596"/>
      <c r="BE23" s="596"/>
      <c r="BF23" s="260"/>
      <c r="BG23" s="596"/>
      <c r="BH23" s="596"/>
      <c r="BI23" s="596"/>
      <c r="BJ23" s="596"/>
      <c r="BK23" s="260"/>
      <c r="BL23" s="596"/>
      <c r="BM23" s="596"/>
      <c r="BN23" s="596"/>
      <c r="BO23" s="596"/>
      <c r="BP23" s="260"/>
      <c r="BQ23" s="143"/>
      <c r="BR23" s="143"/>
      <c r="BS23" s="143"/>
      <c r="BT23" s="143"/>
      <c r="BU23" s="260"/>
      <c r="BZ23" s="260"/>
      <c r="CE23" s="260"/>
      <c r="CJ23" s="260"/>
    </row>
    <row r="24" spans="2:88">
      <c r="B24" s="125" t="s">
        <v>720</v>
      </c>
      <c r="C24" s="179"/>
      <c r="D24" s="433"/>
      <c r="E24" s="433"/>
      <c r="F24" s="433"/>
      <c r="G24" s="433"/>
      <c r="H24" s="263">
        <v>0</v>
      </c>
      <c r="I24" s="787">
        <v>0</v>
      </c>
      <c r="J24" s="787">
        <v>0</v>
      </c>
      <c r="K24" s="787">
        <v>0</v>
      </c>
      <c r="L24" s="787">
        <v>0</v>
      </c>
      <c r="M24" s="263">
        <v>0</v>
      </c>
      <c r="N24" s="392">
        <f>0.25*13</f>
        <v>3.25</v>
      </c>
      <c r="O24" s="392">
        <f>24-O7</f>
        <v>4.7999999999999972</v>
      </c>
      <c r="P24" s="392">
        <v>6</v>
      </c>
      <c r="Q24" s="433">
        <f>R24-N24-O24-P24</f>
        <v>7.8500000000000014</v>
      </c>
      <c r="R24" s="606">
        <v>21.9</v>
      </c>
      <c r="S24" s="431">
        <v>11</v>
      </c>
      <c r="T24" s="431">
        <v>13.5</v>
      </c>
      <c r="U24" s="431">
        <f>47.17-U7</f>
        <v>14.95761061946903</v>
      </c>
      <c r="V24" s="431">
        <v>20.104347826086961</v>
      </c>
      <c r="W24" s="273">
        <f>SUM(S24:V24)</f>
        <v>59.561958445555987</v>
      </c>
      <c r="X24" s="597">
        <v>15</v>
      </c>
      <c r="Y24" s="597">
        <f>X24*1.05</f>
        <v>15.75</v>
      </c>
      <c r="Z24" s="597">
        <f>Y24*1.05</f>
        <v>16.537500000000001</v>
      </c>
      <c r="AA24" s="597">
        <f>AB24-SUM(X24:Z24)</f>
        <v>18.314346864178525</v>
      </c>
      <c r="AB24" s="273">
        <f>W7*0.5</f>
        <v>65.601846864178526</v>
      </c>
      <c r="AC24" s="597"/>
      <c r="AD24" s="597"/>
      <c r="AE24" s="597"/>
      <c r="AF24" s="597"/>
      <c r="AG24" s="273">
        <f>AB7*0.6</f>
        <v>117.78120114946027</v>
      </c>
      <c r="AH24" s="597"/>
      <c r="AI24" s="597"/>
      <c r="AJ24" s="597"/>
      <c r="AK24" s="597"/>
      <c r="AL24" s="273">
        <f>AG7*0.7</f>
        <v>253.03335548155641</v>
      </c>
      <c r="AM24" s="597"/>
      <c r="AN24" s="597"/>
      <c r="AO24" s="597"/>
      <c r="AP24" s="597"/>
      <c r="AQ24" s="273">
        <f>AL7*0.725</f>
        <v>357.87843277333604</v>
      </c>
      <c r="AR24" s="597"/>
      <c r="AS24" s="597"/>
      <c r="AT24" s="597"/>
      <c r="AU24" s="597"/>
      <c r="AV24" s="273">
        <f>AQ7*0.75</f>
        <v>421.5241589532227</v>
      </c>
      <c r="AW24" s="597"/>
      <c r="AX24" s="597"/>
      <c r="AY24" s="597"/>
      <c r="AZ24" s="597"/>
      <c r="BA24" s="273">
        <f>AV7*0.75</f>
        <v>461.25304257792288</v>
      </c>
      <c r="BB24" s="597"/>
      <c r="BC24" s="597"/>
      <c r="BD24" s="597"/>
      <c r="BE24" s="597"/>
      <c r="BF24" s="273">
        <f>BA7*0.75</f>
        <v>492.49205081423491</v>
      </c>
      <c r="BG24" s="597"/>
      <c r="BH24" s="597"/>
      <c r="BI24" s="597"/>
      <c r="BJ24" s="597"/>
      <c r="BK24" s="273">
        <f>BF7*0.75</f>
        <v>519.12587596258254</v>
      </c>
      <c r="BL24" s="597"/>
      <c r="BM24" s="597"/>
      <c r="BN24" s="597"/>
      <c r="BO24" s="597"/>
      <c r="BP24" s="273">
        <f>BK7*0.75</f>
        <v>539.76218233652889</v>
      </c>
      <c r="BQ24" s="273"/>
      <c r="BR24" s="273"/>
      <c r="BS24" s="273"/>
      <c r="BT24" s="273"/>
      <c r="BU24" s="273">
        <f>BP7*0.75</f>
        <v>555.95504780662475</v>
      </c>
      <c r="BZ24" s="273">
        <f>BU7*0.75</f>
        <v>572.63369924082349</v>
      </c>
      <c r="CE24" s="273">
        <f>BZ7*0.75</f>
        <v>589.81271021804832</v>
      </c>
      <c r="CJ24" s="273">
        <f>CE7*0.75</f>
        <v>607.50709152458967</v>
      </c>
    </row>
    <row r="25" spans="2:88">
      <c r="B25" s="176"/>
      <c r="D25" s="427"/>
      <c r="E25" s="427"/>
      <c r="F25" s="427"/>
      <c r="G25" s="427"/>
      <c r="I25" s="427"/>
      <c r="J25" s="427"/>
      <c r="K25" s="427"/>
      <c r="L25" s="427"/>
      <c r="N25" s="427"/>
      <c r="O25" s="427"/>
      <c r="P25" s="427"/>
      <c r="Q25" s="427"/>
      <c r="S25" s="427"/>
      <c r="T25" s="427"/>
      <c r="U25" s="427"/>
      <c r="V25" s="427"/>
      <c r="X25" s="427"/>
      <c r="Y25" s="427"/>
      <c r="Z25" s="427"/>
      <c r="AA25" s="427"/>
      <c r="AC25" s="427"/>
      <c r="AD25" s="427"/>
      <c r="AE25" s="427"/>
      <c r="AF25" s="427"/>
      <c r="AH25" s="427"/>
      <c r="AI25" s="427"/>
      <c r="AJ25" s="427"/>
      <c r="AK25" s="427"/>
      <c r="AM25" s="427"/>
      <c r="AN25" s="427"/>
      <c r="AO25" s="427"/>
      <c r="AP25" s="427"/>
      <c r="AR25" s="427"/>
      <c r="AS25" s="427"/>
      <c r="AT25" s="427"/>
      <c r="AU25" s="427"/>
      <c r="AW25" s="427"/>
      <c r="AX25" s="427"/>
      <c r="AY25" s="427"/>
      <c r="AZ25" s="427"/>
      <c r="BB25" s="427"/>
      <c r="BC25" s="427"/>
      <c r="BD25" s="427"/>
      <c r="BE25" s="427"/>
      <c r="BG25" s="427"/>
      <c r="BH25" s="427"/>
      <c r="BI25" s="427"/>
      <c r="BJ25" s="427"/>
      <c r="BL25" s="427"/>
      <c r="BM25" s="427"/>
      <c r="BN25" s="427"/>
      <c r="BO25" s="427"/>
    </row>
    <row r="26" spans="2:88" s="188" customFormat="1">
      <c r="B26" s="266" t="s">
        <v>647</v>
      </c>
      <c r="D26" s="515"/>
      <c r="E26" s="515"/>
      <c r="F26" s="515"/>
      <c r="G26" s="515"/>
      <c r="I26" s="515"/>
      <c r="J26" s="515"/>
      <c r="K26" s="515"/>
      <c r="L26" s="515"/>
      <c r="M26" s="517"/>
      <c r="N26" s="516">
        <f>R26</f>
        <v>0.17</v>
      </c>
      <c r="O26" s="516">
        <f>R26</f>
        <v>0.17</v>
      </c>
      <c r="P26" s="516">
        <f>R26</f>
        <v>0.17</v>
      </c>
      <c r="Q26" s="516">
        <f>R26</f>
        <v>0.17</v>
      </c>
      <c r="R26" s="811">
        <v>0.17</v>
      </c>
      <c r="S26" s="516">
        <f>W26</f>
        <v>0.17</v>
      </c>
      <c r="T26" s="516">
        <f>S26</f>
        <v>0.17</v>
      </c>
      <c r="U26" s="813">
        <f t="shared" ref="U26:V26" si="22">T26</f>
        <v>0.17</v>
      </c>
      <c r="V26" s="813">
        <f t="shared" si="22"/>
        <v>0.17</v>
      </c>
      <c r="W26" s="208">
        <f>R26</f>
        <v>0.17</v>
      </c>
      <c r="X26" s="516">
        <f>AB26</f>
        <v>0.17</v>
      </c>
      <c r="Y26" s="516">
        <f>X26</f>
        <v>0.17</v>
      </c>
      <c r="Z26" s="813">
        <f t="shared" ref="Z26:AA26" si="23">Y26</f>
        <v>0.17</v>
      </c>
      <c r="AA26" s="813">
        <f t="shared" si="23"/>
        <v>0.17</v>
      </c>
      <c r="AB26" s="208">
        <f>W26</f>
        <v>0.17</v>
      </c>
      <c r="AC26" s="515"/>
      <c r="AD26" s="515"/>
      <c r="AE26" s="515"/>
      <c r="AF26" s="515"/>
      <c r="AG26" s="208">
        <f>AB26</f>
        <v>0.17</v>
      </c>
      <c r="AH26" s="515"/>
      <c r="AI26" s="515"/>
      <c r="AJ26" s="515"/>
      <c r="AK26" s="515"/>
      <c r="AL26" s="208">
        <f>AG26</f>
        <v>0.17</v>
      </c>
      <c r="AM26" s="515"/>
      <c r="AN26" s="515"/>
      <c r="AO26" s="515"/>
      <c r="AP26" s="515"/>
      <c r="AQ26" s="208">
        <f>AL26</f>
        <v>0.17</v>
      </c>
      <c r="AR26" s="515"/>
      <c r="AS26" s="515"/>
      <c r="AT26" s="515"/>
      <c r="AU26" s="515"/>
      <c r="AV26" s="208">
        <f>AQ26</f>
        <v>0.17</v>
      </c>
      <c r="AW26" s="515"/>
      <c r="AX26" s="515"/>
      <c r="AY26" s="515"/>
      <c r="AZ26" s="515"/>
      <c r="BA26" s="208">
        <f>AV26</f>
        <v>0.17</v>
      </c>
      <c r="BB26" s="515"/>
      <c r="BC26" s="515"/>
      <c r="BD26" s="515"/>
      <c r="BE26" s="515"/>
      <c r="BF26" s="208">
        <f>BA26</f>
        <v>0.17</v>
      </c>
      <c r="BG26" s="515"/>
      <c r="BH26" s="515"/>
      <c r="BI26" s="515"/>
      <c r="BJ26" s="515"/>
      <c r="BK26" s="208">
        <f>BF26</f>
        <v>0.17</v>
      </c>
      <c r="BL26" s="515"/>
      <c r="BM26" s="515"/>
      <c r="BN26" s="515"/>
      <c r="BO26" s="515"/>
      <c r="BP26" s="208">
        <f>BK26</f>
        <v>0.17</v>
      </c>
      <c r="BQ26" s="208"/>
      <c r="BR26" s="208"/>
      <c r="BS26" s="208"/>
      <c r="BT26" s="208"/>
      <c r="BU26" s="208">
        <f>BP26</f>
        <v>0.17</v>
      </c>
      <c r="BZ26" s="208">
        <f>BU26</f>
        <v>0.17</v>
      </c>
      <c r="CE26" s="208">
        <f>BZ26</f>
        <v>0.17</v>
      </c>
      <c r="CJ26" s="208">
        <f>CE26</f>
        <v>0.17</v>
      </c>
    </row>
    <row r="27" spans="2:88">
      <c r="B27" s="176" t="s">
        <v>6</v>
      </c>
      <c r="D27" s="427"/>
      <c r="E27" s="427"/>
      <c r="F27" s="427"/>
      <c r="G27" s="427"/>
      <c r="I27" s="427"/>
      <c r="J27" s="427"/>
      <c r="K27" s="427"/>
      <c r="L27" s="427"/>
      <c r="M27" s="222"/>
      <c r="N27" s="513">
        <f t="shared" ref="N27" si="24">N26*N24</f>
        <v>0.55249999999999999</v>
      </c>
      <c r="O27" s="513">
        <f t="shared" ref="O27" si="25">O26*O24</f>
        <v>0.81599999999999961</v>
      </c>
      <c r="P27" s="513">
        <f t="shared" ref="P27" si="26">P26*P24</f>
        <v>1.02</v>
      </c>
      <c r="Q27" s="513">
        <f t="shared" ref="Q27:AA27" si="27">Q26*Q24</f>
        <v>1.3345000000000002</v>
      </c>
      <c r="R27" s="222">
        <f>R26*R24</f>
        <v>3.7229999999999999</v>
      </c>
      <c r="S27" s="513">
        <f t="shared" si="27"/>
        <v>1.87</v>
      </c>
      <c r="T27" s="513">
        <f t="shared" si="27"/>
        <v>2.2950000000000004</v>
      </c>
      <c r="U27" s="513">
        <f t="shared" si="27"/>
        <v>2.5427938053097354</v>
      </c>
      <c r="V27" s="513">
        <f t="shared" si="27"/>
        <v>3.4177391304347835</v>
      </c>
      <c r="W27" s="222">
        <f>W26*W24</f>
        <v>10.125532935744518</v>
      </c>
      <c r="X27" s="513">
        <f t="shared" si="27"/>
        <v>2.5500000000000003</v>
      </c>
      <c r="Y27" s="513">
        <f t="shared" si="27"/>
        <v>2.6775000000000002</v>
      </c>
      <c r="Z27" s="513">
        <f t="shared" si="27"/>
        <v>2.8113750000000004</v>
      </c>
      <c r="AA27" s="513">
        <f t="shared" si="27"/>
        <v>3.1134389669103495</v>
      </c>
      <c r="AB27" s="222">
        <f>AB26*AB24</f>
        <v>11.15231396691035</v>
      </c>
      <c r="AC27" s="521"/>
      <c r="AD27" s="521"/>
      <c r="AE27" s="521"/>
      <c r="AF27" s="521"/>
      <c r="AG27" s="222">
        <f>AG26*AG24</f>
        <v>20.022804195408249</v>
      </c>
      <c r="AH27" s="521"/>
      <c r="AI27" s="521"/>
      <c r="AJ27" s="521"/>
      <c r="AK27" s="521"/>
      <c r="AL27" s="222">
        <f>AL26*AL24</f>
        <v>43.015670431864592</v>
      </c>
      <c r="AM27" s="521"/>
      <c r="AN27" s="521"/>
      <c r="AO27" s="521"/>
      <c r="AP27" s="521"/>
      <c r="AQ27" s="222">
        <f>AQ26*AQ24</f>
        <v>60.83933357146713</v>
      </c>
      <c r="AR27" s="521"/>
      <c r="AS27" s="521"/>
      <c r="AT27" s="521"/>
      <c r="AU27" s="521"/>
      <c r="AV27" s="222">
        <f>AV26*AV24</f>
        <v>71.659107022047863</v>
      </c>
      <c r="AW27" s="521"/>
      <c r="AX27" s="521"/>
      <c r="AY27" s="521"/>
      <c r="AZ27" s="521"/>
      <c r="BA27" s="222">
        <f>BA26*BA24</f>
        <v>78.413017238246894</v>
      </c>
      <c r="BB27" s="521"/>
      <c r="BC27" s="521"/>
      <c r="BD27" s="521"/>
      <c r="BE27" s="521"/>
      <c r="BF27" s="222">
        <f>BF26*BF24</f>
        <v>83.723648638419945</v>
      </c>
      <c r="BG27" s="521"/>
      <c r="BH27" s="521"/>
      <c r="BI27" s="521"/>
      <c r="BJ27" s="521"/>
      <c r="BK27" s="222">
        <f>BK26*BK24</f>
        <v>88.251398913639036</v>
      </c>
      <c r="BL27" s="521"/>
      <c r="BM27" s="521"/>
      <c r="BN27" s="521"/>
      <c r="BO27" s="521"/>
      <c r="BP27" s="222">
        <f>BP26*BP24</f>
        <v>91.75957099720992</v>
      </c>
      <c r="BQ27" s="222"/>
      <c r="BR27" s="222"/>
      <c r="BS27" s="222"/>
      <c r="BT27" s="222"/>
      <c r="BU27" s="222">
        <f>BU26*BU24</f>
        <v>94.51235812712622</v>
      </c>
      <c r="BZ27" s="222">
        <f>BZ26*BZ24</f>
        <v>97.347728870940003</v>
      </c>
      <c r="CE27" s="222">
        <f>CE26*CE24</f>
        <v>100.26816073706823</v>
      </c>
      <c r="CJ27" s="222">
        <f>CJ26*CJ24</f>
        <v>103.27620555918026</v>
      </c>
    </row>
    <row r="28" spans="2:88">
      <c r="B28" s="176" t="s">
        <v>216</v>
      </c>
      <c r="D28" s="427"/>
      <c r="E28" s="427"/>
      <c r="F28" s="427"/>
      <c r="G28" s="427"/>
      <c r="I28" s="521">
        <f t="shared" ref="I28:K28" si="28">-I29</f>
        <v>20</v>
      </c>
      <c r="J28" s="521">
        <f t="shared" si="28"/>
        <v>50</v>
      </c>
      <c r="K28" s="521">
        <f t="shared" si="28"/>
        <v>75</v>
      </c>
      <c r="L28" s="521">
        <f>-L29</f>
        <v>100</v>
      </c>
      <c r="M28" s="125">
        <v>245</v>
      </c>
      <c r="N28" s="521">
        <f>N24-N27-N29</f>
        <v>85.179777777777772</v>
      </c>
      <c r="O28" s="521">
        <f t="shared" ref="O28:Q28" si="29">O24-O27-O29</f>
        <v>119.49888888888886</v>
      </c>
      <c r="P28" s="521">
        <f t="shared" si="29"/>
        <v>149.0251111111111</v>
      </c>
      <c r="Q28" s="521">
        <f t="shared" si="29"/>
        <v>118.6561111111111</v>
      </c>
      <c r="R28" s="222">
        <f>SUM(N28:Q28)</f>
        <v>472.35988888888886</v>
      </c>
      <c r="S28" s="521">
        <f>S24-S27-S29</f>
        <v>123.65533333333333</v>
      </c>
      <c r="T28" s="521">
        <f>T24-T27-T29</f>
        <v>114.8688888888889</v>
      </c>
      <c r="U28" s="521">
        <f>U24-U27-U29</f>
        <v>86.501322222222186</v>
      </c>
      <c r="V28" s="521">
        <f>V24-V27-V29</f>
        <v>109.19109178743969</v>
      </c>
      <c r="W28" s="222">
        <f>SUM(S28:V28)</f>
        <v>434.21663623188414</v>
      </c>
      <c r="X28" s="427">
        <v>82.5</v>
      </c>
      <c r="Y28" s="513">
        <f>X28*1.05</f>
        <v>86.625</v>
      </c>
      <c r="Z28" s="513">
        <f>Y28*1.05</f>
        <v>90.956249999999997</v>
      </c>
      <c r="AA28" s="513">
        <f>AB28-SUM(X28:Z28)</f>
        <v>89.918749999999989</v>
      </c>
      <c r="AB28" s="125">
        <v>350</v>
      </c>
      <c r="AC28" s="521"/>
      <c r="AD28" s="521"/>
      <c r="AE28" s="521"/>
      <c r="AF28" s="521"/>
      <c r="AG28" s="222">
        <f>AB28*1.1</f>
        <v>385.00000000000006</v>
      </c>
      <c r="AH28" s="521"/>
      <c r="AI28" s="521"/>
      <c r="AJ28" s="521"/>
      <c r="AK28" s="521"/>
      <c r="AL28" s="222">
        <f>AG28*1.025</f>
        <v>394.625</v>
      </c>
      <c r="AM28" s="521"/>
      <c r="AN28" s="521"/>
      <c r="AO28" s="521"/>
      <c r="AP28" s="521"/>
      <c r="AQ28" s="222">
        <f>AL28*1.025</f>
        <v>404.49062499999997</v>
      </c>
      <c r="AR28" s="521"/>
      <c r="AS28" s="521"/>
      <c r="AT28" s="521"/>
      <c r="AU28" s="521"/>
      <c r="AV28" s="222">
        <f>AQ28</f>
        <v>404.49062499999997</v>
      </c>
      <c r="AW28" s="521"/>
      <c r="AX28" s="521"/>
      <c r="AY28" s="521"/>
      <c r="AZ28" s="521"/>
      <c r="BA28" s="222">
        <f>AV28</f>
        <v>404.49062499999997</v>
      </c>
      <c r="BB28" s="521"/>
      <c r="BC28" s="521"/>
      <c r="BD28" s="521"/>
      <c r="BE28" s="521"/>
      <c r="BF28" s="222">
        <f>BA28</f>
        <v>404.49062499999997</v>
      </c>
      <c r="BG28" s="521"/>
      <c r="BH28" s="521"/>
      <c r="BI28" s="521"/>
      <c r="BJ28" s="521"/>
      <c r="BK28" s="222">
        <f>BF28</f>
        <v>404.49062499999997</v>
      </c>
      <c r="BL28" s="521"/>
      <c r="BM28" s="521"/>
      <c r="BN28" s="521"/>
      <c r="BO28" s="521"/>
      <c r="BP28" s="222">
        <f>BK28</f>
        <v>404.49062499999997</v>
      </c>
      <c r="BQ28" s="222"/>
      <c r="BR28" s="222"/>
      <c r="BS28" s="222"/>
      <c r="BT28" s="222"/>
      <c r="BU28" s="222">
        <f>BP28</f>
        <v>404.49062499999997</v>
      </c>
      <c r="BZ28" s="222">
        <f>BU28</f>
        <v>404.49062499999997</v>
      </c>
      <c r="CE28" s="222">
        <f>BZ28</f>
        <v>404.49062499999997</v>
      </c>
      <c r="CJ28" s="222">
        <f>CE28</f>
        <v>404.49062499999997</v>
      </c>
    </row>
    <row r="29" spans="2:88">
      <c r="B29" s="206" t="s">
        <v>217</v>
      </c>
      <c r="C29" s="207"/>
      <c r="D29" s="505"/>
      <c r="E29" s="505"/>
      <c r="F29" s="505"/>
      <c r="G29" s="505"/>
      <c r="H29" s="207"/>
      <c r="I29" s="505">
        <v>-20</v>
      </c>
      <c r="J29" s="505">
        <v>-50</v>
      </c>
      <c r="K29" s="815">
        <v>-75</v>
      </c>
      <c r="L29" s="815">
        <f>M29-I29-J29-K29</f>
        <v>-100</v>
      </c>
      <c r="M29" s="221">
        <f>M24-M27-M28</f>
        <v>-245</v>
      </c>
      <c r="N29" s="526">
        <f>N32/N31</f>
        <v>-82.482277777777767</v>
      </c>
      <c r="O29" s="526">
        <f t="shared" ref="O29:V29" si="30">O32/O31</f>
        <v>-115.51488888888886</v>
      </c>
      <c r="P29" s="526">
        <f t="shared" si="30"/>
        <v>-144.04511111111111</v>
      </c>
      <c r="Q29" s="526">
        <f t="shared" si="30"/>
        <v>-112.1406111111111</v>
      </c>
      <c r="R29" s="221">
        <f>R24-R27-R28</f>
        <v>-454.18288888888884</v>
      </c>
      <c r="S29" s="815">
        <f t="shared" si="30"/>
        <v>-114.52533333333334</v>
      </c>
      <c r="T29" s="815">
        <f t="shared" si="30"/>
        <v>-103.66388888888891</v>
      </c>
      <c r="U29" s="815">
        <f t="shared" si="30"/>
        <v>-74.086505408062891</v>
      </c>
      <c r="V29" s="815">
        <f t="shared" si="30"/>
        <v>-92.504483091787506</v>
      </c>
      <c r="W29" s="221">
        <f>W24-W27-W28</f>
        <v>-384.78021072207264</v>
      </c>
      <c r="X29" s="1093">
        <f t="shared" ref="X29:AA29" si="31">X24-X27-X28</f>
        <v>-70.05</v>
      </c>
      <c r="Y29" s="1093">
        <f t="shared" si="31"/>
        <v>-73.552499999999995</v>
      </c>
      <c r="Z29" s="1093">
        <f t="shared" si="31"/>
        <v>-77.230125000000001</v>
      </c>
      <c r="AA29" s="1093">
        <f t="shared" si="31"/>
        <v>-74.717842102731808</v>
      </c>
      <c r="AB29" s="221">
        <f>AB24-AB27-AB28</f>
        <v>-295.55046710273183</v>
      </c>
      <c r="AC29" s="505"/>
      <c r="AD29" s="505"/>
      <c r="AE29" s="505"/>
      <c r="AF29" s="505"/>
      <c r="AG29" s="221">
        <f>AG24-AG27-AG28</f>
        <v>-287.24160304594807</v>
      </c>
      <c r="AH29" s="505"/>
      <c r="AI29" s="505"/>
      <c r="AJ29" s="505"/>
      <c r="AK29" s="505"/>
      <c r="AL29" s="221">
        <f>AL24-AL27-AL28</f>
        <v>-184.60731495030819</v>
      </c>
      <c r="AM29" s="505"/>
      <c r="AN29" s="505"/>
      <c r="AO29" s="505"/>
      <c r="AP29" s="505"/>
      <c r="AQ29" s="221">
        <f>AQ24-AQ27-AQ28</f>
        <v>-107.45152579813106</v>
      </c>
      <c r="AR29" s="505"/>
      <c r="AS29" s="505"/>
      <c r="AT29" s="505"/>
      <c r="AU29" s="505"/>
      <c r="AV29" s="221">
        <f>AV24-AV27-AV28</f>
        <v>-54.625573068825133</v>
      </c>
      <c r="AW29" s="505"/>
      <c r="AX29" s="505"/>
      <c r="AY29" s="505"/>
      <c r="AZ29" s="505"/>
      <c r="BA29" s="221">
        <f>BA24-BA27-BA28</f>
        <v>-21.650599660323962</v>
      </c>
      <c r="BB29" s="505"/>
      <c r="BC29" s="505"/>
      <c r="BD29" s="505"/>
      <c r="BE29" s="505"/>
      <c r="BF29" s="221">
        <f>BF24-BF27-BF28</f>
        <v>4.2777771758150038</v>
      </c>
      <c r="BG29" s="505"/>
      <c r="BH29" s="505"/>
      <c r="BI29" s="505"/>
      <c r="BJ29" s="505"/>
      <c r="BK29" s="221">
        <f>BK24-BK27-BK28</f>
        <v>26.383852048943538</v>
      </c>
      <c r="BL29" s="505"/>
      <c r="BM29" s="505"/>
      <c r="BN29" s="505"/>
      <c r="BO29" s="505"/>
      <c r="BP29" s="221">
        <f>BP24-BP27-BP28</f>
        <v>43.51198633931898</v>
      </c>
      <c r="BQ29" s="997"/>
      <c r="BR29" s="997"/>
      <c r="BS29" s="997"/>
      <c r="BT29" s="997"/>
      <c r="BU29" s="221">
        <f>BU24-BU27-BU28</f>
        <v>56.952064679498562</v>
      </c>
      <c r="BZ29" s="221">
        <f>BZ24-BZ27-BZ28</f>
        <v>70.795345369883535</v>
      </c>
      <c r="CE29" s="221">
        <f>CE24-CE27-CE28</f>
        <v>85.053924480980129</v>
      </c>
      <c r="CJ29" s="221">
        <f>CJ24-CJ27-CJ28</f>
        <v>99.740260965409448</v>
      </c>
    </row>
    <row r="30" spans="2:88">
      <c r="D30" s="427"/>
      <c r="E30" s="427"/>
      <c r="F30" s="427"/>
      <c r="G30" s="427"/>
      <c r="I30" s="427"/>
      <c r="J30" s="427"/>
      <c r="K30" s="427"/>
      <c r="L30" s="427"/>
      <c r="N30" s="427"/>
      <c r="O30" s="427"/>
      <c r="P30" s="427"/>
      <c r="Q30" s="427"/>
      <c r="S30" s="427"/>
      <c r="T30" s="427"/>
      <c r="U30" s="427"/>
      <c r="V30" s="427"/>
      <c r="X30" s="427"/>
      <c r="Y30" s="427"/>
      <c r="Z30" s="427"/>
      <c r="AA30" s="427"/>
      <c r="AC30" s="427"/>
      <c r="AD30" s="427"/>
      <c r="AE30" s="427"/>
      <c r="AF30" s="427"/>
      <c r="AH30" s="427"/>
      <c r="AI30" s="427"/>
      <c r="AJ30" s="427"/>
      <c r="AK30" s="427"/>
      <c r="AM30" s="427"/>
      <c r="AN30" s="427"/>
      <c r="AO30" s="427"/>
      <c r="AP30" s="427"/>
      <c r="AR30" s="427"/>
      <c r="AS30" s="427"/>
      <c r="AT30" s="427"/>
      <c r="AU30" s="427"/>
      <c r="AW30" s="427"/>
      <c r="AX30" s="427"/>
      <c r="AY30" s="427"/>
      <c r="AZ30" s="427"/>
      <c r="BB30" s="427"/>
      <c r="BC30" s="427"/>
      <c r="BD30" s="427"/>
      <c r="BE30" s="427"/>
      <c r="BG30" s="427"/>
      <c r="BH30" s="427"/>
      <c r="BI30" s="427"/>
      <c r="BJ30" s="427"/>
      <c r="BL30" s="427"/>
      <c r="BM30" s="427"/>
      <c r="BN30" s="427"/>
      <c r="BO30" s="427"/>
    </row>
    <row r="31" spans="2:88" s="188" customFormat="1">
      <c r="B31" s="186" t="s">
        <v>714</v>
      </c>
      <c r="D31" s="515"/>
      <c r="E31" s="515"/>
      <c r="F31" s="515"/>
      <c r="G31" s="515"/>
      <c r="I31" s="516">
        <f>M31</f>
        <v>0.45</v>
      </c>
      <c r="J31" s="516">
        <f>I31</f>
        <v>0.45</v>
      </c>
      <c r="K31" s="813">
        <f>J31</f>
        <v>0.45</v>
      </c>
      <c r="L31" s="813">
        <f>K31</f>
        <v>0.45</v>
      </c>
      <c r="M31" s="264">
        <f t="shared" ref="M31" si="32">IF(M29&lt;0,0.45,IF(M29&lt;250,0.35,IF(M29&lt;500,0.4,0.45)))</f>
        <v>0.45</v>
      </c>
      <c r="N31" s="516">
        <f>R31</f>
        <v>0.45</v>
      </c>
      <c r="O31" s="516">
        <f>N31</f>
        <v>0.45</v>
      </c>
      <c r="P31" s="813">
        <f>O31</f>
        <v>0.45</v>
      </c>
      <c r="Q31" s="813">
        <f>P31</f>
        <v>0.45</v>
      </c>
      <c r="R31" s="208">
        <v>0.45</v>
      </c>
      <c r="S31" s="598">
        <f>Q31</f>
        <v>0.45</v>
      </c>
      <c r="T31" s="598">
        <f>S31</f>
        <v>0.45</v>
      </c>
      <c r="U31" s="598">
        <f>T31</f>
        <v>0.45</v>
      </c>
      <c r="V31" s="598">
        <f>U31</f>
        <v>0.45</v>
      </c>
      <c r="W31" s="264">
        <f>IF(W29&lt;0,0.45,IF(W29&lt;250,0.35,IF(W29&lt;500,0.4,0.45)))</f>
        <v>0.45</v>
      </c>
      <c r="X31" s="598">
        <f>AB31</f>
        <v>0.45</v>
      </c>
      <c r="Y31" s="598">
        <f>X31</f>
        <v>0.45</v>
      </c>
      <c r="Z31" s="598">
        <f t="shared" ref="Z31:AA31" si="33">Y31</f>
        <v>0.45</v>
      </c>
      <c r="AA31" s="598">
        <f t="shared" si="33"/>
        <v>0.45</v>
      </c>
      <c r="AB31" s="264">
        <f>IF(AB29&lt;0,0.45,IF(AB29&lt;250,0.35,IF(AB29&lt;500,0.4,0.45)))</f>
        <v>0.45</v>
      </c>
      <c r="AC31" s="598"/>
      <c r="AD31" s="598"/>
      <c r="AE31" s="598"/>
      <c r="AF31" s="598"/>
      <c r="AG31" s="264">
        <f>IF(AG29&lt;0,0.45,IF(AG29&lt;250,0.35,IF(AG29&lt;500,0.4,0.45)))</f>
        <v>0.45</v>
      </c>
      <c r="AH31" s="598"/>
      <c r="AI31" s="598"/>
      <c r="AJ31" s="598"/>
      <c r="AK31" s="598"/>
      <c r="AL31" s="264">
        <f>IF(AL29&lt;0,0.45,IF(AL29&lt;250,0.35,IF(AL29&lt;500,0.4,0.45)))</f>
        <v>0.45</v>
      </c>
      <c r="AM31" s="598"/>
      <c r="AN31" s="598"/>
      <c r="AO31" s="598"/>
      <c r="AP31" s="598"/>
      <c r="AQ31" s="264">
        <f>IF(AQ29&lt;0,0.45,IF(AQ29&lt;250,0.35,IF(AQ29&lt;500,0.4,0.45)))</f>
        <v>0.45</v>
      </c>
      <c r="AR31" s="598"/>
      <c r="AS31" s="598"/>
      <c r="AT31" s="598"/>
      <c r="AU31" s="598"/>
      <c r="AV31" s="264">
        <f>IF(AV29&lt;0,0.45,IF(AV29&lt;250,0.35,IF(AV29&lt;500,0.4,0.45)))</f>
        <v>0.45</v>
      </c>
      <c r="AW31" s="598"/>
      <c r="AX31" s="598"/>
      <c r="AY31" s="598"/>
      <c r="AZ31" s="598"/>
      <c r="BA31" s="264">
        <f>IF(BA29&lt;0,0.45,IF(BA29&lt;250,0.35,IF(BA29&lt;500,0.4,0.45)))</f>
        <v>0.45</v>
      </c>
      <c r="BB31" s="598"/>
      <c r="BC31" s="598"/>
      <c r="BD31" s="598"/>
      <c r="BE31" s="598"/>
      <c r="BF31" s="264">
        <f>IF(BF29&lt;0,0.45,IF(BF29&lt;250,0.35,IF(BF29&lt;500,0.4,0.45)))</f>
        <v>0.35</v>
      </c>
      <c r="BG31" s="598"/>
      <c r="BH31" s="598"/>
      <c r="BI31" s="598"/>
      <c r="BJ31" s="598"/>
      <c r="BK31" s="264">
        <f>IF(BK29&lt;0,0.45,IF(BK29&lt;250,0.35,IF(BK29&lt;500,0.4,0.45)))</f>
        <v>0.35</v>
      </c>
      <c r="BL31" s="598"/>
      <c r="BM31" s="598"/>
      <c r="BN31" s="598"/>
      <c r="BO31" s="598"/>
      <c r="BP31" s="264">
        <f>IF(BP29&lt;0,0.45,IF(BP29&lt;250,0.35,IF(BP29&lt;500,0.4,0.45)))</f>
        <v>0.35</v>
      </c>
      <c r="BQ31" s="264"/>
      <c r="BR31" s="264"/>
      <c r="BS31" s="264"/>
      <c r="BT31" s="264"/>
      <c r="BU31" s="264">
        <f>IF(BU29&lt;0,0.45,IF(BU29&lt;250,0.35,IF(BU29&lt;500,0.4,0.45)))</f>
        <v>0.35</v>
      </c>
      <c r="BZ31" s="264">
        <f>IF(BZ29&lt;0,0.45,IF(BZ29&lt;250,0.35,IF(BZ29&lt;500,0.4,0.45)))</f>
        <v>0.35</v>
      </c>
      <c r="CE31" s="264">
        <f>IF(CE29&lt;0,0.45,IF(CE29&lt;250,0.35,IF(CE29&lt;500,0.4,0.45)))</f>
        <v>0.35</v>
      </c>
      <c r="CJ31" s="264">
        <f>IF(CJ29&lt;0,0.45,IF(CJ29&lt;250,0.35,IF(CJ29&lt;500,0.4,0.45)))</f>
        <v>0.35</v>
      </c>
    </row>
    <row r="32" spans="2:88">
      <c r="B32" s="467" t="s">
        <v>717</v>
      </c>
      <c r="D32" s="427"/>
      <c r="E32" s="427"/>
      <c r="F32" s="427"/>
      <c r="G32" s="427"/>
      <c r="I32" s="521">
        <f>I29*I31</f>
        <v>-9</v>
      </c>
      <c r="J32" s="521">
        <f t="shared" ref="J32:L32" si="34">J29*J31</f>
        <v>-22.5</v>
      </c>
      <c r="K32" s="521">
        <f t="shared" si="34"/>
        <v>-33.75</v>
      </c>
      <c r="L32" s="521">
        <f t="shared" si="34"/>
        <v>-45</v>
      </c>
      <c r="M32" s="178">
        <f>M31*M29</f>
        <v>-110.25</v>
      </c>
      <c r="N32" s="513">
        <f>N34-N15</f>
        <v>-37.117024999999998</v>
      </c>
      <c r="O32" s="513">
        <f>O34-O15</f>
        <v>-51.981699999999989</v>
      </c>
      <c r="P32" s="513">
        <f>P34-P15</f>
        <v>-64.820300000000003</v>
      </c>
      <c r="Q32" s="513">
        <f>Q34-Q15</f>
        <v>-50.463274999999996</v>
      </c>
      <c r="R32" s="178">
        <f>R31*R29</f>
        <v>-204.38229999999999</v>
      </c>
      <c r="S32" s="521">
        <f>S34-S15</f>
        <v>-51.5364</v>
      </c>
      <c r="T32" s="521">
        <f>T34-T15</f>
        <v>-46.648750000000007</v>
      </c>
      <c r="U32" s="521">
        <f>U34-U15</f>
        <v>-33.338927433628299</v>
      </c>
      <c r="V32" s="521">
        <f>V34-V15</f>
        <v>-41.627017391304378</v>
      </c>
      <c r="W32" s="178">
        <f>W31*W29</f>
        <v>-173.1510948249327</v>
      </c>
      <c r="X32" s="521">
        <f t="shared" ref="X32:AA32" si="35">X29*X31</f>
        <v>-31.522500000000001</v>
      </c>
      <c r="Y32" s="521">
        <f t="shared" si="35"/>
        <v>-33.098624999999998</v>
      </c>
      <c r="Z32" s="521">
        <f t="shared" si="35"/>
        <v>-34.753556250000003</v>
      </c>
      <c r="AA32" s="521">
        <f t="shared" si="35"/>
        <v>-33.623028946229311</v>
      </c>
      <c r="AB32" s="178">
        <f>AB31*AB29</f>
        <v>-132.99771019622932</v>
      </c>
      <c r="AC32" s="521"/>
      <c r="AD32" s="521"/>
      <c r="AE32" s="521"/>
      <c r="AF32" s="521"/>
      <c r="AG32" s="178">
        <f>AG31*AG29</f>
        <v>-129.25872137067662</v>
      </c>
      <c r="AH32" s="521"/>
      <c r="AI32" s="521"/>
      <c r="AJ32" s="521"/>
      <c r="AK32" s="521"/>
      <c r="AL32" s="178">
        <f>AL31*AL29</f>
        <v>-83.07329172763869</v>
      </c>
      <c r="AM32" s="521"/>
      <c r="AN32" s="521"/>
      <c r="AO32" s="521"/>
      <c r="AP32" s="521"/>
      <c r="AQ32" s="178">
        <f>AQ31*AQ29</f>
        <v>-48.353186609158975</v>
      </c>
      <c r="AR32" s="521"/>
      <c r="AS32" s="521"/>
      <c r="AT32" s="521"/>
      <c r="AU32" s="521"/>
      <c r="AV32" s="178">
        <f>AV31*AV29</f>
        <v>-24.581507880971312</v>
      </c>
      <c r="AW32" s="521"/>
      <c r="AX32" s="521"/>
      <c r="AY32" s="521"/>
      <c r="AZ32" s="521"/>
      <c r="BA32" s="178">
        <f>BA31*BA29</f>
        <v>-9.7427698471457838</v>
      </c>
      <c r="BB32" s="521"/>
      <c r="BC32" s="521"/>
      <c r="BD32" s="521"/>
      <c r="BE32" s="521"/>
      <c r="BF32" s="178">
        <f>BF31*BF29</f>
        <v>1.4972220115352513</v>
      </c>
      <c r="BG32" s="521"/>
      <c r="BH32" s="521"/>
      <c r="BI32" s="521"/>
      <c r="BJ32" s="521"/>
      <c r="BK32" s="178">
        <f>BK31*BK29</f>
        <v>9.234348217130238</v>
      </c>
      <c r="BL32" s="521"/>
      <c r="BM32" s="521"/>
      <c r="BN32" s="521"/>
      <c r="BO32" s="521"/>
      <c r="BP32" s="178">
        <f>BP31*BP29</f>
        <v>15.229195218761642</v>
      </c>
      <c r="BQ32" s="178"/>
      <c r="BR32" s="178"/>
      <c r="BS32" s="178"/>
      <c r="BT32" s="178"/>
      <c r="BU32" s="178">
        <f>BU31*BU29</f>
        <v>19.933222637824496</v>
      </c>
      <c r="BZ32" s="178">
        <f>BZ31*BZ29</f>
        <v>24.778370879459235</v>
      </c>
      <c r="CE32" s="178">
        <f>CE31*CE29</f>
        <v>29.768873568343043</v>
      </c>
      <c r="CJ32" s="178">
        <f>CJ31*CJ29</f>
        <v>34.909091337893301</v>
      </c>
    </row>
    <row r="33" spans="2:90">
      <c r="D33" s="427"/>
      <c r="E33" s="427"/>
      <c r="F33" s="427"/>
      <c r="G33" s="427"/>
      <c r="I33" s="427"/>
      <c r="J33" s="427"/>
      <c r="K33" s="427"/>
      <c r="L33" s="427"/>
      <c r="N33" s="883"/>
      <c r="O33" s="427"/>
      <c r="P33" s="427"/>
      <c r="Q33" s="427"/>
      <c r="S33" s="427"/>
      <c r="T33" s="427"/>
      <c r="U33" s="427"/>
      <c r="V33" s="427"/>
      <c r="X33" s="427"/>
      <c r="Y33" s="427"/>
      <c r="Z33" s="427"/>
      <c r="AA33" s="427"/>
      <c r="AC33" s="427"/>
      <c r="AD33" s="427"/>
      <c r="AE33" s="427"/>
      <c r="AF33" s="427"/>
      <c r="AH33" s="427"/>
      <c r="AI33" s="427"/>
      <c r="AJ33" s="427"/>
      <c r="AK33" s="427"/>
      <c r="AM33" s="427"/>
      <c r="AN33" s="427"/>
      <c r="AO33" s="427"/>
      <c r="AP33" s="427"/>
      <c r="AR33" s="427"/>
      <c r="AS33" s="427"/>
      <c r="AT33" s="427"/>
      <c r="AU33" s="427"/>
      <c r="AW33" s="427"/>
      <c r="AX33" s="427"/>
      <c r="AY33" s="427"/>
      <c r="AZ33" s="427"/>
      <c r="BB33" s="427"/>
      <c r="BC33" s="427"/>
      <c r="BD33" s="427"/>
      <c r="BE33" s="427"/>
      <c r="BG33" s="427"/>
      <c r="BH33" s="427"/>
      <c r="BI33" s="427"/>
      <c r="BJ33" s="427"/>
      <c r="BL33" s="427"/>
      <c r="BM33" s="427"/>
      <c r="BN33" s="427"/>
      <c r="BO33" s="427"/>
    </row>
    <row r="34" spans="2:90">
      <c r="B34" s="173" t="s">
        <v>716</v>
      </c>
      <c r="C34" s="173"/>
      <c r="D34" s="435"/>
      <c r="E34" s="435"/>
      <c r="F34" s="435"/>
      <c r="G34" s="435"/>
      <c r="H34" s="276">
        <f>H32+H15</f>
        <v>-9</v>
      </c>
      <c r="I34" s="861">
        <f>REVS!AG19</f>
        <v>-22.405000000000001</v>
      </c>
      <c r="J34" s="861">
        <f>REVS!AH19</f>
        <v>-46.313000000000002</v>
      </c>
      <c r="K34" s="861">
        <f>REVS!AI19</f>
        <v>-74.864999999999995</v>
      </c>
      <c r="L34" s="861">
        <f>REVS!AJ19</f>
        <v>-96.459000000000003</v>
      </c>
      <c r="M34" s="276">
        <f>M32+M15</f>
        <v>-240.042</v>
      </c>
      <c r="N34" s="884">
        <f>REVS!AL19</f>
        <v>-99.421999999999997</v>
      </c>
      <c r="O34" s="884">
        <f>REVS!AM19</f>
        <v>-122.107</v>
      </c>
      <c r="P34" s="884">
        <f>REVS!AN19</f>
        <v>-112.001</v>
      </c>
      <c r="Q34" s="884">
        <f>REVS!AO19</f>
        <v>-125.52800000000001</v>
      </c>
      <c r="R34" s="276">
        <f>R32+R21</f>
        <v>-459.05799999999999</v>
      </c>
      <c r="S34" s="884">
        <f>REVS!AQ19</f>
        <v>-108.402</v>
      </c>
      <c r="T34" s="884">
        <f>REVS!AR19-T72-T102</f>
        <v>-112.86625000000001</v>
      </c>
      <c r="U34" s="884">
        <f>REVS!AS19-U72-U102</f>
        <v>-102.61269999999999</v>
      </c>
      <c r="V34" s="884">
        <f>REVS!AT19-V72-V102</f>
        <v>-132.18556521739134</v>
      </c>
      <c r="W34" s="276">
        <f t="shared" ref="W34:AA34" si="36">W32+W21</f>
        <v>-456.06651521739138</v>
      </c>
      <c r="X34" s="533">
        <f t="shared" si="36"/>
        <v>-80.248596458118953</v>
      </c>
      <c r="Y34" s="533">
        <f t="shared" si="36"/>
        <v>-82.497478206287255</v>
      </c>
      <c r="Z34" s="533">
        <f t="shared" si="36"/>
        <v>-84.471695736363088</v>
      </c>
      <c r="AA34" s="533">
        <f t="shared" si="36"/>
        <v>-111.18914207992101</v>
      </c>
      <c r="AB34" s="276">
        <f t="shared" ref="AB34" si="37">AB32+AB21</f>
        <v>-358.40691248069027</v>
      </c>
      <c r="AC34" s="435"/>
      <c r="AD34" s="435"/>
      <c r="AE34" s="435"/>
      <c r="AF34" s="435"/>
      <c r="AG34" s="276">
        <f t="shared" ref="AG34" si="38">AG32+AG21</f>
        <v>-307.91175241016049</v>
      </c>
      <c r="AH34" s="435"/>
      <c r="AI34" s="435"/>
      <c r="AJ34" s="435"/>
      <c r="AK34" s="435"/>
      <c r="AL34" s="276">
        <f t="shared" ref="AL34" si="39">AL32+AL21</f>
        <v>-146.7270532910226</v>
      </c>
      <c r="AM34" s="435"/>
      <c r="AN34" s="435"/>
      <c r="AO34" s="435"/>
      <c r="AP34" s="435"/>
      <c r="AQ34" s="276">
        <f t="shared" ref="AQ34" si="40">AQ32+AQ21</f>
        <v>-99.98683220600077</v>
      </c>
      <c r="AR34" s="435"/>
      <c r="AS34" s="435"/>
      <c r="AT34" s="435"/>
      <c r="AU34" s="435"/>
      <c r="AV34" s="276">
        <f t="shared" ref="AV34" si="41">AV32+AV21</f>
        <v>-68.056939244747639</v>
      </c>
      <c r="AW34" s="435"/>
      <c r="AX34" s="435"/>
      <c r="AY34" s="435"/>
      <c r="AZ34" s="435"/>
      <c r="BA34" s="276">
        <f t="shared" ref="BA34" si="42">BA32+BA21</f>
        <v>-47.925710275984116</v>
      </c>
      <c r="BB34" s="435"/>
      <c r="BC34" s="435"/>
      <c r="BD34" s="435"/>
      <c r="BE34" s="435"/>
      <c r="BF34" s="276">
        <f t="shared" ref="BF34" si="43">BF32+BF21</f>
        <v>-33.004414648718125</v>
      </c>
      <c r="BG34" s="435"/>
      <c r="BH34" s="435"/>
      <c r="BI34" s="435"/>
      <c r="BJ34" s="435"/>
      <c r="BK34" s="276">
        <f t="shared" ref="BK34" si="44">BK32+BK21</f>
        <v>-23.650883137610187</v>
      </c>
      <c r="BL34" s="435"/>
      <c r="BM34" s="435"/>
      <c r="BN34" s="435"/>
      <c r="BO34" s="435"/>
      <c r="BP34" s="276">
        <f t="shared" ref="BP34" si="45">BP32+BP21</f>
        <v>-17.604561827735605</v>
      </c>
      <c r="BQ34" s="276"/>
      <c r="BR34" s="276"/>
      <c r="BS34" s="276"/>
      <c r="BT34" s="276"/>
      <c r="BU34" s="276">
        <f t="shared" ref="BU34" si="46">BU32+BU21</f>
        <v>-12.821565089960156</v>
      </c>
      <c r="BV34" s="1003"/>
      <c r="BW34" s="1003"/>
      <c r="BX34" s="1003"/>
      <c r="BY34" s="1003"/>
      <c r="BZ34" s="276">
        <f t="shared" ref="BZ34" si="47">BZ32+BZ21</f>
        <v>-7.8684788992987116</v>
      </c>
      <c r="CE34" s="276">
        <f t="shared" ref="CE34" si="48">CE32+CE21</f>
        <v>-2.7395355833959307</v>
      </c>
      <c r="CJ34" s="276">
        <f t="shared" ref="CJ34" si="49">CJ32+CJ21</f>
        <v>-0.42332173871130863</v>
      </c>
    </row>
    <row r="35" spans="2:90">
      <c r="D35" s="427"/>
      <c r="E35" s="427"/>
      <c r="F35" s="427"/>
      <c r="G35" s="427"/>
      <c r="I35" s="427"/>
      <c r="J35" s="427"/>
      <c r="K35" s="427"/>
      <c r="L35" s="427"/>
      <c r="N35" s="427"/>
      <c r="O35" s="427"/>
      <c r="P35" s="427"/>
      <c r="Q35" s="427"/>
      <c r="S35" s="427"/>
      <c r="T35" s="427"/>
      <c r="U35" s="427"/>
      <c r="V35" s="427"/>
      <c r="W35" s="222"/>
      <c r="X35" s="427"/>
      <c r="Y35" s="427"/>
      <c r="Z35" s="427"/>
      <c r="AA35" s="427"/>
      <c r="AB35" s="222"/>
      <c r="AC35" s="427"/>
      <c r="AD35" s="427"/>
      <c r="AE35" s="427"/>
      <c r="AF35" s="427"/>
      <c r="AG35" s="222"/>
      <c r="AH35" s="427"/>
      <c r="AI35" s="427"/>
      <c r="AJ35" s="427"/>
      <c r="AK35" s="427"/>
      <c r="AL35" s="222"/>
      <c r="AM35" s="427"/>
      <c r="AN35" s="427"/>
      <c r="AO35" s="427"/>
      <c r="AP35" s="427"/>
      <c r="AQ35" s="222"/>
      <c r="AR35" s="427"/>
      <c r="AS35" s="427"/>
      <c r="AT35" s="427"/>
      <c r="AU35" s="427"/>
      <c r="AV35" s="222"/>
      <c r="AW35" s="427"/>
      <c r="AX35" s="427"/>
      <c r="AY35" s="427"/>
      <c r="AZ35" s="427"/>
      <c r="BA35" s="222"/>
      <c r="BB35" s="427"/>
      <c r="BC35" s="427"/>
      <c r="BD35" s="427"/>
      <c r="BE35" s="427"/>
      <c r="BF35" s="222"/>
      <c r="BG35" s="427"/>
      <c r="BH35" s="427"/>
      <c r="BI35" s="427"/>
      <c r="BJ35" s="427"/>
      <c r="BK35" s="222"/>
      <c r="BL35" s="427"/>
      <c r="BM35" s="427"/>
      <c r="BN35" s="427"/>
      <c r="BO35" s="427"/>
      <c r="BP35" s="222"/>
      <c r="BQ35" s="222"/>
      <c r="BR35" s="222"/>
      <c r="BS35" s="222"/>
      <c r="BT35" s="222"/>
      <c r="BU35" s="265"/>
      <c r="BV35" s="265"/>
      <c r="BW35" s="265"/>
      <c r="BX35" s="265"/>
      <c r="BY35" s="265"/>
    </row>
    <row r="36" spans="2:90">
      <c r="B36" s="176" t="s">
        <v>14</v>
      </c>
      <c r="C36" s="178"/>
      <c r="D36" s="427"/>
      <c r="E36" s="427"/>
      <c r="F36" s="427"/>
      <c r="G36" s="427"/>
      <c r="H36" s="178">
        <f>IF(H34&gt;0,H37*H34,0)</f>
        <v>0</v>
      </c>
      <c r="I36" s="427"/>
      <c r="J36" s="427"/>
      <c r="K36" s="427"/>
      <c r="L36" s="513"/>
      <c r="M36" s="178">
        <f>IF(M34&gt;0,M37*M34,0)</f>
        <v>0</v>
      </c>
      <c r="N36" s="427">
        <f t="shared" ref="N36:Q36" si="50">IF(N34&gt;0,N37*N34,0)</f>
        <v>0</v>
      </c>
      <c r="O36" s="427">
        <f t="shared" si="50"/>
        <v>0</v>
      </c>
      <c r="P36" s="427">
        <f t="shared" si="50"/>
        <v>0</v>
      </c>
      <c r="Q36" s="427">
        <f t="shared" si="50"/>
        <v>0</v>
      </c>
      <c r="R36" s="178">
        <f t="shared" ref="R36:AA36" si="51">IF(R34&gt;0,R37*R34,0)</f>
        <v>0</v>
      </c>
      <c r="S36" s="427">
        <f t="shared" si="51"/>
        <v>0</v>
      </c>
      <c r="T36" s="427">
        <f t="shared" si="51"/>
        <v>0</v>
      </c>
      <c r="U36" s="427">
        <f t="shared" si="51"/>
        <v>0</v>
      </c>
      <c r="V36" s="427">
        <f t="shared" si="51"/>
        <v>0</v>
      </c>
      <c r="W36" s="178">
        <f t="shared" si="51"/>
        <v>0</v>
      </c>
      <c r="X36" s="427">
        <f t="shared" si="51"/>
        <v>0</v>
      </c>
      <c r="Y36" s="427">
        <f t="shared" si="51"/>
        <v>0</v>
      </c>
      <c r="Z36" s="427">
        <f t="shared" si="51"/>
        <v>0</v>
      </c>
      <c r="AA36" s="427">
        <f t="shared" si="51"/>
        <v>0</v>
      </c>
      <c r="AB36" s="178">
        <f>IF(AB34&gt;0,AB37*AB34,0)</f>
        <v>0</v>
      </c>
      <c r="AC36" s="427"/>
      <c r="AD36" s="427"/>
      <c r="AE36" s="427"/>
      <c r="AF36" s="427"/>
      <c r="AG36" s="178">
        <f>IF(AG34&gt;0,AG37*AG34,0)</f>
        <v>0</v>
      </c>
      <c r="AH36" s="427"/>
      <c r="AI36" s="427"/>
      <c r="AJ36" s="427"/>
      <c r="AK36" s="427"/>
      <c r="AL36" s="178">
        <f>IF(AL34&gt;0,AL37*AL34,0)</f>
        <v>0</v>
      </c>
      <c r="AM36" s="427"/>
      <c r="AN36" s="427"/>
      <c r="AO36" s="427"/>
      <c r="AP36" s="427"/>
      <c r="AQ36" s="178">
        <f>IF(AQ34&gt;0,AQ37*AQ34,0)</f>
        <v>0</v>
      </c>
      <c r="AR36" s="513"/>
      <c r="AS36" s="513"/>
      <c r="AT36" s="513"/>
      <c r="AU36" s="513"/>
      <c r="AV36" s="178">
        <f>IF(AV34&gt;0,AV37*AV34,0)</f>
        <v>0</v>
      </c>
      <c r="AW36" s="513"/>
      <c r="AX36" s="513"/>
      <c r="AY36" s="513"/>
      <c r="AZ36" s="513"/>
      <c r="BA36" s="178">
        <f>IF(BA34&gt;0,BA37*BA34,0)</f>
        <v>0</v>
      </c>
      <c r="BB36" s="513"/>
      <c r="BC36" s="513"/>
      <c r="BD36" s="513"/>
      <c r="BE36" s="513"/>
      <c r="BF36" s="178">
        <f>IF(BF34&gt;0,BF37*BF34,0)</f>
        <v>0</v>
      </c>
      <c r="BG36" s="513"/>
      <c r="BH36" s="513"/>
      <c r="BI36" s="513"/>
      <c r="BJ36" s="513"/>
      <c r="BK36" s="178">
        <f>IF(BK34&gt;0,BK37*BK34,0)</f>
        <v>0</v>
      </c>
      <c r="BL36" s="513"/>
      <c r="BM36" s="513"/>
      <c r="BN36" s="513"/>
      <c r="BO36" s="513"/>
      <c r="BP36" s="178">
        <f>IF(BP34&gt;0,BP37*BP34,0)</f>
        <v>0</v>
      </c>
      <c r="BQ36" s="178"/>
      <c r="BR36" s="178"/>
      <c r="BS36" s="178"/>
      <c r="BT36" s="178"/>
      <c r="BU36" s="178">
        <f>IF(BU34&gt;0,BU37*BU34,0)</f>
        <v>0</v>
      </c>
      <c r="BV36" s="178"/>
      <c r="BW36" s="178"/>
      <c r="BX36" s="178"/>
      <c r="BY36" s="178"/>
      <c r="BZ36" s="178">
        <f>IF(BZ34&gt;0,BZ37*BZ34,0)</f>
        <v>0</v>
      </c>
      <c r="CE36" s="178">
        <f>IF(CE34&gt;0,CE37*CE34,0)</f>
        <v>0</v>
      </c>
      <c r="CJ36" s="178">
        <f>IF(CJ34&gt;0,CJ37*CJ34,0)</f>
        <v>0</v>
      </c>
    </row>
    <row r="37" spans="2:90" s="186" customFormat="1">
      <c r="B37" s="266" t="s">
        <v>718</v>
      </c>
      <c r="C37" s="600"/>
      <c r="D37" s="601"/>
      <c r="E37" s="601"/>
      <c r="F37" s="601"/>
      <c r="G37" s="601"/>
      <c r="H37" s="812">
        <v>0.15</v>
      </c>
      <c r="I37" s="601"/>
      <c r="J37" s="601"/>
      <c r="K37" s="601"/>
      <c r="L37" s="601"/>
      <c r="M37" s="812">
        <v>0.15</v>
      </c>
      <c r="N37" s="862">
        <f t="shared" ref="N37:Q37" si="52">I37</f>
        <v>0</v>
      </c>
      <c r="O37" s="862">
        <f t="shared" si="52"/>
        <v>0</v>
      </c>
      <c r="P37" s="862">
        <f t="shared" si="52"/>
        <v>0</v>
      </c>
      <c r="Q37" s="862">
        <f t="shared" si="52"/>
        <v>0</v>
      </c>
      <c r="R37" s="267">
        <f>M37</f>
        <v>0.15</v>
      </c>
      <c r="S37" s="927">
        <f>W37</f>
        <v>0.15</v>
      </c>
      <c r="T37" s="927">
        <f>S37</f>
        <v>0.15</v>
      </c>
      <c r="U37" s="928">
        <f t="shared" ref="U37:V37" si="53">T37</f>
        <v>0.15</v>
      </c>
      <c r="V37" s="928">
        <f t="shared" si="53"/>
        <v>0.15</v>
      </c>
      <c r="W37" s="267">
        <f>R37</f>
        <v>0.15</v>
      </c>
      <c r="X37" s="927">
        <f>AB37</f>
        <v>0.15</v>
      </c>
      <c r="Y37" s="927">
        <f>X37</f>
        <v>0.15</v>
      </c>
      <c r="Z37" s="928">
        <f t="shared" ref="Z37:AA37" si="54">Y37</f>
        <v>0.15</v>
      </c>
      <c r="AA37" s="928">
        <f t="shared" si="54"/>
        <v>0.15</v>
      </c>
      <c r="AB37" s="267">
        <f>W37</f>
        <v>0.15</v>
      </c>
      <c r="AC37" s="601"/>
      <c r="AD37" s="601"/>
      <c r="AE37" s="601"/>
      <c r="AF37" s="601"/>
      <c r="AG37" s="267">
        <f>AB37</f>
        <v>0.15</v>
      </c>
      <c r="AH37" s="601"/>
      <c r="AI37" s="601"/>
      <c r="AJ37" s="601"/>
      <c r="AK37" s="601"/>
      <c r="AL37" s="267">
        <f>AG37</f>
        <v>0.15</v>
      </c>
      <c r="AM37" s="601"/>
      <c r="AN37" s="601"/>
      <c r="AO37" s="601"/>
      <c r="AP37" s="601"/>
      <c r="AQ37" s="267">
        <f>AL37</f>
        <v>0.15</v>
      </c>
      <c r="AR37" s="602"/>
      <c r="AS37" s="602"/>
      <c r="AT37" s="602"/>
      <c r="AU37" s="602"/>
      <c r="AV37" s="267">
        <f>AQ37</f>
        <v>0.15</v>
      </c>
      <c r="AW37" s="602"/>
      <c r="AX37" s="602"/>
      <c r="AY37" s="602"/>
      <c r="AZ37" s="602"/>
      <c r="BA37" s="267">
        <f>AV37</f>
        <v>0.15</v>
      </c>
      <c r="BB37" s="602"/>
      <c r="BC37" s="602"/>
      <c r="BD37" s="602"/>
      <c r="BE37" s="602"/>
      <c r="BF37" s="267">
        <f>BA37</f>
        <v>0.15</v>
      </c>
      <c r="BG37" s="602"/>
      <c r="BH37" s="602"/>
      <c r="BI37" s="602"/>
      <c r="BJ37" s="602"/>
      <c r="BK37" s="267">
        <f>BF37</f>
        <v>0.15</v>
      </c>
      <c r="BL37" s="602"/>
      <c r="BM37" s="602"/>
      <c r="BN37" s="602"/>
      <c r="BO37" s="602"/>
      <c r="BP37" s="267">
        <f>BK37</f>
        <v>0.15</v>
      </c>
      <c r="BQ37" s="267"/>
      <c r="BR37" s="267"/>
      <c r="BS37" s="267"/>
      <c r="BT37" s="267"/>
      <c r="BU37" s="267">
        <f>BP37</f>
        <v>0.15</v>
      </c>
      <c r="BV37" s="267"/>
      <c r="BW37" s="267"/>
      <c r="BX37" s="267"/>
      <c r="BY37" s="267"/>
      <c r="BZ37" s="267">
        <f>BU37</f>
        <v>0.15</v>
      </c>
      <c r="CE37" s="267">
        <f>BZ37</f>
        <v>0.15</v>
      </c>
      <c r="CJ37" s="267">
        <f>CE37</f>
        <v>0.15</v>
      </c>
    </row>
    <row r="38" spans="2:90">
      <c r="B38" s="173" t="s">
        <v>719</v>
      </c>
      <c r="C38" s="225"/>
      <c r="D38" s="435"/>
      <c r="E38" s="435"/>
      <c r="F38" s="435"/>
      <c r="G38" s="435"/>
      <c r="H38" s="225">
        <f>H34-H36</f>
        <v>-9</v>
      </c>
      <c r="I38" s="599">
        <f t="shared" ref="I38:L38" si="55">I34-I36</f>
        <v>-22.405000000000001</v>
      </c>
      <c r="J38" s="599">
        <f t="shared" si="55"/>
        <v>-46.313000000000002</v>
      </c>
      <c r="K38" s="599">
        <f t="shared" si="55"/>
        <v>-74.864999999999995</v>
      </c>
      <c r="L38" s="599">
        <f t="shared" si="55"/>
        <v>-96.459000000000003</v>
      </c>
      <c r="M38" s="276">
        <f>M34-M36</f>
        <v>-240.042</v>
      </c>
      <c r="N38" s="533">
        <f t="shared" ref="N38:AA38" si="56">N34-N36</f>
        <v>-99.421999999999997</v>
      </c>
      <c r="O38" s="533">
        <f t="shared" si="56"/>
        <v>-122.107</v>
      </c>
      <c r="P38" s="533">
        <f t="shared" si="56"/>
        <v>-112.001</v>
      </c>
      <c r="Q38" s="533">
        <f t="shared" si="56"/>
        <v>-125.52800000000001</v>
      </c>
      <c r="R38" s="225">
        <f>R34-R36</f>
        <v>-459.05799999999999</v>
      </c>
      <c r="S38" s="533">
        <f t="shared" si="56"/>
        <v>-108.402</v>
      </c>
      <c r="T38" s="533">
        <f t="shared" si="56"/>
        <v>-112.86625000000001</v>
      </c>
      <c r="U38" s="533">
        <f t="shared" si="56"/>
        <v>-102.61269999999999</v>
      </c>
      <c r="V38" s="533">
        <f t="shared" si="56"/>
        <v>-132.18556521739134</v>
      </c>
      <c r="W38" s="225">
        <f>W34-W36</f>
        <v>-456.06651521739138</v>
      </c>
      <c r="X38" s="533">
        <f t="shared" si="56"/>
        <v>-80.248596458118953</v>
      </c>
      <c r="Y38" s="533">
        <f t="shared" si="56"/>
        <v>-82.497478206287255</v>
      </c>
      <c r="Z38" s="533">
        <f t="shared" si="56"/>
        <v>-84.471695736363088</v>
      </c>
      <c r="AA38" s="533">
        <f t="shared" si="56"/>
        <v>-111.18914207992101</v>
      </c>
      <c r="AB38" s="225">
        <f>AB34-AB36</f>
        <v>-358.40691248069027</v>
      </c>
      <c r="AC38" s="603"/>
      <c r="AD38" s="603"/>
      <c r="AE38" s="603"/>
      <c r="AF38" s="603"/>
      <c r="AG38" s="225">
        <f>AG34-AG36</f>
        <v>-307.91175241016049</v>
      </c>
      <c r="AH38" s="603"/>
      <c r="AI38" s="603"/>
      <c r="AJ38" s="603"/>
      <c r="AK38" s="603"/>
      <c r="AL38" s="225">
        <f>AL34-AL36</f>
        <v>-146.7270532910226</v>
      </c>
      <c r="AM38" s="435"/>
      <c r="AN38" s="435"/>
      <c r="AO38" s="435"/>
      <c r="AP38" s="435"/>
      <c r="AQ38" s="225">
        <f>AQ34-AQ36</f>
        <v>-99.98683220600077</v>
      </c>
      <c r="AR38" s="435"/>
      <c r="AS38" s="435"/>
      <c r="AT38" s="435"/>
      <c r="AU38" s="435"/>
      <c r="AV38" s="225">
        <f>AV34-AV36</f>
        <v>-68.056939244747639</v>
      </c>
      <c r="AW38" s="435"/>
      <c r="AX38" s="435"/>
      <c r="AY38" s="435"/>
      <c r="AZ38" s="435"/>
      <c r="BA38" s="225">
        <f>BA34-BA36</f>
        <v>-47.925710275984116</v>
      </c>
      <c r="BB38" s="435"/>
      <c r="BC38" s="435"/>
      <c r="BD38" s="435"/>
      <c r="BE38" s="435"/>
      <c r="BF38" s="225">
        <f>BF34-BF36</f>
        <v>-33.004414648718125</v>
      </c>
      <c r="BG38" s="435"/>
      <c r="BH38" s="435"/>
      <c r="BI38" s="435"/>
      <c r="BJ38" s="435"/>
      <c r="BK38" s="225">
        <f>BK34-BK36</f>
        <v>-23.650883137610187</v>
      </c>
      <c r="BL38" s="435"/>
      <c r="BM38" s="435"/>
      <c r="BN38" s="435"/>
      <c r="BO38" s="435"/>
      <c r="BP38" s="225">
        <f>BP34-BP36</f>
        <v>-17.604561827735605</v>
      </c>
      <c r="BQ38" s="225"/>
      <c r="BR38" s="225"/>
      <c r="BS38" s="225"/>
      <c r="BT38" s="225"/>
      <c r="BU38" s="445">
        <f>BU34-BU36</f>
        <v>-12.821565089960156</v>
      </c>
      <c r="BV38" s="1004"/>
      <c r="BW38" s="1004"/>
      <c r="BX38" s="1004"/>
      <c r="BY38" s="1004"/>
      <c r="BZ38" s="445">
        <f>BZ34-BZ36</f>
        <v>-7.8684788992987116</v>
      </c>
      <c r="CE38" s="445">
        <f>CE34-CE36</f>
        <v>-2.7395355833959307</v>
      </c>
      <c r="CJ38" s="445">
        <f>CJ34-CJ36</f>
        <v>-0.42332173871130863</v>
      </c>
    </row>
    <row r="39" spans="2:90">
      <c r="D39" s="427"/>
      <c r="E39" s="427"/>
      <c r="F39" s="427"/>
      <c r="G39" s="427"/>
      <c r="I39" s="427"/>
      <c r="J39" s="427"/>
      <c r="K39" s="427"/>
      <c r="L39" s="427"/>
      <c r="M39" s="178"/>
      <c r="N39" s="427"/>
      <c r="O39" s="427"/>
      <c r="P39" s="427"/>
      <c r="Q39" s="427"/>
      <c r="S39" s="427"/>
      <c r="T39" s="427"/>
      <c r="U39" s="427"/>
      <c r="V39" s="427"/>
      <c r="X39" s="427"/>
      <c r="Y39" s="427"/>
      <c r="Z39" s="427"/>
      <c r="AA39" s="427"/>
      <c r="AC39" s="427"/>
      <c r="AD39" s="427"/>
      <c r="AE39" s="427"/>
      <c r="AF39" s="427"/>
      <c r="AH39" s="427"/>
      <c r="AI39" s="427"/>
      <c r="AJ39" s="427"/>
      <c r="AK39" s="427"/>
      <c r="AM39" s="427"/>
      <c r="AN39" s="427"/>
      <c r="AO39" s="427"/>
      <c r="AP39" s="427"/>
      <c r="AR39" s="427"/>
      <c r="AS39" s="427"/>
      <c r="AT39" s="427"/>
      <c r="AU39" s="427"/>
      <c r="AW39" s="427"/>
      <c r="AX39" s="427"/>
      <c r="AY39" s="427"/>
      <c r="AZ39" s="427"/>
      <c r="BB39" s="427"/>
      <c r="BC39" s="427"/>
      <c r="BD39" s="427"/>
      <c r="BE39" s="427"/>
      <c r="BG39" s="427"/>
      <c r="BH39" s="427"/>
      <c r="BI39" s="427"/>
      <c r="BJ39" s="427"/>
      <c r="BL39" s="427"/>
      <c r="BM39" s="427"/>
      <c r="BN39" s="427"/>
      <c r="BO39" s="427"/>
    </row>
    <row r="40" spans="2:90" outlineLevel="1">
      <c r="B40" s="125" t="s">
        <v>707</v>
      </c>
      <c r="D40" s="427"/>
      <c r="E40" s="427"/>
      <c r="F40" s="427"/>
      <c r="G40" s="427"/>
      <c r="I40" s="427"/>
      <c r="J40" s="427"/>
      <c r="K40" s="427"/>
      <c r="L40" s="427"/>
      <c r="N40" s="427"/>
      <c r="O40" s="427"/>
      <c r="P40" s="427"/>
      <c r="Q40" s="427"/>
      <c r="S40" s="427"/>
      <c r="T40" s="427"/>
      <c r="U40" s="427"/>
      <c r="V40" s="427"/>
      <c r="X40" s="427"/>
      <c r="Y40" s="427"/>
      <c r="Z40" s="427"/>
      <c r="AA40" s="427"/>
      <c r="AC40" s="427"/>
      <c r="AD40" s="427"/>
      <c r="AE40" s="427"/>
      <c r="AF40" s="427"/>
      <c r="AH40" s="427"/>
      <c r="AI40" s="427"/>
      <c r="AJ40" s="427"/>
      <c r="AK40" s="427"/>
      <c r="AM40" s="427"/>
      <c r="AN40" s="427"/>
      <c r="AO40" s="427"/>
      <c r="AP40" s="427"/>
      <c r="AR40" s="427"/>
      <c r="AS40" s="427"/>
      <c r="AT40" s="427"/>
      <c r="AU40" s="427"/>
      <c r="AW40" s="427"/>
      <c r="AX40" s="427"/>
      <c r="AY40" s="427"/>
      <c r="AZ40" s="427"/>
      <c r="BB40" s="427"/>
      <c r="BC40" s="427"/>
      <c r="BD40" s="427"/>
      <c r="BE40" s="427"/>
      <c r="BG40" s="427"/>
      <c r="BH40" s="427"/>
      <c r="BI40" s="427"/>
      <c r="BJ40" s="427"/>
      <c r="BL40" s="427"/>
      <c r="BM40" s="427"/>
      <c r="BN40" s="427"/>
      <c r="BO40" s="427"/>
    </row>
    <row r="41" spans="2:90" outlineLevel="1">
      <c r="B41" s="125" t="s">
        <v>708</v>
      </c>
      <c r="D41" s="427"/>
      <c r="E41" s="427"/>
      <c r="F41" s="427"/>
      <c r="G41" s="427"/>
      <c r="I41" s="427"/>
      <c r="J41" s="427"/>
      <c r="K41" s="427"/>
      <c r="L41" s="427"/>
      <c r="M41" s="125">
        <v>800</v>
      </c>
      <c r="N41" s="427"/>
      <c r="O41" s="427"/>
      <c r="P41" s="427"/>
      <c r="Q41" s="427"/>
      <c r="R41" s="125">
        <v>1000</v>
      </c>
      <c r="S41" s="427"/>
      <c r="T41" s="427"/>
      <c r="U41" s="427"/>
      <c r="V41" s="427"/>
      <c r="W41" s="125">
        <v>1000</v>
      </c>
      <c r="X41" s="427"/>
      <c r="Y41" s="427"/>
      <c r="Z41" s="427"/>
      <c r="AA41" s="427"/>
      <c r="AC41" s="427"/>
      <c r="AD41" s="427"/>
      <c r="AE41" s="427"/>
      <c r="AF41" s="427"/>
      <c r="AH41" s="427"/>
      <c r="AI41" s="427"/>
      <c r="AJ41" s="427"/>
      <c r="AK41" s="427"/>
      <c r="AM41" s="427"/>
      <c r="AN41" s="427"/>
      <c r="AO41" s="427"/>
      <c r="AP41" s="427"/>
      <c r="AR41" s="427"/>
      <c r="AS41" s="427"/>
      <c r="AT41" s="427"/>
      <c r="AU41" s="427"/>
      <c r="AW41" s="427"/>
      <c r="AX41" s="427"/>
      <c r="AY41" s="427"/>
      <c r="AZ41" s="427"/>
      <c r="BB41" s="427"/>
      <c r="BC41" s="427"/>
      <c r="BD41" s="427"/>
      <c r="BE41" s="427"/>
      <c r="BG41" s="427"/>
      <c r="BH41" s="427"/>
      <c r="BI41" s="427"/>
      <c r="BJ41" s="427"/>
      <c r="BL41" s="427"/>
      <c r="BM41" s="427"/>
      <c r="BN41" s="427"/>
      <c r="BO41" s="427"/>
    </row>
    <row r="42" spans="2:90" outlineLevel="1">
      <c r="B42" s="125" t="s">
        <v>709</v>
      </c>
      <c r="D42" s="427"/>
      <c r="E42" s="427"/>
      <c r="F42" s="427"/>
      <c r="G42" s="427"/>
      <c r="I42" s="427"/>
      <c r="J42" s="427"/>
      <c r="K42" s="427"/>
      <c r="L42" s="427"/>
      <c r="M42" s="125">
        <f>0.8*250</f>
        <v>200</v>
      </c>
      <c r="N42" s="427"/>
      <c r="O42" s="427"/>
      <c r="P42" s="427"/>
      <c r="Q42" s="427"/>
      <c r="R42" s="125">
        <v>220</v>
      </c>
      <c r="S42" s="427"/>
      <c r="T42" s="427"/>
      <c r="U42" s="427"/>
      <c r="V42" s="427"/>
      <c r="W42" s="125">
        <v>230</v>
      </c>
      <c r="X42" s="427"/>
      <c r="Y42" s="427"/>
      <c r="Z42" s="427"/>
      <c r="AA42" s="427"/>
      <c r="AC42" s="427"/>
      <c r="AD42" s="427"/>
      <c r="AE42" s="427"/>
      <c r="AF42" s="427"/>
      <c r="AH42" s="427"/>
      <c r="AI42" s="427"/>
      <c r="AJ42" s="427"/>
      <c r="AK42" s="427"/>
      <c r="AM42" s="427"/>
      <c r="AN42" s="427"/>
      <c r="AO42" s="427"/>
      <c r="AP42" s="427"/>
      <c r="AR42" s="427"/>
      <c r="AS42" s="427"/>
      <c r="AT42" s="427"/>
      <c r="AU42" s="427"/>
      <c r="AW42" s="427"/>
      <c r="AX42" s="427"/>
      <c r="AY42" s="427"/>
      <c r="AZ42" s="427"/>
      <c r="BB42" s="427"/>
      <c r="BC42" s="427"/>
      <c r="BD42" s="427"/>
      <c r="BE42" s="427"/>
      <c r="BG42" s="427"/>
      <c r="BH42" s="427"/>
      <c r="BI42" s="427"/>
      <c r="BJ42" s="427"/>
      <c r="BL42" s="427"/>
      <c r="BM42" s="427"/>
      <c r="BN42" s="427"/>
      <c r="BO42" s="427"/>
    </row>
    <row r="43" spans="2:90" outlineLevel="1">
      <c r="B43" s="125" t="s">
        <v>710</v>
      </c>
      <c r="D43" s="427"/>
      <c r="E43" s="427"/>
      <c r="F43" s="427"/>
      <c r="G43" s="427"/>
      <c r="I43" s="427"/>
      <c r="J43" s="427"/>
      <c r="K43" s="427"/>
      <c r="L43" s="427"/>
      <c r="M43" s="125">
        <f>M42*M41/1000</f>
        <v>160</v>
      </c>
      <c r="N43" s="427"/>
      <c r="O43" s="427"/>
      <c r="P43" s="427"/>
      <c r="Q43" s="427"/>
      <c r="R43" s="125">
        <f>R42*R41/1000</f>
        <v>220</v>
      </c>
      <c r="S43" s="427"/>
      <c r="T43" s="427"/>
      <c r="U43" s="427"/>
      <c r="V43" s="427"/>
      <c r="W43" s="125">
        <f>W42*W41/1000</f>
        <v>230</v>
      </c>
      <c r="X43" s="427"/>
      <c r="Y43" s="427"/>
      <c r="Z43" s="427"/>
      <c r="AA43" s="427"/>
      <c r="AC43" s="427"/>
      <c r="AD43" s="427"/>
      <c r="AE43" s="427"/>
      <c r="AF43" s="427"/>
      <c r="AH43" s="427"/>
      <c r="AI43" s="427"/>
      <c r="AJ43" s="427"/>
      <c r="AK43" s="427"/>
      <c r="AM43" s="427"/>
      <c r="AN43" s="427"/>
      <c r="AO43" s="427"/>
      <c r="AP43" s="427"/>
      <c r="AR43" s="427"/>
      <c r="AS43" s="427"/>
      <c r="AT43" s="427"/>
      <c r="AU43" s="427"/>
      <c r="AW43" s="427"/>
      <c r="AX43" s="427"/>
      <c r="AY43" s="427"/>
      <c r="AZ43" s="427"/>
      <c r="BB43" s="427"/>
      <c r="BC43" s="427"/>
      <c r="BD43" s="427"/>
      <c r="BE43" s="427"/>
      <c r="BG43" s="427"/>
      <c r="BH43" s="427"/>
      <c r="BI43" s="427"/>
      <c r="BJ43" s="427"/>
      <c r="BL43" s="427"/>
      <c r="BM43" s="427"/>
      <c r="BN43" s="427"/>
      <c r="BO43" s="427"/>
    </row>
    <row r="44" spans="2:90" outlineLevel="1">
      <c r="B44" s="125" t="s">
        <v>711</v>
      </c>
      <c r="D44" s="427"/>
      <c r="E44" s="427"/>
      <c r="F44" s="427"/>
      <c r="G44" s="427"/>
      <c r="I44" s="427"/>
      <c r="J44" s="427"/>
      <c r="K44" s="427"/>
      <c r="L44" s="427"/>
      <c r="M44" s="125">
        <v>110</v>
      </c>
      <c r="N44" s="427"/>
      <c r="O44" s="427"/>
      <c r="P44" s="427"/>
      <c r="Q44" s="427"/>
      <c r="R44" s="125">
        <v>175</v>
      </c>
      <c r="S44" s="427"/>
      <c r="T44" s="427"/>
      <c r="U44" s="427"/>
      <c r="V44" s="427"/>
      <c r="W44" s="125">
        <v>125</v>
      </c>
      <c r="X44" s="427"/>
      <c r="Y44" s="427"/>
      <c r="Z44" s="427"/>
      <c r="AA44" s="427"/>
      <c r="AC44" s="427"/>
      <c r="AD44" s="427"/>
      <c r="AE44" s="427"/>
      <c r="AF44" s="427"/>
      <c r="AH44" s="427"/>
      <c r="AI44" s="427"/>
      <c r="AJ44" s="427"/>
      <c r="AK44" s="427"/>
      <c r="AM44" s="427"/>
      <c r="AN44" s="427"/>
      <c r="AO44" s="427"/>
      <c r="AP44" s="427"/>
      <c r="AR44" s="427"/>
      <c r="AS44" s="427"/>
      <c r="AT44" s="427"/>
      <c r="AU44" s="427"/>
      <c r="AW44" s="427"/>
      <c r="AX44" s="427"/>
      <c r="AY44" s="427"/>
      <c r="AZ44" s="427"/>
      <c r="BB44" s="427"/>
      <c r="BC44" s="427"/>
      <c r="BD44" s="427"/>
      <c r="BE44" s="427"/>
      <c r="BG44" s="427"/>
      <c r="BH44" s="427"/>
      <c r="BI44" s="427"/>
      <c r="BJ44" s="427"/>
      <c r="BL44" s="427"/>
      <c r="BM44" s="427"/>
      <c r="BN44" s="427"/>
      <c r="BO44" s="427"/>
    </row>
    <row r="45" spans="2:90" outlineLevel="1">
      <c r="B45" s="125" t="s">
        <v>713</v>
      </c>
      <c r="D45" s="427"/>
      <c r="E45" s="427"/>
      <c r="F45" s="427"/>
      <c r="G45" s="427"/>
      <c r="I45" s="427"/>
      <c r="J45" s="427"/>
      <c r="K45" s="427"/>
      <c r="L45" s="427"/>
      <c r="M45" s="125">
        <v>50</v>
      </c>
      <c r="N45" s="427"/>
      <c r="O45" s="427"/>
      <c r="P45" s="427"/>
      <c r="Q45" s="427"/>
      <c r="R45" s="125">
        <v>75</v>
      </c>
      <c r="S45" s="427"/>
      <c r="T45" s="427"/>
      <c r="U45" s="427"/>
      <c r="V45" s="427"/>
      <c r="W45" s="125">
        <v>75</v>
      </c>
      <c r="X45" s="427"/>
      <c r="Y45" s="427"/>
      <c r="Z45" s="427"/>
      <c r="AA45" s="427"/>
      <c r="AC45" s="427"/>
      <c r="AD45" s="427"/>
      <c r="AE45" s="427"/>
      <c r="AF45" s="427"/>
      <c r="AH45" s="427"/>
      <c r="AI45" s="427"/>
      <c r="AJ45" s="427"/>
      <c r="AK45" s="427"/>
      <c r="AM45" s="427"/>
      <c r="AN45" s="427"/>
      <c r="AO45" s="427"/>
      <c r="AP45" s="427"/>
      <c r="AR45" s="427"/>
      <c r="AS45" s="427"/>
      <c r="AT45" s="427"/>
      <c r="AU45" s="427"/>
      <c r="AW45" s="427"/>
      <c r="AX45" s="427"/>
      <c r="AY45" s="427"/>
      <c r="AZ45" s="427"/>
      <c r="BB45" s="427"/>
      <c r="BC45" s="427"/>
      <c r="BD45" s="427"/>
      <c r="BE45" s="427"/>
      <c r="BG45" s="427"/>
      <c r="BH45" s="427"/>
      <c r="BI45" s="427"/>
      <c r="BJ45" s="427"/>
      <c r="BL45" s="427"/>
      <c r="BM45" s="427"/>
      <c r="BN45" s="427"/>
      <c r="BO45" s="427"/>
    </row>
    <row r="46" spans="2:90" outlineLevel="1">
      <c r="B46" s="173" t="s">
        <v>712</v>
      </c>
      <c r="C46" s="173"/>
      <c r="D46" s="435"/>
      <c r="E46" s="435"/>
      <c r="F46" s="435"/>
      <c r="G46" s="435"/>
      <c r="H46" s="173"/>
      <c r="I46" s="435"/>
      <c r="J46" s="435"/>
      <c r="K46" s="435"/>
      <c r="L46" s="435"/>
      <c r="M46" s="173">
        <f>M45+M44+M43</f>
        <v>320</v>
      </c>
      <c r="N46" s="435"/>
      <c r="O46" s="435"/>
      <c r="P46" s="435"/>
      <c r="Q46" s="435"/>
      <c r="R46" s="173">
        <f>R45+R44+R43</f>
        <v>470</v>
      </c>
      <c r="S46" s="435"/>
      <c r="T46" s="435"/>
      <c r="U46" s="435"/>
      <c r="V46" s="435"/>
      <c r="W46" s="173">
        <f>W45+W44+W43</f>
        <v>430</v>
      </c>
      <c r="X46" s="427"/>
      <c r="Y46" s="427"/>
      <c r="Z46" s="427"/>
      <c r="AA46" s="427"/>
      <c r="AC46" s="427"/>
      <c r="AD46" s="427"/>
      <c r="AE46" s="427"/>
      <c r="AF46" s="427"/>
      <c r="AH46" s="427"/>
      <c r="AI46" s="427"/>
      <c r="AJ46" s="427"/>
      <c r="AK46" s="427"/>
      <c r="AM46" s="427"/>
      <c r="AN46" s="427"/>
      <c r="AO46" s="427"/>
      <c r="AP46" s="427"/>
      <c r="AR46" s="427"/>
      <c r="AS46" s="427"/>
      <c r="AT46" s="427"/>
      <c r="AU46" s="427"/>
      <c r="AW46" s="427"/>
      <c r="AX46" s="427"/>
      <c r="AY46" s="427"/>
      <c r="AZ46" s="427"/>
      <c r="BB46" s="427"/>
      <c r="BC46" s="427"/>
      <c r="BD46" s="427"/>
      <c r="BE46" s="427"/>
      <c r="BG46" s="427"/>
      <c r="BH46" s="427"/>
      <c r="BI46" s="427"/>
      <c r="BJ46" s="427"/>
      <c r="BL46" s="427"/>
      <c r="BM46" s="427"/>
      <c r="BN46" s="427"/>
      <c r="BO46" s="427"/>
    </row>
    <row r="47" spans="2:90" outlineLevel="1">
      <c r="D47" s="427"/>
      <c r="E47" s="427"/>
      <c r="F47" s="427"/>
      <c r="G47" s="427"/>
      <c r="I47" s="427"/>
      <c r="J47" s="427"/>
      <c r="K47" s="427"/>
      <c r="L47" s="427"/>
      <c r="N47" s="427"/>
      <c r="O47" s="427"/>
      <c r="P47" s="427"/>
      <c r="Q47" s="427"/>
      <c r="S47" s="427"/>
      <c r="T47" s="427"/>
      <c r="U47" s="427"/>
      <c r="V47" s="427"/>
      <c r="X47" s="427"/>
      <c r="Y47" s="427"/>
      <c r="Z47" s="427"/>
      <c r="AA47" s="427"/>
      <c r="AC47" s="427"/>
      <c r="AD47" s="427"/>
      <c r="AE47" s="427"/>
      <c r="AF47" s="427"/>
      <c r="AH47" s="427"/>
      <c r="AI47" s="427"/>
      <c r="AJ47" s="427"/>
      <c r="AK47" s="427"/>
      <c r="AM47" s="427"/>
      <c r="AN47" s="427"/>
      <c r="AO47" s="427"/>
      <c r="AP47" s="427"/>
      <c r="AR47" s="427"/>
      <c r="AS47" s="427"/>
      <c r="AT47" s="427"/>
      <c r="AU47" s="427"/>
      <c r="AW47" s="427"/>
      <c r="AX47" s="427"/>
      <c r="AY47" s="427"/>
      <c r="AZ47" s="427"/>
      <c r="BB47" s="427"/>
      <c r="BC47" s="427"/>
      <c r="BD47" s="427"/>
      <c r="BE47" s="427"/>
      <c r="BG47" s="427"/>
      <c r="BH47" s="427"/>
      <c r="BI47" s="427"/>
      <c r="BJ47" s="427"/>
      <c r="BL47" s="427"/>
      <c r="BM47" s="427"/>
      <c r="BN47" s="427"/>
      <c r="BO47" s="427"/>
    </row>
    <row r="48" spans="2:90">
      <c r="B48" s="593" t="s">
        <v>704</v>
      </c>
      <c r="C48" s="594"/>
      <c r="D48" s="594"/>
      <c r="E48" s="594"/>
      <c r="F48" s="594"/>
      <c r="G48" s="594"/>
      <c r="H48" s="594"/>
      <c r="I48" s="594"/>
      <c r="J48" s="594"/>
      <c r="K48" s="594"/>
      <c r="L48" s="594"/>
      <c r="M48" s="594"/>
      <c r="N48" s="594"/>
      <c r="O48" s="594"/>
      <c r="P48" s="594"/>
      <c r="Q48" s="594"/>
      <c r="R48" s="594"/>
      <c r="S48" s="594"/>
      <c r="T48" s="594"/>
      <c r="U48" s="594"/>
      <c r="V48" s="594"/>
      <c r="W48" s="594"/>
      <c r="X48" s="594"/>
      <c r="Y48" s="594"/>
      <c r="Z48" s="594"/>
      <c r="AA48" s="594"/>
      <c r="AB48" s="594"/>
      <c r="AC48" s="594"/>
      <c r="AD48" s="594"/>
      <c r="AE48" s="594"/>
      <c r="AF48" s="594"/>
      <c r="AG48" s="594"/>
      <c r="AH48" s="594"/>
      <c r="AI48" s="594"/>
      <c r="AJ48" s="594"/>
      <c r="AK48" s="594"/>
      <c r="AL48" s="594"/>
      <c r="AM48" s="594"/>
      <c r="AN48" s="594"/>
      <c r="AO48" s="594"/>
      <c r="AP48" s="594"/>
      <c r="AQ48" s="594"/>
      <c r="AR48" s="594"/>
      <c r="AS48" s="594"/>
      <c r="AT48" s="594"/>
      <c r="AU48" s="594"/>
      <c r="AV48" s="594"/>
      <c r="AW48" s="594"/>
      <c r="AX48" s="594"/>
      <c r="AY48" s="594"/>
      <c r="AZ48" s="594"/>
      <c r="BA48" s="594"/>
      <c r="BB48" s="594"/>
      <c r="BC48" s="594"/>
      <c r="BD48" s="594"/>
      <c r="BE48" s="594"/>
      <c r="BF48" s="594"/>
      <c r="BG48" s="594"/>
      <c r="BH48" s="594"/>
      <c r="BI48" s="594"/>
      <c r="BJ48" s="594"/>
      <c r="BK48" s="594"/>
      <c r="BL48" s="594"/>
      <c r="BM48" s="594"/>
      <c r="BN48" s="594"/>
      <c r="BO48" s="594"/>
      <c r="BP48" s="594"/>
      <c r="BQ48" s="996"/>
      <c r="BR48" s="996"/>
      <c r="BS48" s="996"/>
      <c r="BT48" s="996"/>
      <c r="BU48" s="594"/>
      <c r="BZ48" s="594"/>
      <c r="CE48" s="594"/>
      <c r="CJ48" s="594"/>
      <c r="CK48" s="1009" t="s">
        <v>836</v>
      </c>
      <c r="CL48" s="188" t="s">
        <v>839</v>
      </c>
    </row>
    <row r="49" spans="2:88">
      <c r="D49" s="427"/>
      <c r="E49" s="427"/>
      <c r="F49" s="427"/>
      <c r="G49" s="427"/>
      <c r="I49" s="427"/>
      <c r="J49" s="427"/>
      <c r="K49" s="427"/>
      <c r="L49" s="427"/>
      <c r="N49" s="427"/>
      <c r="O49" s="427"/>
      <c r="P49" s="427"/>
      <c r="Q49" s="427"/>
      <c r="S49" s="427"/>
      <c r="T49" s="427"/>
      <c r="U49" s="427"/>
      <c r="V49" s="427"/>
      <c r="X49" s="427"/>
      <c r="Y49" s="427"/>
      <c r="Z49" s="427"/>
      <c r="AA49" s="427"/>
      <c r="AC49" s="427"/>
      <c r="AD49" s="427"/>
      <c r="AE49" s="427"/>
      <c r="AF49" s="427"/>
      <c r="AH49" s="427"/>
      <c r="AI49" s="427"/>
      <c r="AJ49" s="427"/>
      <c r="AK49" s="427"/>
      <c r="AM49" s="427"/>
      <c r="AN49" s="427"/>
      <c r="AO49" s="427"/>
      <c r="AP49" s="427"/>
      <c r="AR49" s="427"/>
      <c r="AS49" s="427"/>
      <c r="AT49" s="427"/>
      <c r="AU49" s="427"/>
      <c r="AW49" s="427"/>
      <c r="AX49" s="427"/>
      <c r="AY49" s="427"/>
      <c r="AZ49" s="427"/>
      <c r="BB49" s="427"/>
      <c r="BC49" s="427"/>
      <c r="BD49" s="427"/>
      <c r="BE49" s="427"/>
      <c r="BG49" s="427"/>
      <c r="BH49" s="427"/>
      <c r="BI49" s="427"/>
      <c r="BJ49" s="427"/>
      <c r="BL49" s="427"/>
      <c r="BM49" s="427"/>
      <c r="BN49" s="427"/>
      <c r="BO49" s="427"/>
    </row>
    <row r="50" spans="2:88" ht="13.5" thickBot="1">
      <c r="B50" s="259" t="s">
        <v>702</v>
      </c>
      <c r="C50" s="261"/>
      <c r="D50" s="595"/>
      <c r="E50" s="595"/>
      <c r="F50" s="595"/>
      <c r="G50" s="595"/>
      <c r="H50" s="261"/>
      <c r="I50" s="595"/>
      <c r="J50" s="595"/>
      <c r="K50" s="595"/>
      <c r="L50" s="595"/>
      <c r="M50" s="261"/>
      <c r="N50" s="595"/>
      <c r="O50" s="595"/>
      <c r="P50" s="595"/>
      <c r="Q50" s="595"/>
      <c r="R50" s="893"/>
      <c r="S50" s="894"/>
      <c r="T50" s="894"/>
      <c r="U50" s="894"/>
      <c r="V50" s="894"/>
      <c r="W50" s="895"/>
      <c r="X50" s="894"/>
      <c r="Y50" s="894"/>
      <c r="Z50" s="894"/>
      <c r="AA50" s="894"/>
      <c r="AB50" s="1007"/>
      <c r="AC50" s="1008"/>
      <c r="AD50" s="1008"/>
      <c r="AE50" s="1008"/>
      <c r="AF50" s="1008"/>
      <c r="AG50" s="1007"/>
      <c r="AH50" s="1008"/>
      <c r="AI50" s="1008"/>
      <c r="AJ50" s="1008"/>
      <c r="AK50" s="1008"/>
      <c r="AL50" s="1007"/>
      <c r="AM50" s="1008"/>
      <c r="AN50" s="1008"/>
      <c r="AO50" s="1008"/>
      <c r="AP50" s="1008"/>
      <c r="AQ50" s="1007"/>
      <c r="AR50" s="1008"/>
      <c r="AS50" s="1008"/>
      <c r="AT50" s="1008"/>
      <c r="AU50" s="1008"/>
      <c r="AV50" s="1007"/>
      <c r="AW50" s="1008"/>
      <c r="AX50" s="1008"/>
      <c r="AY50" s="1008"/>
      <c r="AZ50" s="1008"/>
      <c r="BA50" s="1007"/>
      <c r="BB50" s="1008"/>
      <c r="BC50" s="1008"/>
      <c r="BD50" s="1008"/>
      <c r="BE50" s="1008"/>
      <c r="BF50" s="1007"/>
      <c r="BG50" s="1008"/>
      <c r="BH50" s="1008"/>
      <c r="BI50" s="1008"/>
      <c r="BJ50" s="1008"/>
      <c r="BK50" s="1007"/>
      <c r="BL50" s="1008"/>
      <c r="BM50" s="1008"/>
      <c r="BN50" s="1008"/>
      <c r="BO50" s="1008"/>
      <c r="BP50" s="1007"/>
      <c r="BQ50" s="998"/>
      <c r="BR50" s="998"/>
      <c r="BS50" s="998"/>
      <c r="BT50" s="998"/>
      <c r="BU50" s="1007"/>
      <c r="BV50" s="263"/>
      <c r="BW50" s="263"/>
      <c r="BX50" s="263"/>
      <c r="BY50" s="263"/>
      <c r="BZ50" s="1007"/>
      <c r="CE50" s="1007"/>
      <c r="CJ50" s="1007"/>
    </row>
    <row r="51" spans="2:88">
      <c r="B51" s="125" t="s">
        <v>721</v>
      </c>
      <c r="D51" s="427"/>
      <c r="E51" s="427"/>
      <c r="F51" s="427"/>
      <c r="G51" s="427"/>
      <c r="I51" s="427"/>
      <c r="J51" s="427"/>
      <c r="K51" s="427"/>
      <c r="L51" s="427"/>
      <c r="N51" s="427"/>
      <c r="O51" s="427"/>
      <c r="P51" s="427"/>
      <c r="Q51" s="427"/>
      <c r="S51" s="429">
        <v>0</v>
      </c>
      <c r="T51" s="885">
        <v>0.8</v>
      </c>
      <c r="U51" s="885">
        <v>2.34</v>
      </c>
      <c r="V51" s="885">
        <v>8.2782608695652193</v>
      </c>
      <c r="W51" s="222">
        <f>SUM(S51:V51)</f>
        <v>11.41826086956522</v>
      </c>
      <c r="X51" s="513">
        <v>30</v>
      </c>
      <c r="Y51" s="513">
        <f>X51*1.025</f>
        <v>30.749999999999996</v>
      </c>
      <c r="Z51" s="513">
        <f>Y51*1.025</f>
        <v>31.518749999999994</v>
      </c>
      <c r="AA51" s="513">
        <f>AB51-SUM(X51:Z51)</f>
        <v>32.731250000000003</v>
      </c>
      <c r="AB51" s="125">
        <v>125</v>
      </c>
      <c r="AC51" s="427"/>
      <c r="AD51" s="427"/>
      <c r="AE51" s="427"/>
      <c r="AF51" s="427"/>
      <c r="AG51" s="125">
        <v>185</v>
      </c>
      <c r="AH51" s="427"/>
      <c r="AI51" s="427"/>
      <c r="AJ51" s="427"/>
      <c r="AK51" s="427"/>
      <c r="AL51" s="125">
        <v>245</v>
      </c>
      <c r="AM51" s="427"/>
      <c r="AN51" s="427"/>
      <c r="AO51" s="427"/>
      <c r="AP51" s="427"/>
      <c r="AQ51" s="125">
        <v>300</v>
      </c>
      <c r="AR51" s="427"/>
      <c r="AS51" s="427"/>
      <c r="AT51" s="427"/>
      <c r="AU51" s="427"/>
      <c r="AV51" s="125">
        <v>350</v>
      </c>
      <c r="AW51" s="427"/>
      <c r="AX51" s="427"/>
      <c r="AY51" s="427"/>
      <c r="AZ51" s="427"/>
      <c r="BA51" s="125">
        <v>400</v>
      </c>
      <c r="BB51" s="427"/>
      <c r="BC51" s="427"/>
      <c r="BD51" s="427"/>
      <c r="BE51" s="427"/>
      <c r="BF51" s="125">
        <v>450</v>
      </c>
      <c r="BG51" s="427"/>
      <c r="BH51" s="427"/>
      <c r="BI51" s="427"/>
      <c r="BJ51" s="427"/>
      <c r="BK51" s="125">
        <v>500</v>
      </c>
      <c r="BP51" s="125">
        <v>550</v>
      </c>
      <c r="BU51" s="125">
        <f>BP51*1.1</f>
        <v>605</v>
      </c>
      <c r="BZ51" s="222">
        <f>BU51*1.075</f>
        <v>650.375</v>
      </c>
      <c r="CE51" s="222">
        <f>BZ51*1.025</f>
        <v>666.63437499999998</v>
      </c>
      <c r="CJ51" s="222">
        <f>CE51*1.015</f>
        <v>676.63389062499994</v>
      </c>
    </row>
    <row r="52" spans="2:88">
      <c r="B52" s="176"/>
      <c r="D52" s="427"/>
      <c r="E52" s="427"/>
      <c r="F52" s="427"/>
      <c r="G52" s="427"/>
      <c r="I52" s="427"/>
      <c r="J52" s="427"/>
      <c r="K52" s="427"/>
      <c r="L52" s="427"/>
      <c r="N52" s="427"/>
      <c r="O52" s="427"/>
      <c r="P52" s="427"/>
      <c r="Q52" s="427"/>
      <c r="S52" s="427"/>
      <c r="T52" s="427"/>
      <c r="U52" s="427"/>
      <c r="V52" s="427"/>
      <c r="X52" s="427"/>
      <c r="Y52" s="427"/>
      <c r="Z52" s="427"/>
      <c r="AA52" s="427"/>
      <c r="AC52" s="427"/>
      <c r="AD52" s="427"/>
      <c r="AE52" s="427"/>
      <c r="AF52" s="427"/>
      <c r="AH52" s="427"/>
      <c r="AI52" s="427"/>
      <c r="AJ52" s="427"/>
      <c r="AK52" s="427"/>
      <c r="AM52" s="427"/>
      <c r="AN52" s="427"/>
      <c r="AO52" s="427"/>
      <c r="AP52" s="427"/>
      <c r="AR52" s="427"/>
      <c r="AS52" s="427"/>
      <c r="AT52" s="427"/>
      <c r="AU52" s="427"/>
      <c r="AW52" s="427"/>
      <c r="AX52" s="427"/>
      <c r="AY52" s="427"/>
      <c r="AZ52" s="427"/>
      <c r="BB52" s="427"/>
      <c r="BC52" s="427"/>
      <c r="BD52" s="427"/>
      <c r="BE52" s="427"/>
      <c r="BG52" s="427"/>
      <c r="BH52" s="427"/>
      <c r="BI52" s="427"/>
      <c r="BJ52" s="427"/>
    </row>
    <row r="53" spans="2:88" s="188" customFormat="1">
      <c r="B53" s="266" t="s">
        <v>647</v>
      </c>
      <c r="D53" s="515"/>
      <c r="E53" s="515"/>
      <c r="F53" s="515"/>
      <c r="G53" s="515"/>
      <c r="I53" s="515"/>
      <c r="J53" s="515"/>
      <c r="K53" s="515"/>
      <c r="L53" s="515"/>
      <c r="M53" s="517"/>
      <c r="N53" s="515"/>
      <c r="O53" s="515"/>
      <c r="P53" s="515"/>
      <c r="Q53" s="516"/>
      <c r="R53" s="811"/>
      <c r="S53" s="516">
        <f>W53</f>
        <v>0.1</v>
      </c>
      <c r="T53" s="516">
        <f>S53</f>
        <v>0.1</v>
      </c>
      <c r="U53" s="813">
        <f t="shared" ref="U53:V53" si="57">T53</f>
        <v>0.1</v>
      </c>
      <c r="V53" s="813">
        <f t="shared" si="57"/>
        <v>0.1</v>
      </c>
      <c r="W53" s="811">
        <v>0.1</v>
      </c>
      <c r="X53" s="516">
        <f>AB53</f>
        <v>0.1</v>
      </c>
      <c r="Y53" s="516">
        <f>X53</f>
        <v>0.1</v>
      </c>
      <c r="Z53" s="813">
        <f t="shared" ref="Z53:AA53" si="58">Y53</f>
        <v>0.1</v>
      </c>
      <c r="AA53" s="813">
        <f t="shared" si="58"/>
        <v>0.1</v>
      </c>
      <c r="AB53" s="208">
        <f>W53</f>
        <v>0.1</v>
      </c>
      <c r="AC53" s="515"/>
      <c r="AD53" s="515"/>
      <c r="AE53" s="515"/>
      <c r="AF53" s="515"/>
      <c r="AG53" s="208">
        <f>AB53</f>
        <v>0.1</v>
      </c>
      <c r="AH53" s="515"/>
      <c r="AI53" s="515"/>
      <c r="AJ53" s="515"/>
      <c r="AK53" s="515"/>
      <c r="AL53" s="208">
        <f>AG53</f>
        <v>0.1</v>
      </c>
      <c r="AM53" s="515"/>
      <c r="AN53" s="515"/>
      <c r="AO53" s="515"/>
      <c r="AP53" s="515"/>
      <c r="AQ53" s="208">
        <f>AL53</f>
        <v>0.1</v>
      </c>
      <c r="AR53" s="515"/>
      <c r="AS53" s="515"/>
      <c r="AT53" s="515"/>
      <c r="AU53" s="515"/>
      <c r="AV53" s="208">
        <f>AQ53</f>
        <v>0.1</v>
      </c>
      <c r="AW53" s="515"/>
      <c r="AX53" s="515"/>
      <c r="AY53" s="515"/>
      <c r="AZ53" s="515"/>
      <c r="BA53" s="208">
        <f>AV53</f>
        <v>0.1</v>
      </c>
      <c r="BB53" s="515"/>
      <c r="BC53" s="515"/>
      <c r="BD53" s="515"/>
      <c r="BE53" s="515"/>
      <c r="BF53" s="208">
        <f>BA53</f>
        <v>0.1</v>
      </c>
      <c r="BG53" s="515"/>
      <c r="BH53" s="515"/>
      <c r="BI53" s="515"/>
      <c r="BJ53" s="515"/>
      <c r="BK53" s="208">
        <f>BF53</f>
        <v>0.1</v>
      </c>
      <c r="BP53" s="208">
        <f>BK53</f>
        <v>0.1</v>
      </c>
      <c r="BQ53" s="208"/>
      <c r="BR53" s="208"/>
      <c r="BS53" s="208"/>
      <c r="BT53" s="208"/>
      <c r="BU53" s="208">
        <f t="shared" ref="BU53:CJ53" si="59">BP53</f>
        <v>0.1</v>
      </c>
      <c r="BV53" s="208">
        <f t="shared" si="59"/>
        <v>0</v>
      </c>
      <c r="BW53" s="208">
        <f t="shared" si="59"/>
        <v>0</v>
      </c>
      <c r="BX53" s="208">
        <f t="shared" si="59"/>
        <v>0</v>
      </c>
      <c r="BY53" s="208">
        <f t="shared" si="59"/>
        <v>0</v>
      </c>
      <c r="BZ53" s="208">
        <f t="shared" si="59"/>
        <v>0.1</v>
      </c>
      <c r="CA53" s="208">
        <f t="shared" si="59"/>
        <v>0</v>
      </c>
      <c r="CB53" s="208">
        <f t="shared" si="59"/>
        <v>0</v>
      </c>
      <c r="CC53" s="208">
        <f t="shared" si="59"/>
        <v>0</v>
      </c>
      <c r="CD53" s="208">
        <f t="shared" si="59"/>
        <v>0</v>
      </c>
      <c r="CE53" s="208">
        <f t="shared" si="59"/>
        <v>0.1</v>
      </c>
      <c r="CF53" s="208">
        <f t="shared" si="59"/>
        <v>0</v>
      </c>
      <c r="CG53" s="208">
        <f t="shared" si="59"/>
        <v>0</v>
      </c>
      <c r="CH53" s="208">
        <f t="shared" si="59"/>
        <v>0</v>
      </c>
      <c r="CI53" s="208">
        <f t="shared" si="59"/>
        <v>0</v>
      </c>
      <c r="CJ53" s="208">
        <f t="shared" si="59"/>
        <v>0.1</v>
      </c>
    </row>
    <row r="54" spans="2:88">
      <c r="B54" s="176" t="s">
        <v>6</v>
      </c>
      <c r="D54" s="427"/>
      <c r="E54" s="427"/>
      <c r="F54" s="427"/>
      <c r="G54" s="427"/>
      <c r="I54" s="427"/>
      <c r="J54" s="427"/>
      <c r="K54" s="427"/>
      <c r="L54" s="427"/>
      <c r="N54" s="427"/>
      <c r="O54" s="427"/>
      <c r="P54" s="427"/>
      <c r="Q54" s="521"/>
      <c r="R54" s="222"/>
      <c r="S54" s="427">
        <f t="shared" ref="S54:AA54" si="60">S53*S51</f>
        <v>0</v>
      </c>
      <c r="T54" s="521">
        <f t="shared" si="60"/>
        <v>8.0000000000000016E-2</v>
      </c>
      <c r="U54" s="521">
        <f t="shared" si="60"/>
        <v>0.23399999999999999</v>
      </c>
      <c r="V54" s="521">
        <f t="shared" si="60"/>
        <v>0.82782608695652193</v>
      </c>
      <c r="W54" s="222">
        <f>W53*W51</f>
        <v>1.141826086956522</v>
      </c>
      <c r="X54" s="513">
        <f t="shared" si="60"/>
        <v>3</v>
      </c>
      <c r="Y54" s="513">
        <f t="shared" si="60"/>
        <v>3.0749999999999997</v>
      </c>
      <c r="Z54" s="513">
        <f t="shared" si="60"/>
        <v>3.1518749999999995</v>
      </c>
      <c r="AA54" s="513">
        <f t="shared" si="60"/>
        <v>3.2731250000000003</v>
      </c>
      <c r="AB54" s="222">
        <f>AB53*AB51</f>
        <v>12.5</v>
      </c>
      <c r="AC54" s="427"/>
      <c r="AD54" s="427"/>
      <c r="AE54" s="427"/>
      <c r="AF54" s="427"/>
      <c r="AG54" s="222">
        <f>AG53*AG51</f>
        <v>18.5</v>
      </c>
      <c r="AH54" s="427"/>
      <c r="AI54" s="427"/>
      <c r="AJ54" s="427"/>
      <c r="AK54" s="427"/>
      <c r="AL54" s="222">
        <f>AL53*AL51</f>
        <v>24.5</v>
      </c>
      <c r="AM54" s="427"/>
      <c r="AN54" s="427"/>
      <c r="AO54" s="427"/>
      <c r="AP54" s="427"/>
      <c r="AQ54" s="222">
        <f>AQ53*AQ51</f>
        <v>30</v>
      </c>
      <c r="AR54" s="427"/>
      <c r="AS54" s="427"/>
      <c r="AT54" s="427"/>
      <c r="AU54" s="427"/>
      <c r="AV54" s="222">
        <f>AV53*AV51</f>
        <v>35</v>
      </c>
      <c r="AW54" s="427"/>
      <c r="AX54" s="427"/>
      <c r="AY54" s="427"/>
      <c r="AZ54" s="427"/>
      <c r="BA54" s="222">
        <f>BA53*BA51</f>
        <v>40</v>
      </c>
      <c r="BB54" s="427"/>
      <c r="BC54" s="427"/>
      <c r="BD54" s="427"/>
      <c r="BE54" s="427"/>
      <c r="BF54" s="222">
        <f>BF53*BF51</f>
        <v>45</v>
      </c>
      <c r="BG54" s="427"/>
      <c r="BH54" s="427"/>
      <c r="BI54" s="427"/>
      <c r="BJ54" s="427"/>
      <c r="BK54" s="222">
        <f>BK53*BK51</f>
        <v>50</v>
      </c>
      <c r="BP54" s="222">
        <f>BP53*BP51</f>
        <v>55</v>
      </c>
      <c r="BQ54" s="222"/>
      <c r="BR54" s="222"/>
      <c r="BS54" s="222"/>
      <c r="BT54" s="222"/>
      <c r="BU54" s="222">
        <f t="shared" ref="BU54:CJ54" si="61">BU53*BU51</f>
        <v>60.5</v>
      </c>
      <c r="BV54" s="222">
        <f t="shared" si="61"/>
        <v>0</v>
      </c>
      <c r="BW54" s="222">
        <f t="shared" si="61"/>
        <v>0</v>
      </c>
      <c r="BX54" s="222">
        <f t="shared" si="61"/>
        <v>0</v>
      </c>
      <c r="BY54" s="222">
        <f t="shared" si="61"/>
        <v>0</v>
      </c>
      <c r="BZ54" s="222">
        <f t="shared" si="61"/>
        <v>65.037500000000009</v>
      </c>
      <c r="CA54" s="222">
        <f t="shared" si="61"/>
        <v>0</v>
      </c>
      <c r="CB54" s="222">
        <f t="shared" si="61"/>
        <v>0</v>
      </c>
      <c r="CC54" s="222">
        <f t="shared" si="61"/>
        <v>0</v>
      </c>
      <c r="CD54" s="222">
        <f t="shared" si="61"/>
        <v>0</v>
      </c>
      <c r="CE54" s="222">
        <f t="shared" si="61"/>
        <v>66.663437500000001</v>
      </c>
      <c r="CF54" s="222">
        <f t="shared" si="61"/>
        <v>0</v>
      </c>
      <c r="CG54" s="222">
        <f t="shared" si="61"/>
        <v>0</v>
      </c>
      <c r="CH54" s="222">
        <f t="shared" si="61"/>
        <v>0</v>
      </c>
      <c r="CI54" s="222">
        <f t="shared" si="61"/>
        <v>0</v>
      </c>
      <c r="CJ54" s="222">
        <f t="shared" si="61"/>
        <v>67.663389062500002</v>
      </c>
    </row>
    <row r="55" spans="2:88">
      <c r="B55" s="176" t="s">
        <v>216</v>
      </c>
      <c r="D55" s="427"/>
      <c r="E55" s="427"/>
      <c r="F55" s="427"/>
      <c r="G55" s="427"/>
      <c r="I55" s="427"/>
      <c r="J55" s="427"/>
      <c r="K55" s="427"/>
      <c r="L55" s="427"/>
      <c r="N55" s="427"/>
      <c r="O55" s="427"/>
      <c r="P55" s="427"/>
      <c r="Q55" s="521"/>
      <c r="R55" s="222"/>
      <c r="S55" s="427">
        <v>0</v>
      </c>
      <c r="T55" s="521">
        <f>W55*(1/6)</f>
        <v>6.6666666666666661</v>
      </c>
      <c r="U55" s="521">
        <f>W55*(2/6)</f>
        <v>13.333333333333332</v>
      </c>
      <c r="V55" s="427">
        <f>W55*(3/6)</f>
        <v>20</v>
      </c>
      <c r="W55" s="222">
        <v>40</v>
      </c>
      <c r="X55" s="513">
        <v>12</v>
      </c>
      <c r="Y55" s="427">
        <f>X55*1.05</f>
        <v>12.600000000000001</v>
      </c>
      <c r="Z55" s="513">
        <f>Y55*1.05</f>
        <v>13.230000000000002</v>
      </c>
      <c r="AA55" s="513">
        <f>AB55-SUM(X55:Z55)</f>
        <v>12.169999999999995</v>
      </c>
      <c r="AB55" s="222">
        <v>50</v>
      </c>
      <c r="AC55" s="427"/>
      <c r="AD55" s="427"/>
      <c r="AE55" s="427"/>
      <c r="AF55" s="427"/>
      <c r="AG55" s="222">
        <v>75</v>
      </c>
      <c r="AH55" s="427"/>
      <c r="AI55" s="427"/>
      <c r="AJ55" s="427"/>
      <c r="AK55" s="427"/>
      <c r="AL55" s="222">
        <f>AG55*1.05</f>
        <v>78.75</v>
      </c>
      <c r="AM55" s="427"/>
      <c r="AN55" s="427"/>
      <c r="AO55" s="427"/>
      <c r="AP55" s="427"/>
      <c r="AQ55" s="222">
        <f t="shared" ref="AQ55:BP55" si="62">AL55*1.05</f>
        <v>82.6875</v>
      </c>
      <c r="AR55" s="427">
        <f t="shared" si="62"/>
        <v>0</v>
      </c>
      <c r="AS55" s="427">
        <f t="shared" si="62"/>
        <v>0</v>
      </c>
      <c r="AT55" s="427">
        <f t="shared" si="62"/>
        <v>0</v>
      </c>
      <c r="AU55" s="427">
        <f t="shared" si="62"/>
        <v>0</v>
      </c>
      <c r="AV55" s="222">
        <f t="shared" si="62"/>
        <v>86.821875000000006</v>
      </c>
      <c r="AW55" s="427">
        <f t="shared" si="62"/>
        <v>0</v>
      </c>
      <c r="AX55" s="427">
        <f t="shared" si="62"/>
        <v>0</v>
      </c>
      <c r="AY55" s="427">
        <f t="shared" si="62"/>
        <v>0</v>
      </c>
      <c r="AZ55" s="427">
        <f t="shared" si="62"/>
        <v>0</v>
      </c>
      <c r="BA55" s="222">
        <f t="shared" si="62"/>
        <v>91.162968750000005</v>
      </c>
      <c r="BB55" s="427">
        <f t="shared" si="62"/>
        <v>0</v>
      </c>
      <c r="BC55" s="427">
        <f t="shared" si="62"/>
        <v>0</v>
      </c>
      <c r="BD55" s="427">
        <f t="shared" si="62"/>
        <v>0</v>
      </c>
      <c r="BE55" s="427">
        <f t="shared" si="62"/>
        <v>0</v>
      </c>
      <c r="BF55" s="222">
        <f t="shared" si="62"/>
        <v>95.721117187500013</v>
      </c>
      <c r="BG55" s="427">
        <f t="shared" si="62"/>
        <v>0</v>
      </c>
      <c r="BH55" s="427">
        <f t="shared" si="62"/>
        <v>0</v>
      </c>
      <c r="BI55" s="427">
        <f t="shared" si="62"/>
        <v>0</v>
      </c>
      <c r="BJ55" s="427">
        <f t="shared" si="62"/>
        <v>0</v>
      </c>
      <c r="BK55" s="222">
        <f t="shared" si="62"/>
        <v>100.50717304687502</v>
      </c>
      <c r="BL55" s="125">
        <f t="shared" si="62"/>
        <v>0</v>
      </c>
      <c r="BM55" s="125">
        <f t="shared" si="62"/>
        <v>0</v>
      </c>
      <c r="BN55" s="125">
        <f t="shared" si="62"/>
        <v>0</v>
      </c>
      <c r="BO55" s="125">
        <f t="shared" si="62"/>
        <v>0</v>
      </c>
      <c r="BP55" s="222">
        <f t="shared" si="62"/>
        <v>105.53253169921878</v>
      </c>
      <c r="BQ55" s="222"/>
      <c r="BR55" s="222"/>
      <c r="BS55" s="222"/>
      <c r="BT55" s="222"/>
      <c r="BU55" s="222">
        <f t="shared" ref="BU55" si="63">BP55*1.05</f>
        <v>110.80915828417972</v>
      </c>
      <c r="BZ55" s="222">
        <f>BU55*1.025</f>
        <v>113.57938724128419</v>
      </c>
      <c r="CE55" s="222">
        <f>BZ55*1.015</f>
        <v>115.28307804990345</v>
      </c>
      <c r="CJ55" s="222">
        <f>CE55</f>
        <v>115.28307804990345</v>
      </c>
    </row>
    <row r="56" spans="2:88">
      <c r="B56" s="176" t="s">
        <v>217</v>
      </c>
      <c r="D56" s="427"/>
      <c r="E56" s="427"/>
      <c r="F56" s="427"/>
      <c r="G56" s="427"/>
      <c r="I56" s="427"/>
      <c r="J56" s="427"/>
      <c r="K56" s="427"/>
      <c r="L56" s="427"/>
      <c r="N56" s="427"/>
      <c r="O56" s="427"/>
      <c r="P56" s="427"/>
      <c r="Q56" s="521"/>
      <c r="R56" s="222"/>
      <c r="S56" s="427">
        <f t="shared" ref="S56:AA56" si="64">S51-S54-S55</f>
        <v>0</v>
      </c>
      <c r="T56" s="521">
        <f t="shared" si="64"/>
        <v>-5.9466666666666663</v>
      </c>
      <c r="U56" s="521">
        <f t="shared" si="64"/>
        <v>-11.227333333333332</v>
      </c>
      <c r="V56" s="521">
        <f t="shared" si="64"/>
        <v>-12.549565217391303</v>
      </c>
      <c r="W56" s="222">
        <f>W51-W54-W55</f>
        <v>-29.723565217391304</v>
      </c>
      <c r="X56" s="513">
        <f t="shared" si="64"/>
        <v>15</v>
      </c>
      <c r="Y56" s="513">
        <f t="shared" si="64"/>
        <v>15.074999999999996</v>
      </c>
      <c r="Z56" s="513">
        <f t="shared" si="64"/>
        <v>15.136874999999991</v>
      </c>
      <c r="AA56" s="513">
        <f t="shared" si="64"/>
        <v>17.288125000000008</v>
      </c>
      <c r="AB56" s="222">
        <f>AB51-AB54-AB55</f>
        <v>62.5</v>
      </c>
      <c r="AC56" s="427"/>
      <c r="AD56" s="427"/>
      <c r="AE56" s="427"/>
      <c r="AF56" s="427"/>
      <c r="AG56" s="222">
        <f>AG51-AG54-AG55</f>
        <v>91.5</v>
      </c>
      <c r="AH56" s="427"/>
      <c r="AI56" s="427"/>
      <c r="AJ56" s="427"/>
      <c r="AK56" s="427"/>
      <c r="AL56" s="222">
        <f>AL51-AL54-AL55</f>
        <v>141.75</v>
      </c>
      <c r="AM56" s="427"/>
      <c r="AN56" s="427"/>
      <c r="AO56" s="427"/>
      <c r="AP56" s="427"/>
      <c r="AQ56" s="222">
        <f>AQ51-AQ54-AQ55</f>
        <v>187.3125</v>
      </c>
      <c r="AR56" s="427"/>
      <c r="AS56" s="427"/>
      <c r="AT56" s="427"/>
      <c r="AU56" s="427"/>
      <c r="AV56" s="222">
        <f>AV51-AV54-AV55</f>
        <v>228.17812499999999</v>
      </c>
      <c r="AW56" s="427"/>
      <c r="AX56" s="427"/>
      <c r="AY56" s="427"/>
      <c r="AZ56" s="427"/>
      <c r="BA56" s="222">
        <f>BA51-BA54-BA55</f>
        <v>268.83703125</v>
      </c>
      <c r="BB56" s="427"/>
      <c r="BC56" s="427"/>
      <c r="BD56" s="427"/>
      <c r="BE56" s="427"/>
      <c r="BF56" s="222">
        <f>BF51-BF54-BF55</f>
        <v>309.2788828125</v>
      </c>
      <c r="BG56" s="427"/>
      <c r="BH56" s="427"/>
      <c r="BI56" s="427"/>
      <c r="BJ56" s="427"/>
      <c r="BK56" s="222">
        <f>BK51-BK54-BK55</f>
        <v>349.49282695312496</v>
      </c>
      <c r="BP56" s="222">
        <f>BP51-BP54-BP55</f>
        <v>389.46746830078121</v>
      </c>
      <c r="BQ56" s="222"/>
      <c r="BR56" s="222"/>
      <c r="BS56" s="222"/>
      <c r="BT56" s="222"/>
      <c r="BU56" s="222">
        <f t="shared" ref="BU56:CJ56" si="65">BU51-BU54-BU55</f>
        <v>433.69084171582028</v>
      </c>
      <c r="BV56" s="125">
        <f t="shared" si="65"/>
        <v>0</v>
      </c>
      <c r="BW56" s="125">
        <f t="shared" si="65"/>
        <v>0</v>
      </c>
      <c r="BX56" s="125">
        <f t="shared" si="65"/>
        <v>0</v>
      </c>
      <c r="BY56" s="125">
        <f t="shared" si="65"/>
        <v>0</v>
      </c>
      <c r="BZ56" s="222">
        <f t="shared" si="65"/>
        <v>471.75811275871581</v>
      </c>
      <c r="CA56" s="125">
        <f t="shared" si="65"/>
        <v>0</v>
      </c>
      <c r="CB56" s="125">
        <f t="shared" si="65"/>
        <v>0</v>
      </c>
      <c r="CC56" s="125">
        <f t="shared" si="65"/>
        <v>0</v>
      </c>
      <c r="CD56" s="125">
        <f t="shared" si="65"/>
        <v>0</v>
      </c>
      <c r="CE56" s="222">
        <f t="shared" si="65"/>
        <v>484.68785945009654</v>
      </c>
      <c r="CF56" s="125">
        <f t="shared" si="65"/>
        <v>0</v>
      </c>
      <c r="CG56" s="125">
        <f t="shared" si="65"/>
        <v>0</v>
      </c>
      <c r="CH56" s="125">
        <f t="shared" si="65"/>
        <v>0</v>
      </c>
      <c r="CI56" s="125">
        <f t="shared" si="65"/>
        <v>0</v>
      </c>
      <c r="CJ56" s="222">
        <f t="shared" si="65"/>
        <v>493.68742351259652</v>
      </c>
    </row>
    <row r="57" spans="2:88">
      <c r="D57" s="427"/>
      <c r="E57" s="427"/>
      <c r="F57" s="427"/>
      <c r="G57" s="427"/>
      <c r="I57" s="427"/>
      <c r="J57" s="427"/>
      <c r="K57" s="427"/>
      <c r="L57" s="427"/>
      <c r="N57" s="427"/>
      <c r="O57" s="427"/>
      <c r="P57" s="427"/>
      <c r="Q57" s="427"/>
      <c r="S57" s="427"/>
      <c r="T57" s="427"/>
      <c r="U57" s="427"/>
      <c r="V57" s="427"/>
      <c r="X57" s="427"/>
      <c r="Y57" s="427"/>
      <c r="Z57" s="427"/>
      <c r="AA57" s="427"/>
      <c r="AC57" s="427"/>
      <c r="AD57" s="427"/>
      <c r="AE57" s="427"/>
      <c r="AF57" s="427"/>
      <c r="AH57" s="427"/>
      <c r="AI57" s="427"/>
      <c r="AJ57" s="427"/>
      <c r="AK57" s="427"/>
      <c r="AM57" s="427"/>
      <c r="AN57" s="427"/>
      <c r="AO57" s="427"/>
      <c r="AP57" s="427"/>
      <c r="AR57" s="427"/>
      <c r="AS57" s="427"/>
      <c r="AT57" s="427"/>
      <c r="AU57" s="427"/>
      <c r="AW57" s="427"/>
      <c r="AX57" s="427"/>
      <c r="AY57" s="427"/>
      <c r="AZ57" s="427"/>
      <c r="BB57" s="427"/>
      <c r="BC57" s="427"/>
      <c r="BD57" s="427"/>
      <c r="BE57" s="427"/>
      <c r="BG57" s="427"/>
      <c r="BH57" s="427"/>
      <c r="BI57" s="427"/>
      <c r="BJ57" s="427"/>
    </row>
    <row r="58" spans="2:88" s="188" customFormat="1">
      <c r="B58" s="186" t="s">
        <v>714</v>
      </c>
      <c r="D58" s="515"/>
      <c r="E58" s="515"/>
      <c r="F58" s="515"/>
      <c r="G58" s="515"/>
      <c r="I58" s="515"/>
      <c r="J58" s="515"/>
      <c r="K58" s="515"/>
      <c r="L58" s="515"/>
      <c r="M58" s="208"/>
      <c r="N58" s="516"/>
      <c r="O58" s="516"/>
      <c r="P58" s="516"/>
      <c r="Q58" s="516"/>
      <c r="R58" s="208"/>
      <c r="S58" s="813">
        <f t="shared" ref="S58:AA58" si="66">IF(S56&lt;0,0.45,0.5)</f>
        <v>0.5</v>
      </c>
      <c r="T58" s="813">
        <f t="shared" si="66"/>
        <v>0.45</v>
      </c>
      <c r="U58" s="813">
        <f t="shared" si="66"/>
        <v>0.45</v>
      </c>
      <c r="V58" s="813">
        <f t="shared" si="66"/>
        <v>0.45</v>
      </c>
      <c r="W58" s="208">
        <f>IF(W56&lt;0,0.45,0.5)</f>
        <v>0.45</v>
      </c>
      <c r="X58" s="813">
        <f t="shared" si="66"/>
        <v>0.5</v>
      </c>
      <c r="Y58" s="813">
        <f t="shared" si="66"/>
        <v>0.5</v>
      </c>
      <c r="Z58" s="813">
        <f t="shared" si="66"/>
        <v>0.5</v>
      </c>
      <c r="AA58" s="813">
        <f t="shared" si="66"/>
        <v>0.5</v>
      </c>
      <c r="AB58" s="208">
        <f>IF(AB56&lt;0,0.45,0.5)</f>
        <v>0.5</v>
      </c>
      <c r="AC58" s="515"/>
      <c r="AD58" s="515"/>
      <c r="AE58" s="515"/>
      <c r="AF58" s="515"/>
      <c r="AG58" s="208">
        <f>IF(AG56&lt;0,0.45,0.5)</f>
        <v>0.5</v>
      </c>
      <c r="AH58" s="515"/>
      <c r="AI58" s="515"/>
      <c r="AJ58" s="515"/>
      <c r="AK58" s="515"/>
      <c r="AL58" s="208">
        <f>IF(AL56&lt;0,0.45,0.5)</f>
        <v>0.5</v>
      </c>
      <c r="AM58" s="515"/>
      <c r="AN58" s="515"/>
      <c r="AO58" s="515"/>
      <c r="AP58" s="515"/>
      <c r="AQ58" s="208">
        <f>IF(AQ56&lt;0,0.45,0.5)</f>
        <v>0.5</v>
      </c>
      <c r="AR58" s="515"/>
      <c r="AS58" s="515"/>
      <c r="AT58" s="515"/>
      <c r="AU58" s="515"/>
      <c r="AV58" s="208">
        <f>IF(AV56&lt;0,0.45,0.5)</f>
        <v>0.5</v>
      </c>
      <c r="AW58" s="515"/>
      <c r="AX58" s="515"/>
      <c r="AY58" s="515"/>
      <c r="AZ58" s="515"/>
      <c r="BA58" s="208">
        <f>IF(BA56&lt;0,0.45,0.5)</f>
        <v>0.5</v>
      </c>
      <c r="BB58" s="515"/>
      <c r="BC58" s="515"/>
      <c r="BD58" s="515"/>
      <c r="BE58" s="515"/>
      <c r="BF58" s="208">
        <f>IF(BF56&lt;0,0.45,0.5)</f>
        <v>0.5</v>
      </c>
      <c r="BG58" s="515"/>
      <c r="BH58" s="515"/>
      <c r="BI58" s="515"/>
      <c r="BJ58" s="515"/>
      <c r="BK58" s="208">
        <f>IF(BK56&lt;0,0.45,0.5)</f>
        <v>0.5</v>
      </c>
      <c r="BP58" s="208">
        <f>IF(BP56&lt;0,0.45,0.5)</f>
        <v>0.5</v>
      </c>
      <c r="BQ58" s="208"/>
      <c r="BR58" s="208"/>
      <c r="BS58" s="208"/>
      <c r="BT58" s="208"/>
      <c r="BU58" s="208">
        <f>IF(BU56&lt;0,0.45,0.5)</f>
        <v>0.5</v>
      </c>
      <c r="BZ58" s="208">
        <f>IF(BZ56&lt;0,0.45,0.5)</f>
        <v>0.5</v>
      </c>
      <c r="CE58" s="208">
        <f>IF(CE56&lt;0,0.45,0.5)</f>
        <v>0.5</v>
      </c>
      <c r="CJ58" s="208">
        <f>IF(CJ56&lt;0,0.45,0.5)</f>
        <v>0.5</v>
      </c>
    </row>
    <row r="59" spans="2:88">
      <c r="B59" s="467" t="s">
        <v>715</v>
      </c>
      <c r="D59" s="427"/>
      <c r="E59" s="427"/>
      <c r="F59" s="427"/>
      <c r="G59" s="427"/>
      <c r="I59" s="427"/>
      <c r="J59" s="427"/>
      <c r="K59" s="427"/>
      <c r="L59" s="427"/>
      <c r="M59" s="178"/>
      <c r="N59" s="513"/>
      <c r="O59" s="513"/>
      <c r="P59" s="513"/>
      <c r="Q59" s="513"/>
      <c r="R59" s="178"/>
      <c r="S59" s="521">
        <f t="shared" ref="S59:AA59" si="67">S58*S56</f>
        <v>0</v>
      </c>
      <c r="T59" s="521">
        <f t="shared" si="67"/>
        <v>-2.6759999999999997</v>
      </c>
      <c r="U59" s="521">
        <f t="shared" si="67"/>
        <v>-5.0522999999999998</v>
      </c>
      <c r="V59" s="521">
        <f t="shared" si="67"/>
        <v>-5.6473043478260863</v>
      </c>
      <c r="W59" s="178">
        <f>W58*W56</f>
        <v>-13.375604347826087</v>
      </c>
      <c r="X59" s="513">
        <f t="shared" si="67"/>
        <v>7.5</v>
      </c>
      <c r="Y59" s="513">
        <f t="shared" si="67"/>
        <v>7.5374999999999979</v>
      </c>
      <c r="Z59" s="513">
        <f t="shared" si="67"/>
        <v>7.5684374999999955</v>
      </c>
      <c r="AA59" s="513">
        <f t="shared" si="67"/>
        <v>8.644062500000004</v>
      </c>
      <c r="AB59" s="178">
        <f>AB58*AB56</f>
        <v>31.25</v>
      </c>
      <c r="AC59" s="521"/>
      <c r="AD59" s="521"/>
      <c r="AE59" s="521"/>
      <c r="AF59" s="521"/>
      <c r="AG59" s="178">
        <f>AG58*AG56</f>
        <v>45.75</v>
      </c>
      <c r="AH59" s="521"/>
      <c r="AI59" s="521"/>
      <c r="AJ59" s="521"/>
      <c r="AK59" s="521"/>
      <c r="AL59" s="178">
        <f>AL58*AL56</f>
        <v>70.875</v>
      </c>
      <c r="AM59" s="521"/>
      <c r="AN59" s="521"/>
      <c r="AO59" s="521"/>
      <c r="AP59" s="521"/>
      <c r="AQ59" s="178">
        <f>AQ58*AQ56</f>
        <v>93.65625</v>
      </c>
      <c r="AR59" s="521"/>
      <c r="AS59" s="521"/>
      <c r="AT59" s="521"/>
      <c r="AU59" s="521"/>
      <c r="AV59" s="178">
        <f>AV58*AV56</f>
        <v>114.0890625</v>
      </c>
      <c r="AW59" s="521"/>
      <c r="AX59" s="521"/>
      <c r="AY59" s="521"/>
      <c r="AZ59" s="521"/>
      <c r="BA59" s="178">
        <f>BA58*BA56</f>
        <v>134.418515625</v>
      </c>
      <c r="BB59" s="521"/>
      <c r="BC59" s="521"/>
      <c r="BD59" s="521"/>
      <c r="BE59" s="521"/>
      <c r="BF59" s="178">
        <f>BF58*BF56</f>
        <v>154.63944140625</v>
      </c>
      <c r="BG59" s="521"/>
      <c r="BH59" s="521"/>
      <c r="BI59" s="521"/>
      <c r="BJ59" s="521"/>
      <c r="BK59" s="178">
        <f>BK58*BK56</f>
        <v>174.74641347656248</v>
      </c>
      <c r="BP59" s="178">
        <f>BP58*BP56</f>
        <v>194.7337341503906</v>
      </c>
      <c r="BQ59" s="178"/>
      <c r="BR59" s="178"/>
      <c r="BS59" s="178"/>
      <c r="BT59" s="178"/>
      <c r="BU59" s="178">
        <f>BU58*BU56</f>
        <v>216.84542085791014</v>
      </c>
      <c r="BZ59" s="178">
        <f>BZ58*BZ56</f>
        <v>235.87905637935791</v>
      </c>
      <c r="CE59" s="178">
        <f>CE58*CE56</f>
        <v>242.34392972504827</v>
      </c>
      <c r="CJ59" s="178">
        <f>CJ58*CJ56</f>
        <v>246.84371175629826</v>
      </c>
    </row>
    <row r="60" spans="2:88">
      <c r="B60" s="176"/>
      <c r="D60" s="427"/>
      <c r="E60" s="427"/>
      <c r="F60" s="427"/>
      <c r="G60" s="427"/>
      <c r="I60" s="427"/>
      <c r="J60" s="427"/>
      <c r="K60" s="427"/>
      <c r="L60" s="427"/>
      <c r="N60" s="427"/>
      <c r="O60" s="427"/>
      <c r="P60" s="427"/>
      <c r="Q60" s="427"/>
      <c r="S60" s="427"/>
      <c r="T60" s="427"/>
      <c r="U60" s="427"/>
      <c r="V60" s="427"/>
      <c r="X60" s="427"/>
      <c r="Y60" s="427"/>
      <c r="Z60" s="427"/>
      <c r="AA60" s="427"/>
      <c r="AC60" s="427"/>
      <c r="AD60" s="427"/>
      <c r="AE60" s="427"/>
      <c r="AF60" s="427"/>
      <c r="AH60" s="427"/>
      <c r="AI60" s="427"/>
      <c r="AJ60" s="427"/>
      <c r="AK60" s="427"/>
      <c r="AM60" s="427"/>
      <c r="AN60" s="427"/>
      <c r="AO60" s="427"/>
      <c r="AP60" s="427"/>
      <c r="AR60" s="427"/>
      <c r="AS60" s="427"/>
      <c r="AT60" s="427"/>
      <c r="AU60" s="427"/>
      <c r="AW60" s="427"/>
      <c r="AX60" s="427"/>
      <c r="AY60" s="427"/>
      <c r="AZ60" s="427"/>
      <c r="BB60" s="427"/>
      <c r="BC60" s="427"/>
      <c r="BD60" s="427"/>
      <c r="BE60" s="427"/>
      <c r="BG60" s="427"/>
      <c r="BH60" s="427"/>
      <c r="BI60" s="427"/>
      <c r="BJ60" s="427"/>
      <c r="BL60" s="427"/>
      <c r="BM60" s="427"/>
      <c r="BN60" s="427"/>
      <c r="BO60" s="427"/>
    </row>
    <row r="61" spans="2:88" ht="13.5" thickBot="1">
      <c r="B61" s="259" t="s">
        <v>703</v>
      </c>
      <c r="C61" s="260"/>
      <c r="D61" s="596"/>
      <c r="E61" s="596"/>
      <c r="F61" s="596"/>
      <c r="G61" s="596"/>
      <c r="H61" s="260"/>
      <c r="I61" s="596"/>
      <c r="J61" s="596"/>
      <c r="K61" s="596"/>
      <c r="L61" s="596"/>
      <c r="M61" s="260"/>
      <c r="N61" s="596"/>
      <c r="O61" s="596"/>
      <c r="P61" s="596"/>
      <c r="Q61" s="596"/>
      <c r="R61" s="260"/>
      <c r="S61" s="596"/>
      <c r="T61" s="596"/>
      <c r="U61" s="596"/>
      <c r="V61" s="596"/>
      <c r="W61" s="260"/>
      <c r="X61" s="596"/>
      <c r="Y61" s="596"/>
      <c r="Z61" s="596"/>
      <c r="AA61" s="596"/>
      <c r="AB61" s="260"/>
      <c r="AC61" s="596"/>
      <c r="AD61" s="596"/>
      <c r="AE61" s="596"/>
      <c r="AF61" s="596"/>
      <c r="AG61" s="260"/>
      <c r="AH61" s="596"/>
      <c r="AI61" s="596"/>
      <c r="AJ61" s="596"/>
      <c r="AK61" s="596"/>
      <c r="AL61" s="260"/>
      <c r="AM61" s="596"/>
      <c r="AN61" s="596"/>
      <c r="AO61" s="596"/>
      <c r="AP61" s="596"/>
      <c r="AQ61" s="260"/>
      <c r="AR61" s="596"/>
      <c r="AS61" s="596"/>
      <c r="AT61" s="596"/>
      <c r="AU61" s="596"/>
      <c r="AV61" s="260"/>
      <c r="AW61" s="596"/>
      <c r="AX61" s="596"/>
      <c r="AY61" s="596"/>
      <c r="AZ61" s="596"/>
      <c r="BA61" s="260"/>
      <c r="BB61" s="596"/>
      <c r="BC61" s="596"/>
      <c r="BD61" s="596"/>
      <c r="BE61" s="596"/>
      <c r="BF61" s="260"/>
      <c r="BG61" s="596"/>
      <c r="BH61" s="596"/>
      <c r="BI61" s="596"/>
      <c r="BJ61" s="596"/>
      <c r="BK61" s="260"/>
      <c r="BL61" s="596"/>
      <c r="BM61" s="596"/>
      <c r="BN61" s="596"/>
      <c r="BO61" s="596"/>
      <c r="BP61" s="260"/>
      <c r="BQ61" s="143"/>
      <c r="BR61" s="143"/>
      <c r="BS61" s="143"/>
      <c r="BT61" s="143"/>
      <c r="BU61" s="260"/>
      <c r="BZ61" s="260"/>
      <c r="CE61" s="260"/>
      <c r="CJ61" s="260"/>
    </row>
    <row r="62" spans="2:88">
      <c r="B62" s="125" t="s">
        <v>720</v>
      </c>
      <c r="C62" s="179"/>
      <c r="D62" s="433"/>
      <c r="E62" s="433"/>
      <c r="F62" s="433"/>
      <c r="G62" s="433"/>
      <c r="H62" s="179"/>
      <c r="I62" s="433"/>
      <c r="J62" s="433"/>
      <c r="K62" s="433"/>
      <c r="L62" s="433"/>
      <c r="M62" s="179"/>
      <c r="N62" s="433"/>
      <c r="O62" s="433"/>
      <c r="P62" s="433"/>
      <c r="Q62" s="433"/>
      <c r="R62" s="179"/>
      <c r="S62" s="433"/>
      <c r="T62" s="433"/>
      <c r="U62" s="433"/>
      <c r="V62" s="885">
        <v>1.1826086956521742</v>
      </c>
      <c r="W62" s="273">
        <f>SUM(S62:V62)</f>
        <v>1.1826086956521742</v>
      </c>
      <c r="X62" s="597">
        <v>3</v>
      </c>
      <c r="Y62" s="597">
        <f>X62*1.25</f>
        <v>3.75</v>
      </c>
      <c r="Z62" s="597">
        <f>Y62*1.25</f>
        <v>4.6875</v>
      </c>
      <c r="AA62" s="597">
        <f>AB62-SUM(X62:Z62)</f>
        <v>-6.870195652173912</v>
      </c>
      <c r="AB62" s="273">
        <f>W51*0.4</f>
        <v>4.567304347826088</v>
      </c>
      <c r="AC62" s="597"/>
      <c r="AD62" s="597"/>
      <c r="AE62" s="597"/>
      <c r="AF62" s="597"/>
      <c r="AG62" s="273">
        <f>AB51*0.5</f>
        <v>62.5</v>
      </c>
      <c r="AH62" s="597"/>
      <c r="AI62" s="597"/>
      <c r="AJ62" s="597"/>
      <c r="AK62" s="597"/>
      <c r="AL62" s="273">
        <f>AG51*0.6</f>
        <v>111</v>
      </c>
      <c r="AM62" s="597"/>
      <c r="AN62" s="597"/>
      <c r="AO62" s="597"/>
      <c r="AP62" s="597"/>
      <c r="AQ62" s="273">
        <f>AL51*0.7</f>
        <v>171.5</v>
      </c>
      <c r="AR62" s="597"/>
      <c r="AS62" s="597"/>
      <c r="AT62" s="597"/>
      <c r="AU62" s="597"/>
      <c r="AV62" s="273">
        <f>AQ51*0.725</f>
        <v>217.5</v>
      </c>
      <c r="AW62" s="597"/>
      <c r="AX62" s="597"/>
      <c r="AY62" s="597"/>
      <c r="AZ62" s="597"/>
      <c r="BA62" s="273">
        <f>AV51*0.75</f>
        <v>262.5</v>
      </c>
      <c r="BB62" s="597"/>
      <c r="BC62" s="597"/>
      <c r="BD62" s="597"/>
      <c r="BE62" s="597"/>
      <c r="BF62" s="273">
        <f>BA51*0.75</f>
        <v>300</v>
      </c>
      <c r="BG62" s="597"/>
      <c r="BH62" s="597"/>
      <c r="BI62" s="597"/>
      <c r="BJ62" s="597"/>
      <c r="BK62" s="273">
        <f>BF51*0.75</f>
        <v>337.5</v>
      </c>
      <c r="BL62" s="597"/>
      <c r="BM62" s="597"/>
      <c r="BN62" s="597"/>
      <c r="BO62" s="597"/>
      <c r="BP62" s="273">
        <f>BK51*0.75</f>
        <v>375</v>
      </c>
      <c r="BQ62" s="273"/>
      <c r="BR62" s="273"/>
      <c r="BS62" s="273"/>
      <c r="BT62" s="273"/>
      <c r="BU62" s="273">
        <f>BP51*0.75</f>
        <v>412.5</v>
      </c>
      <c r="BZ62" s="273">
        <f>BU51*0.65</f>
        <v>393.25</v>
      </c>
      <c r="CE62" s="273">
        <f>BZ51*0.6</f>
        <v>390.22499999999997</v>
      </c>
      <c r="CJ62" s="273">
        <f>CE51*0.55</f>
        <v>366.64890625000004</v>
      </c>
    </row>
    <row r="63" spans="2:88">
      <c r="C63" s="179"/>
      <c r="D63" s="433"/>
      <c r="E63" s="433"/>
      <c r="F63" s="433"/>
      <c r="G63" s="433"/>
      <c r="H63" s="179"/>
      <c r="I63" s="433"/>
      <c r="J63" s="433"/>
      <c r="K63" s="433"/>
      <c r="L63" s="433"/>
      <c r="M63" s="179"/>
      <c r="N63" s="433"/>
      <c r="O63" s="433"/>
      <c r="P63" s="433"/>
      <c r="Q63" s="433"/>
      <c r="R63" s="179"/>
      <c r="S63" s="433"/>
      <c r="T63" s="433"/>
      <c r="U63" s="433"/>
      <c r="V63" s="433"/>
      <c r="W63" s="273"/>
      <c r="X63" s="433"/>
      <c r="Y63" s="433"/>
      <c r="Z63" s="433"/>
      <c r="AA63" s="433"/>
      <c r="AB63" s="273"/>
      <c r="AC63" s="597"/>
      <c r="AD63" s="597"/>
      <c r="AE63" s="597"/>
      <c r="AF63" s="597"/>
      <c r="AG63" s="273"/>
      <c r="AH63" s="597"/>
      <c r="AI63" s="597"/>
      <c r="AJ63" s="597"/>
      <c r="AK63" s="597"/>
      <c r="AL63" s="273"/>
      <c r="AM63" s="597"/>
      <c r="AN63" s="597"/>
      <c r="AO63" s="597"/>
      <c r="AP63" s="597"/>
      <c r="AQ63" s="273"/>
      <c r="AR63" s="597"/>
      <c r="AS63" s="597"/>
      <c r="AT63" s="597"/>
      <c r="AU63" s="597"/>
      <c r="AV63" s="273"/>
      <c r="AW63" s="597"/>
      <c r="AX63" s="597"/>
      <c r="AY63" s="597"/>
      <c r="AZ63" s="597"/>
      <c r="BA63" s="273"/>
      <c r="BB63" s="597"/>
      <c r="BC63" s="597"/>
      <c r="BD63" s="597"/>
      <c r="BE63" s="597"/>
      <c r="BF63" s="273"/>
      <c r="BG63" s="597"/>
      <c r="BH63" s="597"/>
      <c r="BI63" s="597"/>
      <c r="BJ63" s="597"/>
      <c r="BK63" s="273"/>
      <c r="BL63" s="597"/>
      <c r="BM63" s="597"/>
      <c r="BN63" s="597"/>
      <c r="BO63" s="597"/>
      <c r="BP63" s="273"/>
      <c r="BQ63" s="273"/>
      <c r="BR63" s="273"/>
      <c r="BS63" s="273"/>
      <c r="BT63" s="273"/>
    </row>
    <row r="64" spans="2:88" s="188" customFormat="1">
      <c r="B64" s="266" t="s">
        <v>647</v>
      </c>
      <c r="D64" s="515"/>
      <c r="E64" s="515"/>
      <c r="F64" s="515"/>
      <c r="G64" s="515"/>
      <c r="I64" s="515"/>
      <c r="J64" s="515"/>
      <c r="K64" s="515"/>
      <c r="L64" s="515"/>
      <c r="M64" s="517"/>
      <c r="N64" s="515"/>
      <c r="O64" s="515"/>
      <c r="P64" s="515"/>
      <c r="Q64" s="515"/>
      <c r="R64" s="517"/>
      <c r="S64" s="515"/>
      <c r="T64" s="515"/>
      <c r="U64" s="515"/>
      <c r="V64" s="516">
        <f>W64</f>
        <v>0.1</v>
      </c>
      <c r="W64" s="811">
        <v>0.1</v>
      </c>
      <c r="X64" s="516">
        <f>AB64</f>
        <v>7.0000000000000007E-2</v>
      </c>
      <c r="Y64" s="516">
        <f>X64</f>
        <v>7.0000000000000007E-2</v>
      </c>
      <c r="Z64" s="813">
        <f t="shared" ref="Z64:AA64" si="68">Y64</f>
        <v>7.0000000000000007E-2</v>
      </c>
      <c r="AA64" s="813">
        <f t="shared" si="68"/>
        <v>7.0000000000000007E-2</v>
      </c>
      <c r="AB64" s="811">
        <v>7.0000000000000007E-2</v>
      </c>
      <c r="AC64" s="515"/>
      <c r="AD64" s="515"/>
      <c r="AE64" s="515"/>
      <c r="AF64" s="515"/>
      <c r="AG64" s="208">
        <f>AB64</f>
        <v>7.0000000000000007E-2</v>
      </c>
      <c r="AH64" s="515"/>
      <c r="AI64" s="515"/>
      <c r="AJ64" s="515"/>
      <c r="AK64" s="515"/>
      <c r="AL64" s="208">
        <f>AG64</f>
        <v>7.0000000000000007E-2</v>
      </c>
      <c r="AM64" s="515"/>
      <c r="AN64" s="515"/>
      <c r="AO64" s="515"/>
      <c r="AP64" s="515"/>
      <c r="AQ64" s="208">
        <f>AL64</f>
        <v>7.0000000000000007E-2</v>
      </c>
      <c r="AR64" s="515"/>
      <c r="AS64" s="515"/>
      <c r="AT64" s="515"/>
      <c r="AU64" s="515"/>
      <c r="AV64" s="208">
        <f>AQ64</f>
        <v>7.0000000000000007E-2</v>
      </c>
      <c r="AW64" s="515"/>
      <c r="AX64" s="515"/>
      <c r="AY64" s="515"/>
      <c r="AZ64" s="515"/>
      <c r="BA64" s="208">
        <f>AV64</f>
        <v>7.0000000000000007E-2</v>
      </c>
      <c r="BB64" s="515"/>
      <c r="BC64" s="515"/>
      <c r="BD64" s="515"/>
      <c r="BE64" s="515"/>
      <c r="BF64" s="208">
        <f>BA64</f>
        <v>7.0000000000000007E-2</v>
      </c>
      <c r="BG64" s="515"/>
      <c r="BH64" s="515"/>
      <c r="BI64" s="515"/>
      <c r="BJ64" s="515"/>
      <c r="BK64" s="208">
        <f>BF64</f>
        <v>7.0000000000000007E-2</v>
      </c>
      <c r="BL64" s="515"/>
      <c r="BM64" s="515"/>
      <c r="BN64" s="515"/>
      <c r="BO64" s="515"/>
      <c r="BP64" s="208">
        <f>BK64</f>
        <v>7.0000000000000007E-2</v>
      </c>
      <c r="BQ64" s="208"/>
      <c r="BR64" s="208"/>
      <c r="BS64" s="208"/>
      <c r="BT64" s="208"/>
      <c r="BU64" s="208">
        <f>BP64</f>
        <v>7.0000000000000007E-2</v>
      </c>
      <c r="BZ64" s="208">
        <f>BU64</f>
        <v>7.0000000000000007E-2</v>
      </c>
      <c r="CE64" s="208">
        <f>BZ64</f>
        <v>7.0000000000000007E-2</v>
      </c>
      <c r="CJ64" s="208">
        <f>CE64</f>
        <v>7.0000000000000007E-2</v>
      </c>
    </row>
    <row r="65" spans="2:90">
      <c r="B65" s="176" t="s">
        <v>6</v>
      </c>
      <c r="D65" s="427"/>
      <c r="E65" s="427"/>
      <c r="F65" s="427"/>
      <c r="G65" s="427"/>
      <c r="I65" s="427"/>
      <c r="J65" s="427"/>
      <c r="K65" s="427"/>
      <c r="L65" s="427"/>
      <c r="N65" s="427"/>
      <c r="O65" s="427"/>
      <c r="P65" s="427"/>
      <c r="Q65" s="427"/>
      <c r="S65" s="427"/>
      <c r="T65" s="427"/>
      <c r="U65" s="427"/>
      <c r="V65" s="513">
        <f t="shared" ref="V65" si="69">V64*V62</f>
        <v>0.11826086956521742</v>
      </c>
      <c r="W65" s="178">
        <f>SUM(S65:V65)</f>
        <v>0.11826086956521742</v>
      </c>
      <c r="X65" s="513">
        <f t="shared" ref="X65:AA65" si="70">X64*X62</f>
        <v>0.21000000000000002</v>
      </c>
      <c r="Y65" s="513">
        <f t="shared" si="70"/>
        <v>0.26250000000000001</v>
      </c>
      <c r="Z65" s="513">
        <f t="shared" si="70"/>
        <v>0.32812500000000006</v>
      </c>
      <c r="AA65" s="513">
        <f t="shared" si="70"/>
        <v>-0.4809136956521739</v>
      </c>
      <c r="AB65" s="222">
        <f>AB64*AB62</f>
        <v>0.31971130434782619</v>
      </c>
      <c r="AC65" s="427"/>
      <c r="AD65" s="427"/>
      <c r="AE65" s="427"/>
      <c r="AF65" s="427"/>
      <c r="AG65" s="222">
        <f>AG64*AG62</f>
        <v>4.375</v>
      </c>
      <c r="AH65" s="427"/>
      <c r="AI65" s="427"/>
      <c r="AJ65" s="427"/>
      <c r="AK65" s="427"/>
      <c r="AL65" s="222">
        <f>AL64*AL62</f>
        <v>7.7700000000000005</v>
      </c>
      <c r="AM65" s="427"/>
      <c r="AN65" s="427"/>
      <c r="AO65" s="427"/>
      <c r="AP65" s="427"/>
      <c r="AQ65" s="222">
        <f>AQ64*AQ62</f>
        <v>12.005000000000001</v>
      </c>
      <c r="AR65" s="427"/>
      <c r="AS65" s="427"/>
      <c r="AT65" s="427"/>
      <c r="AU65" s="427"/>
      <c r="AV65" s="222">
        <f>AV64*AV62</f>
        <v>15.225000000000001</v>
      </c>
      <c r="AW65" s="427"/>
      <c r="AX65" s="427"/>
      <c r="AY65" s="427"/>
      <c r="AZ65" s="427"/>
      <c r="BA65" s="222">
        <f>BA64*BA62</f>
        <v>18.375</v>
      </c>
      <c r="BB65" s="427"/>
      <c r="BC65" s="427"/>
      <c r="BD65" s="427"/>
      <c r="BE65" s="427"/>
      <c r="BF65" s="222">
        <f>BF64*BF62</f>
        <v>21.000000000000004</v>
      </c>
      <c r="BG65" s="427"/>
      <c r="BH65" s="427"/>
      <c r="BI65" s="427"/>
      <c r="BJ65" s="427"/>
      <c r="BK65" s="222">
        <f>BK64*BK62</f>
        <v>23.625000000000004</v>
      </c>
      <c r="BL65" s="427"/>
      <c r="BM65" s="427"/>
      <c r="BN65" s="427"/>
      <c r="BO65" s="427"/>
      <c r="BP65" s="222">
        <f>BP64*BP62</f>
        <v>26.250000000000004</v>
      </c>
      <c r="BQ65" s="222"/>
      <c r="BR65" s="222"/>
      <c r="BS65" s="222"/>
      <c r="BT65" s="222"/>
      <c r="BU65" s="222">
        <f>BU64*BU62</f>
        <v>28.875000000000004</v>
      </c>
      <c r="BZ65" s="222">
        <f>BZ64*BZ62</f>
        <v>27.527500000000003</v>
      </c>
      <c r="CE65" s="222">
        <f>CE64*CE62</f>
        <v>27.315750000000001</v>
      </c>
      <c r="CJ65" s="222">
        <f>CJ64*CJ62</f>
        <v>25.665423437500007</v>
      </c>
    </row>
    <row r="66" spans="2:90">
      <c r="B66" s="176" t="s">
        <v>216</v>
      </c>
      <c r="D66" s="427"/>
      <c r="E66" s="427"/>
      <c r="F66" s="427"/>
      <c r="G66" s="427"/>
      <c r="I66" s="427"/>
      <c r="J66" s="427"/>
      <c r="K66" s="427"/>
      <c r="L66" s="427"/>
      <c r="N66" s="427"/>
      <c r="O66" s="427"/>
      <c r="P66" s="427"/>
      <c r="Q66" s="427"/>
      <c r="S66" s="427"/>
      <c r="T66" s="427"/>
      <c r="U66" s="427"/>
      <c r="V66" s="429">
        <v>1</v>
      </c>
      <c r="W66" s="222">
        <f>SUM(S66:V66)</f>
        <v>1</v>
      </c>
      <c r="X66" s="513">
        <v>9</v>
      </c>
      <c r="Y66" s="513">
        <f>X66*1.05</f>
        <v>9.4500000000000011</v>
      </c>
      <c r="Z66" s="513">
        <f>Y66*1.05</f>
        <v>9.9225000000000012</v>
      </c>
      <c r="AA66" s="521">
        <f>AB66-SUM(X66:Z66)</f>
        <v>11.627499999999998</v>
      </c>
      <c r="AB66" s="222">
        <v>40</v>
      </c>
      <c r="AC66" s="521"/>
      <c r="AD66" s="521"/>
      <c r="AE66" s="521"/>
      <c r="AF66" s="521"/>
      <c r="AG66" s="222">
        <v>60</v>
      </c>
      <c r="AH66" s="521"/>
      <c r="AI66" s="521"/>
      <c r="AJ66" s="521"/>
      <c r="AK66" s="521"/>
      <c r="AL66" s="222">
        <v>80</v>
      </c>
      <c r="AM66" s="521"/>
      <c r="AN66" s="521"/>
      <c r="AO66" s="521"/>
      <c r="AP66" s="521"/>
      <c r="AQ66" s="222">
        <f>AL66*1.05</f>
        <v>84</v>
      </c>
      <c r="AR66" s="521"/>
      <c r="AS66" s="521"/>
      <c r="AT66" s="521"/>
      <c r="AU66" s="521"/>
      <c r="AV66" s="222">
        <f t="shared" ref="AV66:BP66" si="71">AQ66*1.05</f>
        <v>88.2</v>
      </c>
      <c r="AW66" s="521">
        <f t="shared" si="71"/>
        <v>0</v>
      </c>
      <c r="AX66" s="521">
        <f t="shared" si="71"/>
        <v>0</v>
      </c>
      <c r="AY66" s="521">
        <f t="shared" si="71"/>
        <v>0</v>
      </c>
      <c r="AZ66" s="521">
        <f t="shared" si="71"/>
        <v>0</v>
      </c>
      <c r="BA66" s="222">
        <f t="shared" si="71"/>
        <v>92.610000000000014</v>
      </c>
      <c r="BB66" s="521">
        <f t="shared" si="71"/>
        <v>0</v>
      </c>
      <c r="BC66" s="521">
        <f t="shared" si="71"/>
        <v>0</v>
      </c>
      <c r="BD66" s="521">
        <f t="shared" si="71"/>
        <v>0</v>
      </c>
      <c r="BE66" s="521">
        <f t="shared" si="71"/>
        <v>0</v>
      </c>
      <c r="BF66" s="222">
        <f t="shared" si="71"/>
        <v>97.240500000000011</v>
      </c>
      <c r="BG66" s="521">
        <f t="shared" si="71"/>
        <v>0</v>
      </c>
      <c r="BH66" s="521">
        <f t="shared" si="71"/>
        <v>0</v>
      </c>
      <c r="BI66" s="521">
        <f t="shared" si="71"/>
        <v>0</v>
      </c>
      <c r="BJ66" s="521">
        <f t="shared" si="71"/>
        <v>0</v>
      </c>
      <c r="BK66" s="222">
        <f t="shared" si="71"/>
        <v>102.10252500000001</v>
      </c>
      <c r="BL66" s="521">
        <f t="shared" si="71"/>
        <v>0</v>
      </c>
      <c r="BM66" s="521">
        <f t="shared" si="71"/>
        <v>0</v>
      </c>
      <c r="BN66" s="521">
        <f t="shared" si="71"/>
        <v>0</v>
      </c>
      <c r="BO66" s="521">
        <f t="shared" si="71"/>
        <v>0</v>
      </c>
      <c r="BP66" s="222">
        <f t="shared" si="71"/>
        <v>107.20765125000003</v>
      </c>
      <c r="BQ66" s="222"/>
      <c r="BR66" s="222"/>
      <c r="BS66" s="222"/>
      <c r="BT66" s="222"/>
      <c r="BU66" s="222">
        <f>BP66*1.03</f>
        <v>110.42388078750002</v>
      </c>
      <c r="BZ66" s="222">
        <f>BU66*1.025</f>
        <v>113.18447780718752</v>
      </c>
      <c r="CE66" s="222">
        <f>BZ66*1.02</f>
        <v>115.44816736333127</v>
      </c>
      <c r="CJ66" s="222">
        <f>CE66*1.015</f>
        <v>117.17988987378122</v>
      </c>
    </row>
    <row r="67" spans="2:90">
      <c r="B67" s="176" t="s">
        <v>217</v>
      </c>
      <c r="D67" s="427"/>
      <c r="E67" s="427"/>
      <c r="F67" s="427"/>
      <c r="G67" s="427"/>
      <c r="I67" s="427"/>
      <c r="J67" s="427"/>
      <c r="K67" s="427"/>
      <c r="L67" s="427"/>
      <c r="N67" s="427"/>
      <c r="O67" s="427"/>
      <c r="P67" s="427"/>
      <c r="Q67" s="427"/>
      <c r="S67" s="427"/>
      <c r="T67" s="427"/>
      <c r="U67" s="427"/>
      <c r="V67" s="513">
        <f t="shared" ref="V67:W67" si="72">V62-V65-V66</f>
        <v>6.4347826086956772E-2</v>
      </c>
      <c r="W67" s="178">
        <f t="shared" si="72"/>
        <v>6.4347826086956772E-2</v>
      </c>
      <c r="X67" s="513">
        <f t="shared" ref="X67:AA67" si="73">X62-X65-X66</f>
        <v>-6.21</v>
      </c>
      <c r="Y67" s="513">
        <f t="shared" si="73"/>
        <v>-5.9625000000000012</v>
      </c>
      <c r="Z67" s="513">
        <f t="shared" si="73"/>
        <v>-5.5631250000000012</v>
      </c>
      <c r="AA67" s="513">
        <f t="shared" si="73"/>
        <v>-18.016781956521736</v>
      </c>
      <c r="AB67" s="222">
        <f>AB62-AB65-AB66</f>
        <v>-35.752406956521739</v>
      </c>
      <c r="AC67" s="427"/>
      <c r="AD67" s="427"/>
      <c r="AE67" s="427"/>
      <c r="AF67" s="427"/>
      <c r="AG67" s="222">
        <f>AG62-AG65-AG66</f>
        <v>-1.875</v>
      </c>
      <c r="AH67" s="427"/>
      <c r="AI67" s="427"/>
      <c r="AJ67" s="427"/>
      <c r="AK67" s="427"/>
      <c r="AL67" s="222">
        <f>AL62-AL65-AL66</f>
        <v>23.230000000000004</v>
      </c>
      <c r="AM67" s="427"/>
      <c r="AN67" s="427"/>
      <c r="AO67" s="427"/>
      <c r="AP67" s="427"/>
      <c r="AQ67" s="222">
        <f>AQ62-AQ65-AQ66</f>
        <v>75.495000000000005</v>
      </c>
      <c r="AR67" s="427"/>
      <c r="AS67" s="427"/>
      <c r="AT67" s="427"/>
      <c r="AU67" s="427"/>
      <c r="AV67" s="222">
        <f>AV62-AV65-AV66</f>
        <v>114.075</v>
      </c>
      <c r="AW67" s="427"/>
      <c r="AX67" s="427"/>
      <c r="AY67" s="427"/>
      <c r="AZ67" s="427"/>
      <c r="BA67" s="222">
        <f>BA62-BA65-BA66</f>
        <v>151.51499999999999</v>
      </c>
      <c r="BB67" s="427"/>
      <c r="BC67" s="427"/>
      <c r="BD67" s="427"/>
      <c r="BE67" s="427"/>
      <c r="BF67" s="222">
        <f>BF62-BF65-BF66</f>
        <v>181.7595</v>
      </c>
      <c r="BG67" s="427"/>
      <c r="BH67" s="427"/>
      <c r="BI67" s="427"/>
      <c r="BJ67" s="427"/>
      <c r="BK67" s="222">
        <f>BK62-BK65-BK66</f>
        <v>211.77247499999999</v>
      </c>
      <c r="BL67" s="427"/>
      <c r="BM67" s="427"/>
      <c r="BN67" s="427"/>
      <c r="BO67" s="427"/>
      <c r="BP67" s="222">
        <f>BP62-BP65-BP66</f>
        <v>241.54234874999997</v>
      </c>
      <c r="BQ67" s="222"/>
      <c r="BR67" s="222"/>
      <c r="BS67" s="222"/>
      <c r="BT67" s="222"/>
      <c r="BU67" s="222">
        <f>BU62-BU65-BU66</f>
        <v>273.20111921249998</v>
      </c>
      <c r="BZ67" s="222">
        <f>BZ62-BZ65-BZ66</f>
        <v>252.53802219281243</v>
      </c>
      <c r="CE67" s="222">
        <f>CE62-CE65-CE66</f>
        <v>247.46108263666872</v>
      </c>
      <c r="CJ67" s="222">
        <f>CJ62-CJ65-CJ66</f>
        <v>223.80359293871879</v>
      </c>
    </row>
    <row r="68" spans="2:90">
      <c r="D68" s="427"/>
      <c r="E68" s="427"/>
      <c r="F68" s="427"/>
      <c r="G68" s="427"/>
      <c r="I68" s="427"/>
      <c r="J68" s="427"/>
      <c r="K68" s="427"/>
      <c r="L68" s="427"/>
      <c r="N68" s="427"/>
      <c r="O68" s="427"/>
      <c r="P68" s="427"/>
      <c r="Q68" s="427"/>
      <c r="S68" s="427"/>
      <c r="T68" s="427"/>
      <c r="U68" s="427"/>
      <c r="V68" s="427"/>
      <c r="X68" s="427"/>
      <c r="Y68" s="427"/>
      <c r="Z68" s="427"/>
      <c r="AA68" s="427"/>
      <c r="AC68" s="427"/>
      <c r="AD68" s="427"/>
      <c r="AE68" s="427"/>
      <c r="AF68" s="427"/>
      <c r="AH68" s="427"/>
      <c r="AI68" s="427"/>
      <c r="AJ68" s="427"/>
      <c r="AK68" s="427"/>
      <c r="AM68" s="427"/>
      <c r="AN68" s="427"/>
      <c r="AO68" s="427"/>
      <c r="AP68" s="427"/>
      <c r="AR68" s="427"/>
      <c r="AS68" s="427"/>
      <c r="AT68" s="427"/>
      <c r="AU68" s="427"/>
      <c r="AW68" s="427"/>
      <c r="AX68" s="427"/>
      <c r="AY68" s="427"/>
      <c r="AZ68" s="427"/>
      <c r="BB68" s="427"/>
      <c r="BC68" s="427"/>
      <c r="BD68" s="427"/>
      <c r="BE68" s="427"/>
      <c r="BG68" s="427"/>
      <c r="BH68" s="427"/>
      <c r="BI68" s="427"/>
      <c r="BJ68" s="427"/>
      <c r="BL68" s="427"/>
      <c r="BM68" s="427"/>
      <c r="BN68" s="427"/>
      <c r="BO68" s="427"/>
    </row>
    <row r="69" spans="2:90" s="188" customFormat="1">
      <c r="B69" s="186" t="s">
        <v>714</v>
      </c>
      <c r="D69" s="515"/>
      <c r="E69" s="515"/>
      <c r="F69" s="515"/>
      <c r="G69" s="515"/>
      <c r="I69" s="515"/>
      <c r="J69" s="515"/>
      <c r="K69" s="515"/>
      <c r="L69" s="515"/>
      <c r="M69" s="208"/>
      <c r="N69" s="515"/>
      <c r="O69" s="515"/>
      <c r="P69" s="515"/>
      <c r="Q69" s="515"/>
      <c r="R69" s="264"/>
      <c r="S69" s="598"/>
      <c r="T69" s="598"/>
      <c r="U69" s="598"/>
      <c r="V69" s="598">
        <f t="shared" ref="V69" si="74">IF(V67&lt;0,0.45,0.5)</f>
        <v>0.5</v>
      </c>
      <c r="W69" s="264">
        <f>IF(W67&lt;0,0.45,0.5)</f>
        <v>0.5</v>
      </c>
      <c r="X69" s="598">
        <f t="shared" ref="X69:AA69" si="75">IF(X67&lt;0,0.45,IF(X67&lt;250,0.35,IF(X67&lt;500,0.4,0.45)))</f>
        <v>0.45</v>
      </c>
      <c r="Y69" s="598">
        <f t="shared" si="75"/>
        <v>0.45</v>
      </c>
      <c r="Z69" s="598">
        <f t="shared" si="75"/>
        <v>0.45</v>
      </c>
      <c r="AA69" s="598">
        <f t="shared" si="75"/>
        <v>0.45</v>
      </c>
      <c r="AB69" s="264">
        <f>IF(AB67&lt;0,0.45,IF(AB67&lt;250,0.35,IF(AB67&lt;500,0.4,0.45)))</f>
        <v>0.45</v>
      </c>
      <c r="AC69" s="598"/>
      <c r="AD69" s="598"/>
      <c r="AE69" s="598"/>
      <c r="AF69" s="598"/>
      <c r="AG69" s="264">
        <f>IF(AG67&lt;0,0.45,IF(AG67&lt;250,0.35,IF(AG67&lt;500,0.4,0.45)))</f>
        <v>0.45</v>
      </c>
      <c r="AH69" s="598"/>
      <c r="AI69" s="598"/>
      <c r="AJ69" s="598"/>
      <c r="AK69" s="598"/>
      <c r="AL69" s="264">
        <f>IF(AL67&lt;0,0.45,IF(AL67&lt;250,0.35,IF(AL67&lt;500,0.4,0.45)))</f>
        <v>0.35</v>
      </c>
      <c r="AM69" s="598"/>
      <c r="AN69" s="598"/>
      <c r="AO69" s="598"/>
      <c r="AP69" s="598"/>
      <c r="AQ69" s="264">
        <f>IF(AQ67&lt;0,0.45,IF(AQ67&lt;250,0.35,IF(AQ67&lt;500,0.4,0.45)))</f>
        <v>0.35</v>
      </c>
      <c r="AR69" s="598"/>
      <c r="AS69" s="598"/>
      <c r="AT69" s="598"/>
      <c r="AU69" s="598"/>
      <c r="AV69" s="264">
        <f>IF(AV67&lt;0,0.45,IF(AV67&lt;250,0.35,IF(AV67&lt;500,0.4,0.45)))</f>
        <v>0.35</v>
      </c>
      <c r="AW69" s="598"/>
      <c r="AX69" s="598"/>
      <c r="AY69" s="598"/>
      <c r="AZ69" s="598"/>
      <c r="BA69" s="264">
        <f>IF(BA67&lt;0,0.45,IF(BA67&lt;250,0.35,IF(BA67&lt;500,0.4,0.45)))</f>
        <v>0.35</v>
      </c>
      <c r="BB69" s="598"/>
      <c r="BC69" s="598"/>
      <c r="BD69" s="598"/>
      <c r="BE69" s="598"/>
      <c r="BF69" s="264">
        <f>IF(BF67&lt;0,0.45,IF(BF67&lt;250,0.35,IF(BF67&lt;500,0.4,0.45)))</f>
        <v>0.35</v>
      </c>
      <c r="BG69" s="598"/>
      <c r="BH69" s="598"/>
      <c r="BI69" s="598"/>
      <c r="BJ69" s="598"/>
      <c r="BK69" s="264">
        <f>IF(BK67&lt;0,0.45,IF(BK67&lt;250,0.35,IF(BK67&lt;500,0.4,0.45)))</f>
        <v>0.35</v>
      </c>
      <c r="BL69" s="598"/>
      <c r="BM69" s="598"/>
      <c r="BN69" s="598"/>
      <c r="BO69" s="598"/>
      <c r="BP69" s="264">
        <f>IF(BP67&lt;0,0.45,IF(BP67&lt;250,0.35,IF(BP67&lt;500,0.4,0.45)))</f>
        <v>0.35</v>
      </c>
      <c r="BQ69" s="264"/>
      <c r="BR69" s="264"/>
      <c r="BS69" s="264"/>
      <c r="BT69" s="264"/>
      <c r="BU69" s="264">
        <f>IF(BU67&lt;0,0.45,IF(BU67&lt;250,0.35,IF(BU67&lt;500,0.4,0.45)))</f>
        <v>0.4</v>
      </c>
      <c r="BZ69" s="264">
        <f>IF(BZ67&lt;0,0.45,IF(BZ67&lt;250,0.35,IF(BZ67&lt;500,0.4,0.45)))</f>
        <v>0.4</v>
      </c>
      <c r="CE69" s="264">
        <f>IF(CE67&lt;0,0.45,IF(CE67&lt;250,0.35,IF(CE67&lt;500,0.4,0.45)))</f>
        <v>0.35</v>
      </c>
      <c r="CJ69" s="264">
        <f>IF(CJ67&lt;0,0.45,IF(CJ67&lt;250,0.35,IF(CJ67&lt;500,0.4,0.45)))</f>
        <v>0.35</v>
      </c>
    </row>
    <row r="70" spans="2:90">
      <c r="B70" s="467" t="s">
        <v>717</v>
      </c>
      <c r="D70" s="427"/>
      <c r="E70" s="427"/>
      <c r="F70" s="427"/>
      <c r="G70" s="427"/>
      <c r="I70" s="427"/>
      <c r="J70" s="427"/>
      <c r="K70" s="427"/>
      <c r="L70" s="427"/>
      <c r="M70" s="178"/>
      <c r="N70" s="427"/>
      <c r="O70" s="427"/>
      <c r="P70" s="427"/>
      <c r="Q70" s="427"/>
      <c r="R70" s="178"/>
      <c r="S70" s="427"/>
      <c r="T70" s="427"/>
      <c r="U70" s="427"/>
      <c r="V70" s="513">
        <f t="shared" ref="V70" si="76">V69*V67</f>
        <v>3.2173913043478386E-2</v>
      </c>
      <c r="W70" s="178">
        <f>W69*W67</f>
        <v>3.2173913043478386E-2</v>
      </c>
      <c r="X70" s="513">
        <f t="shared" ref="X70:AA70" si="77">X69*X67</f>
        <v>-2.7945000000000002</v>
      </c>
      <c r="Y70" s="513">
        <f t="shared" si="77"/>
        <v>-2.6831250000000004</v>
      </c>
      <c r="Z70" s="513">
        <f t="shared" si="77"/>
        <v>-2.5034062500000007</v>
      </c>
      <c r="AA70" s="513">
        <f t="shared" si="77"/>
        <v>-8.1075518804347819</v>
      </c>
      <c r="AB70" s="178">
        <f>AB69*AB67</f>
        <v>-16.088583130434785</v>
      </c>
      <c r="AC70" s="521"/>
      <c r="AD70" s="521"/>
      <c r="AE70" s="521"/>
      <c r="AF70" s="521"/>
      <c r="AG70" s="178">
        <f>AG69*AG67</f>
        <v>-0.84375</v>
      </c>
      <c r="AH70" s="521"/>
      <c r="AI70" s="521"/>
      <c r="AJ70" s="521"/>
      <c r="AK70" s="521"/>
      <c r="AL70" s="178">
        <f>AL69*AL67</f>
        <v>8.1305000000000014</v>
      </c>
      <c r="AM70" s="521"/>
      <c r="AN70" s="521"/>
      <c r="AO70" s="521"/>
      <c r="AP70" s="521"/>
      <c r="AQ70" s="178">
        <f>AQ69*AQ67</f>
        <v>26.423249999999999</v>
      </c>
      <c r="AR70" s="521"/>
      <c r="AS70" s="521"/>
      <c r="AT70" s="521"/>
      <c r="AU70" s="521"/>
      <c r="AV70" s="178">
        <f>AV69*AV67</f>
        <v>39.926249999999996</v>
      </c>
      <c r="AW70" s="521"/>
      <c r="AX70" s="521"/>
      <c r="AY70" s="521"/>
      <c r="AZ70" s="521"/>
      <c r="BA70" s="178">
        <f>BA69*BA67</f>
        <v>53.030249999999995</v>
      </c>
      <c r="BB70" s="521"/>
      <c r="BC70" s="521"/>
      <c r="BD70" s="521"/>
      <c r="BE70" s="521"/>
      <c r="BF70" s="178">
        <f>BF69*BF67</f>
        <v>63.615824999999994</v>
      </c>
      <c r="BG70" s="521"/>
      <c r="BH70" s="521"/>
      <c r="BI70" s="521"/>
      <c r="BJ70" s="521"/>
      <c r="BK70" s="178">
        <f>BK69*BK67</f>
        <v>74.120366249999989</v>
      </c>
      <c r="BL70" s="521"/>
      <c r="BM70" s="521"/>
      <c r="BN70" s="521"/>
      <c r="BO70" s="521"/>
      <c r="BP70" s="178">
        <f>BP69*BP67</f>
        <v>84.539822062499979</v>
      </c>
      <c r="BQ70" s="178"/>
      <c r="BR70" s="178"/>
      <c r="BS70" s="178"/>
      <c r="BT70" s="178"/>
      <c r="BU70" s="178">
        <f>BU69*BU67</f>
        <v>109.280447685</v>
      </c>
      <c r="BZ70" s="178">
        <f>BZ69*BZ67</f>
        <v>101.01520887712498</v>
      </c>
      <c r="CE70" s="178">
        <f>CE69*CE67</f>
        <v>86.611378922834049</v>
      </c>
      <c r="CJ70" s="178">
        <f>CJ69*CJ67</f>
        <v>78.331257528551575</v>
      </c>
    </row>
    <row r="71" spans="2:90">
      <c r="D71" s="427"/>
      <c r="E71" s="427"/>
      <c r="F71" s="427"/>
      <c r="G71" s="427"/>
      <c r="I71" s="427"/>
      <c r="J71" s="427"/>
      <c r="K71" s="427"/>
      <c r="L71" s="427"/>
      <c r="N71" s="427"/>
      <c r="O71" s="427"/>
      <c r="P71" s="427"/>
      <c r="Q71" s="427"/>
      <c r="S71" s="427"/>
      <c r="T71" s="427"/>
      <c r="U71" s="427"/>
      <c r="V71" s="427"/>
      <c r="X71" s="427"/>
      <c r="Y71" s="427"/>
      <c r="Z71" s="427"/>
      <c r="AA71" s="427"/>
      <c r="AC71" s="427"/>
      <c r="AD71" s="427"/>
      <c r="AE71" s="427"/>
      <c r="AF71" s="427"/>
      <c r="AH71" s="427"/>
      <c r="AI71" s="427"/>
      <c r="AJ71" s="427"/>
      <c r="AK71" s="427"/>
      <c r="AM71" s="427"/>
      <c r="AN71" s="427"/>
      <c r="AO71" s="427"/>
      <c r="AP71" s="427"/>
      <c r="AR71" s="427"/>
      <c r="AS71" s="427"/>
      <c r="AT71" s="427"/>
      <c r="AU71" s="427"/>
      <c r="AW71" s="427"/>
      <c r="AX71" s="427"/>
      <c r="AY71" s="427"/>
      <c r="AZ71" s="427"/>
      <c r="BB71" s="427"/>
      <c r="BC71" s="427"/>
      <c r="BD71" s="427"/>
      <c r="BE71" s="427"/>
      <c r="BG71" s="427"/>
      <c r="BH71" s="427"/>
      <c r="BI71" s="427"/>
      <c r="BJ71" s="427"/>
      <c r="BL71" s="427"/>
      <c r="BM71" s="427"/>
      <c r="BN71" s="427"/>
      <c r="BO71" s="427"/>
    </row>
    <row r="72" spans="2:90">
      <c r="B72" s="173" t="s">
        <v>722</v>
      </c>
      <c r="C72" s="173"/>
      <c r="D72" s="435"/>
      <c r="E72" s="435"/>
      <c r="F72" s="435"/>
      <c r="G72" s="435"/>
      <c r="H72" s="173"/>
      <c r="I72" s="435"/>
      <c r="J72" s="435"/>
      <c r="K72" s="435"/>
      <c r="L72" s="435"/>
      <c r="M72" s="276"/>
      <c r="N72" s="599">
        <f t="shared" ref="N72:P72" si="78">N59+N70</f>
        <v>0</v>
      </c>
      <c r="O72" s="599">
        <f t="shared" si="78"/>
        <v>0</v>
      </c>
      <c r="P72" s="599">
        <f t="shared" si="78"/>
        <v>0</v>
      </c>
      <c r="Q72" s="599">
        <f>Q59+Q70</f>
        <v>0</v>
      </c>
      <c r="R72" s="276">
        <f>SUM(N72:Q72)</f>
        <v>0</v>
      </c>
      <c r="S72" s="599">
        <f t="shared" ref="S72:V72" si="79">S59+S70</f>
        <v>0</v>
      </c>
      <c r="T72" s="599">
        <f t="shared" si="79"/>
        <v>-2.6759999999999997</v>
      </c>
      <c r="U72" s="599">
        <f t="shared" si="79"/>
        <v>-5.0522999999999998</v>
      </c>
      <c r="V72" s="599">
        <f t="shared" si="79"/>
        <v>-5.6151304347826079</v>
      </c>
      <c r="W72" s="276">
        <f>W70+W59</f>
        <v>-13.343430434782608</v>
      </c>
      <c r="X72" s="533">
        <f t="shared" ref="X72:AA72" si="80">X70+X59</f>
        <v>4.7054999999999998</v>
      </c>
      <c r="Y72" s="533">
        <f t="shared" si="80"/>
        <v>4.8543749999999974</v>
      </c>
      <c r="Z72" s="533">
        <f t="shared" si="80"/>
        <v>5.0650312499999952</v>
      </c>
      <c r="AA72" s="533">
        <f t="shared" si="80"/>
        <v>0.53651061956522206</v>
      </c>
      <c r="AB72" s="276">
        <f>AB70+AB59</f>
        <v>15.161416869565215</v>
      </c>
      <c r="AC72" s="435"/>
      <c r="AD72" s="435"/>
      <c r="AE72" s="435"/>
      <c r="AF72" s="435"/>
      <c r="AG72" s="276">
        <f>AG70+AG59</f>
        <v>44.90625</v>
      </c>
      <c r="AH72" s="435"/>
      <c r="AI72" s="435"/>
      <c r="AJ72" s="435"/>
      <c r="AK72" s="435"/>
      <c r="AL72" s="276">
        <f>AL70+AL59</f>
        <v>79.005499999999998</v>
      </c>
      <c r="AM72" s="435"/>
      <c r="AN72" s="435"/>
      <c r="AO72" s="435"/>
      <c r="AP72" s="435"/>
      <c r="AQ72" s="276">
        <f>AQ70+AQ59</f>
        <v>120.0795</v>
      </c>
      <c r="AR72" s="435"/>
      <c r="AS72" s="435"/>
      <c r="AT72" s="435"/>
      <c r="AU72" s="435"/>
      <c r="AV72" s="276">
        <f>AV70+AV59</f>
        <v>154.01531249999999</v>
      </c>
      <c r="AW72" s="435"/>
      <c r="AX72" s="435"/>
      <c r="AY72" s="435"/>
      <c r="AZ72" s="435"/>
      <c r="BA72" s="276">
        <f>BA70+BA59</f>
        <v>187.44876562499999</v>
      </c>
      <c r="BB72" s="435"/>
      <c r="BC72" s="435"/>
      <c r="BD72" s="435"/>
      <c r="BE72" s="435"/>
      <c r="BF72" s="276">
        <f>BF70+BF59</f>
        <v>218.25526640625</v>
      </c>
      <c r="BG72" s="435"/>
      <c r="BH72" s="435"/>
      <c r="BI72" s="435"/>
      <c r="BJ72" s="435"/>
      <c r="BK72" s="276">
        <f>BK70+BK59</f>
        <v>248.86677972656247</v>
      </c>
      <c r="BL72" s="435"/>
      <c r="BM72" s="435"/>
      <c r="BN72" s="435"/>
      <c r="BO72" s="435"/>
      <c r="BP72" s="276">
        <f>BP70+BP59</f>
        <v>279.27355621289058</v>
      </c>
      <c r="BQ72" s="276"/>
      <c r="BR72" s="276"/>
      <c r="BS72" s="276"/>
      <c r="BT72" s="276"/>
      <c r="BU72" s="276">
        <f>BU70+BU59</f>
        <v>326.12586854291015</v>
      </c>
      <c r="BV72" s="1003"/>
      <c r="BW72" s="1003"/>
      <c r="BX72" s="1003"/>
      <c r="BY72" s="1003"/>
      <c r="BZ72" s="276">
        <f>BZ70+BZ59</f>
        <v>336.89426525648287</v>
      </c>
      <c r="CE72" s="276">
        <f>CE70+CE59</f>
        <v>328.9553086478823</v>
      </c>
      <c r="CJ72" s="276">
        <f>CJ70+CJ59</f>
        <v>325.17496928484985</v>
      </c>
    </row>
    <row r="73" spans="2:90">
      <c r="D73" s="427"/>
      <c r="E73" s="427"/>
      <c r="F73" s="427"/>
      <c r="G73" s="427"/>
      <c r="I73" s="427"/>
      <c r="J73" s="427"/>
      <c r="K73" s="427"/>
      <c r="L73" s="427"/>
      <c r="N73" s="427"/>
      <c r="O73" s="427"/>
      <c r="P73" s="427"/>
      <c r="Q73" s="427"/>
      <c r="S73" s="427"/>
      <c r="T73" s="427"/>
      <c r="U73" s="427"/>
      <c r="V73" s="427"/>
      <c r="W73" s="222"/>
      <c r="X73" s="427"/>
      <c r="Y73" s="427"/>
      <c r="Z73" s="427"/>
      <c r="AA73" s="427"/>
      <c r="AB73" s="222"/>
      <c r="AC73" s="427"/>
      <c r="AD73" s="427"/>
      <c r="AE73" s="427"/>
      <c r="AF73" s="427"/>
      <c r="AG73" s="222"/>
      <c r="AH73" s="427"/>
      <c r="AI73" s="427"/>
      <c r="AJ73" s="427"/>
      <c r="AK73" s="427"/>
      <c r="AL73" s="222"/>
      <c r="AM73" s="427"/>
      <c r="AN73" s="427"/>
      <c r="AO73" s="427"/>
      <c r="AP73" s="427"/>
      <c r="AQ73" s="222"/>
      <c r="AR73" s="427"/>
      <c r="AS73" s="427"/>
      <c r="AT73" s="427"/>
      <c r="AU73" s="427"/>
      <c r="AV73" s="222"/>
      <c r="AW73" s="427"/>
      <c r="AX73" s="427"/>
      <c r="AY73" s="427"/>
      <c r="AZ73" s="427"/>
      <c r="BA73" s="222"/>
      <c r="BB73" s="427"/>
      <c r="BC73" s="427"/>
      <c r="BD73" s="427"/>
      <c r="BE73" s="427"/>
      <c r="BF73" s="222"/>
      <c r="BG73" s="427"/>
      <c r="BH73" s="427"/>
      <c r="BI73" s="427"/>
      <c r="BJ73" s="427"/>
      <c r="BK73" s="222"/>
      <c r="BL73" s="427"/>
      <c r="BM73" s="427"/>
      <c r="BN73" s="427"/>
      <c r="BO73" s="427"/>
      <c r="BP73" s="222"/>
      <c r="BQ73" s="222"/>
      <c r="BR73" s="222"/>
      <c r="BS73" s="222"/>
      <c r="BT73" s="222"/>
      <c r="BU73" s="265"/>
      <c r="BV73" s="265"/>
      <c r="BW73" s="265"/>
      <c r="BX73" s="265"/>
      <c r="BY73" s="265"/>
    </row>
    <row r="74" spans="2:90">
      <c r="B74" s="176" t="s">
        <v>14</v>
      </c>
      <c r="C74" s="178"/>
      <c r="D74" s="427"/>
      <c r="E74" s="427"/>
      <c r="F74" s="427"/>
      <c r="G74" s="427"/>
      <c r="H74" s="178">
        <f>IF(H72&gt;0,H75*H72,0)</f>
        <v>0</v>
      </c>
      <c r="I74" s="427"/>
      <c r="J74" s="427"/>
      <c r="K74" s="427"/>
      <c r="L74" s="427"/>
      <c r="M74" s="178">
        <f>IF(M72&gt;0,M75*M72,0)</f>
        <v>0</v>
      </c>
      <c r="N74" s="513">
        <f t="shared" ref="N74:P74" si="81">IF(N72&gt;0,N75*N72,0)</f>
        <v>0</v>
      </c>
      <c r="O74" s="513">
        <f t="shared" si="81"/>
        <v>0</v>
      </c>
      <c r="P74" s="513">
        <f t="shared" si="81"/>
        <v>0</v>
      </c>
      <c r="Q74" s="513">
        <v>0</v>
      </c>
      <c r="R74" s="178">
        <v>0</v>
      </c>
      <c r="S74" s="427"/>
      <c r="T74" s="427"/>
      <c r="U74" s="427"/>
      <c r="V74" s="427">
        <v>0</v>
      </c>
      <c r="W74" s="178">
        <f>IF(W72&gt;0,W75*W72,0)</f>
        <v>0</v>
      </c>
      <c r="X74" s="513">
        <f t="shared" ref="X74:AA74" si="82">IF(X72&gt;0,X75*X72,0)</f>
        <v>0.70582499999999992</v>
      </c>
      <c r="Y74" s="513">
        <f t="shared" si="82"/>
        <v>0.72815624999999962</v>
      </c>
      <c r="Z74" s="513">
        <f t="shared" si="82"/>
        <v>0.7597546874999993</v>
      </c>
      <c r="AA74" s="513">
        <f t="shared" si="82"/>
        <v>8.0476592934783306E-2</v>
      </c>
      <c r="AB74" s="178">
        <f>IF(AB72&gt;0,AB75*AB72,0)</f>
        <v>2.2742125304347822</v>
      </c>
      <c r="AC74" s="427"/>
      <c r="AD74" s="427"/>
      <c r="AE74" s="427"/>
      <c r="AF74" s="427"/>
      <c r="AG74" s="178">
        <f>IF(AG72&gt;0,AG75*AG72,0)</f>
        <v>6.7359374999999995</v>
      </c>
      <c r="AH74" s="427"/>
      <c r="AI74" s="427"/>
      <c r="AJ74" s="427"/>
      <c r="AK74" s="427"/>
      <c r="AL74" s="178">
        <f>IF(AL72&gt;0,AL75*AL72,0)</f>
        <v>11.850824999999999</v>
      </c>
      <c r="AM74" s="427"/>
      <c r="AN74" s="427"/>
      <c r="AO74" s="427"/>
      <c r="AP74" s="427"/>
      <c r="AQ74" s="178">
        <f>IF(AQ72&gt;0,AQ75*AQ72,0)</f>
        <v>18.011924999999998</v>
      </c>
      <c r="AR74" s="513"/>
      <c r="AS74" s="513"/>
      <c r="AT74" s="513"/>
      <c r="AU74" s="513"/>
      <c r="AV74" s="178">
        <f>IF(AV72&gt;0,AV75*AV72,0)</f>
        <v>23.102296874999997</v>
      </c>
      <c r="AW74" s="513"/>
      <c r="AX74" s="513"/>
      <c r="AY74" s="513"/>
      <c r="AZ74" s="513"/>
      <c r="BA74" s="178">
        <f>IF(BA72&gt;0,BA75*BA72,0)</f>
        <v>28.117314843749998</v>
      </c>
      <c r="BB74" s="513"/>
      <c r="BC74" s="513"/>
      <c r="BD74" s="513"/>
      <c r="BE74" s="513"/>
      <c r="BF74" s="178">
        <f>IF(BF72&gt;0,BF75*BF72,0)</f>
        <v>32.7382899609375</v>
      </c>
      <c r="BG74" s="513"/>
      <c r="BH74" s="513"/>
      <c r="BI74" s="513"/>
      <c r="BJ74" s="513"/>
      <c r="BK74" s="178">
        <f>IF(BK72&gt;0,BK75*BK72,0)</f>
        <v>37.330016958984366</v>
      </c>
      <c r="BL74" s="513"/>
      <c r="BM74" s="513"/>
      <c r="BN74" s="513"/>
      <c r="BO74" s="513"/>
      <c r="BP74" s="178">
        <f>IF(BP72&gt;0,BP75*BP72,0)</f>
        <v>41.891033431933586</v>
      </c>
      <c r="BQ74" s="178"/>
      <c r="BR74" s="178"/>
      <c r="BS74" s="178"/>
      <c r="BT74" s="178"/>
      <c r="BU74" s="178">
        <f>IF(BU72&gt;0,BU75*BU72,0)</f>
        <v>48.918880281436522</v>
      </c>
      <c r="BV74" s="178"/>
      <c r="BW74" s="178"/>
      <c r="BX74" s="178"/>
      <c r="BY74" s="178"/>
      <c r="BZ74" s="178">
        <f>IF(BZ72&gt;0,BZ75*BZ72,0)</f>
        <v>50.53413978847243</v>
      </c>
      <c r="CE74" s="178">
        <f>IF(CE72&gt;0,CE75*CE72,0)</f>
        <v>49.343296297182341</v>
      </c>
      <c r="CJ74" s="178">
        <f>IF(CJ72&gt;0,CJ75*CJ72,0)</f>
        <v>48.776245392727475</v>
      </c>
    </row>
    <row r="75" spans="2:90" s="186" customFormat="1">
      <c r="B75" s="266" t="s">
        <v>718</v>
      </c>
      <c r="C75" s="600"/>
      <c r="D75" s="601"/>
      <c r="E75" s="601"/>
      <c r="F75" s="601"/>
      <c r="G75" s="601"/>
      <c r="H75" s="812">
        <v>0.15</v>
      </c>
      <c r="I75" s="601"/>
      <c r="J75" s="601"/>
      <c r="K75" s="601"/>
      <c r="L75" s="601"/>
      <c r="M75" s="812">
        <v>0.15</v>
      </c>
      <c r="N75" s="863">
        <f t="shared" ref="N75:P75" si="83">O75</f>
        <v>0.15</v>
      </c>
      <c r="O75" s="863">
        <f t="shared" si="83"/>
        <v>0.15</v>
      </c>
      <c r="P75" s="863">
        <f t="shared" si="83"/>
        <v>0.15</v>
      </c>
      <c r="Q75" s="863">
        <f>R75</f>
        <v>0.15</v>
      </c>
      <c r="R75" s="267">
        <f>M75</f>
        <v>0.15</v>
      </c>
      <c r="S75" s="601"/>
      <c r="T75" s="601"/>
      <c r="U75" s="601"/>
      <c r="V75" s="601"/>
      <c r="W75" s="267">
        <f>R75</f>
        <v>0.15</v>
      </c>
      <c r="X75" s="927">
        <f>AB75</f>
        <v>0.15</v>
      </c>
      <c r="Y75" s="927">
        <f>X75</f>
        <v>0.15</v>
      </c>
      <c r="Z75" s="928">
        <f t="shared" ref="Z75:AA75" si="84">Y75</f>
        <v>0.15</v>
      </c>
      <c r="AA75" s="928">
        <f t="shared" si="84"/>
        <v>0.15</v>
      </c>
      <c r="AB75" s="267">
        <f>W75</f>
        <v>0.15</v>
      </c>
      <c r="AC75" s="601"/>
      <c r="AD75" s="601"/>
      <c r="AE75" s="601"/>
      <c r="AF75" s="601"/>
      <c r="AG75" s="267">
        <f>AB75</f>
        <v>0.15</v>
      </c>
      <c r="AH75" s="601"/>
      <c r="AI75" s="601"/>
      <c r="AJ75" s="601"/>
      <c r="AK75" s="601"/>
      <c r="AL75" s="267">
        <f>AG75</f>
        <v>0.15</v>
      </c>
      <c r="AM75" s="601"/>
      <c r="AN75" s="601"/>
      <c r="AO75" s="601"/>
      <c r="AP75" s="601"/>
      <c r="AQ75" s="267">
        <f>AL75</f>
        <v>0.15</v>
      </c>
      <c r="AR75" s="602"/>
      <c r="AS75" s="602"/>
      <c r="AT75" s="602"/>
      <c r="AU75" s="602"/>
      <c r="AV75" s="267">
        <f>AQ75</f>
        <v>0.15</v>
      </c>
      <c r="AW75" s="602"/>
      <c r="AX75" s="602"/>
      <c r="AY75" s="602"/>
      <c r="AZ75" s="602"/>
      <c r="BA75" s="267">
        <f>AV75</f>
        <v>0.15</v>
      </c>
      <c r="BB75" s="602"/>
      <c r="BC75" s="602"/>
      <c r="BD75" s="602"/>
      <c r="BE75" s="602"/>
      <c r="BF75" s="267">
        <f>BA75</f>
        <v>0.15</v>
      </c>
      <c r="BG75" s="602"/>
      <c r="BH75" s="602"/>
      <c r="BI75" s="602"/>
      <c r="BJ75" s="602"/>
      <c r="BK75" s="267">
        <f>BF75</f>
        <v>0.15</v>
      </c>
      <c r="BL75" s="602"/>
      <c r="BM75" s="602"/>
      <c r="BN75" s="602"/>
      <c r="BO75" s="602"/>
      <c r="BP75" s="267">
        <f>BK75</f>
        <v>0.15</v>
      </c>
      <c r="BQ75" s="267"/>
      <c r="BR75" s="267"/>
      <c r="BS75" s="267"/>
      <c r="BT75" s="267"/>
      <c r="BU75" s="267">
        <f>BP75</f>
        <v>0.15</v>
      </c>
      <c r="BV75" s="267"/>
      <c r="BW75" s="267"/>
      <c r="BX75" s="267"/>
      <c r="BY75" s="267"/>
      <c r="BZ75" s="267">
        <f>BU75</f>
        <v>0.15</v>
      </c>
      <c r="CE75" s="267">
        <f>BZ75</f>
        <v>0.15</v>
      </c>
      <c r="CJ75" s="267">
        <f>CE75</f>
        <v>0.15</v>
      </c>
    </row>
    <row r="76" spans="2:90">
      <c r="B76" s="173" t="s">
        <v>719</v>
      </c>
      <c r="C76" s="225"/>
      <c r="D76" s="435"/>
      <c r="E76" s="435"/>
      <c r="F76" s="435"/>
      <c r="G76" s="435"/>
      <c r="H76" s="225">
        <f>H72-H74</f>
        <v>0</v>
      </c>
      <c r="I76" s="435"/>
      <c r="J76" s="435"/>
      <c r="K76" s="435"/>
      <c r="L76" s="435"/>
      <c r="M76" s="225">
        <f>M72-M74</f>
        <v>0</v>
      </c>
      <c r="N76" s="533">
        <f t="shared" ref="N76:P76" si="85">N72-N74</f>
        <v>0</v>
      </c>
      <c r="O76" s="533">
        <f t="shared" si="85"/>
        <v>0</v>
      </c>
      <c r="P76" s="533">
        <f t="shared" si="85"/>
        <v>0</v>
      </c>
      <c r="Q76" s="533">
        <f>Q72-Q74</f>
        <v>0</v>
      </c>
      <c r="R76" s="225">
        <f>R72-R74</f>
        <v>0</v>
      </c>
      <c r="S76" s="435"/>
      <c r="T76" s="435"/>
      <c r="U76" s="435"/>
      <c r="V76" s="533">
        <f>V72-V74</f>
        <v>-5.6151304347826079</v>
      </c>
      <c r="W76" s="225">
        <f>W72-W74</f>
        <v>-13.343430434782608</v>
      </c>
      <c r="X76" s="533">
        <f t="shared" ref="X76:AA76" si="86">X72-X74</f>
        <v>3.9996749999999999</v>
      </c>
      <c r="Y76" s="533">
        <f t="shared" si="86"/>
        <v>4.1262187499999978</v>
      </c>
      <c r="Z76" s="533">
        <f t="shared" si="86"/>
        <v>4.305276562499996</v>
      </c>
      <c r="AA76" s="533">
        <f t="shared" si="86"/>
        <v>0.45603402663043874</v>
      </c>
      <c r="AB76" s="225">
        <f>AB72-AB74</f>
        <v>12.887204339130433</v>
      </c>
      <c r="AC76" s="603"/>
      <c r="AD76" s="603"/>
      <c r="AE76" s="603"/>
      <c r="AF76" s="603"/>
      <c r="AG76" s="225">
        <f>AG72-AG74</f>
        <v>38.170312500000001</v>
      </c>
      <c r="AH76" s="603"/>
      <c r="AI76" s="603"/>
      <c r="AJ76" s="603"/>
      <c r="AK76" s="603"/>
      <c r="AL76" s="225">
        <f>AL72-AL74</f>
        <v>67.154674999999997</v>
      </c>
      <c r="AM76" s="435"/>
      <c r="AN76" s="435"/>
      <c r="AO76" s="435"/>
      <c r="AP76" s="435"/>
      <c r="AQ76" s="225">
        <f>AQ72-AQ74</f>
        <v>102.06757500000001</v>
      </c>
      <c r="AR76" s="435"/>
      <c r="AS76" s="435"/>
      <c r="AT76" s="435"/>
      <c r="AU76" s="435"/>
      <c r="AV76" s="225">
        <f>AV72-AV74</f>
        <v>130.91301562499999</v>
      </c>
      <c r="AW76" s="435"/>
      <c r="AX76" s="435"/>
      <c r="AY76" s="435"/>
      <c r="AZ76" s="435"/>
      <c r="BA76" s="225">
        <f>BA72-BA74</f>
        <v>159.33145078125</v>
      </c>
      <c r="BB76" s="435"/>
      <c r="BC76" s="435"/>
      <c r="BD76" s="435"/>
      <c r="BE76" s="435"/>
      <c r="BF76" s="225">
        <f>BF72-BF74</f>
        <v>185.51697644531251</v>
      </c>
      <c r="BG76" s="435"/>
      <c r="BH76" s="435"/>
      <c r="BI76" s="435"/>
      <c r="BJ76" s="435"/>
      <c r="BK76" s="225">
        <f>BK72-BK74</f>
        <v>211.5367627675781</v>
      </c>
      <c r="BL76" s="435"/>
      <c r="BM76" s="435"/>
      <c r="BN76" s="435"/>
      <c r="BO76" s="435"/>
      <c r="BP76" s="225">
        <f>BP72-BP74</f>
        <v>237.382522780957</v>
      </c>
      <c r="BQ76" s="225"/>
      <c r="BR76" s="225"/>
      <c r="BS76" s="225"/>
      <c r="BT76" s="225"/>
      <c r="BU76" s="445">
        <f>BU72-BU74</f>
        <v>277.20698826147361</v>
      </c>
      <c r="BV76" s="1004"/>
      <c r="BW76" s="1004"/>
      <c r="BX76" s="1004"/>
      <c r="BY76" s="1004"/>
      <c r="BZ76" s="445">
        <f>BZ72-BZ74</f>
        <v>286.36012546801044</v>
      </c>
      <c r="CE76" s="445">
        <f>CE72-CE74</f>
        <v>279.61201235069996</v>
      </c>
      <c r="CJ76" s="445">
        <f>CJ72-CJ74</f>
        <v>276.39872389212235</v>
      </c>
    </row>
    <row r="77" spans="2:90" ht="13.5" customHeight="1">
      <c r="B77" s="268"/>
    </row>
    <row r="78" spans="2:90" collapsed="1">
      <c r="B78" s="593" t="s">
        <v>723</v>
      </c>
      <c r="C78" s="594"/>
      <c r="D78" s="594"/>
      <c r="E78" s="594"/>
      <c r="F78" s="594"/>
      <c r="G78" s="594"/>
      <c r="H78" s="594"/>
      <c r="I78" s="594"/>
      <c r="J78" s="594"/>
      <c r="K78" s="594"/>
      <c r="L78" s="594"/>
      <c r="M78" s="594"/>
      <c r="N78" s="594"/>
      <c r="O78" s="594"/>
      <c r="P78" s="594"/>
      <c r="Q78" s="594"/>
      <c r="R78" s="594"/>
      <c r="S78" s="594"/>
      <c r="T78" s="594"/>
      <c r="U78" s="594"/>
      <c r="V78" s="594"/>
      <c r="W78" s="594"/>
      <c r="X78" s="594"/>
      <c r="Y78" s="594"/>
      <c r="Z78" s="594"/>
      <c r="AA78" s="594"/>
      <c r="AB78" s="594"/>
      <c r="AC78" s="594"/>
      <c r="AD78" s="594"/>
      <c r="AE78" s="594"/>
      <c r="AF78" s="594"/>
      <c r="AG78" s="594"/>
      <c r="AH78" s="594"/>
      <c r="AI78" s="594"/>
      <c r="AJ78" s="594"/>
      <c r="AK78" s="594"/>
      <c r="AL78" s="594"/>
      <c r="AM78" s="594"/>
      <c r="AN78" s="594"/>
      <c r="AO78" s="594"/>
      <c r="AP78" s="594"/>
      <c r="AQ78" s="594"/>
      <c r="AR78" s="594"/>
      <c r="AS78" s="594"/>
      <c r="AT78" s="594"/>
      <c r="AU78" s="594"/>
      <c r="AV78" s="594"/>
      <c r="AW78" s="594"/>
      <c r="AX78" s="594"/>
      <c r="AY78" s="594"/>
      <c r="AZ78" s="594"/>
      <c r="BA78" s="594"/>
      <c r="BB78" s="594"/>
      <c r="BC78" s="594"/>
      <c r="BD78" s="594"/>
      <c r="BE78" s="594"/>
      <c r="BF78" s="594"/>
      <c r="BG78" s="594"/>
      <c r="BH78" s="594"/>
      <c r="BI78" s="594"/>
      <c r="BJ78" s="594"/>
      <c r="BK78" s="594"/>
      <c r="BL78" s="594"/>
      <c r="BM78" s="594"/>
      <c r="BN78" s="594"/>
      <c r="BO78" s="594"/>
      <c r="BP78" s="594"/>
      <c r="BQ78" s="996"/>
      <c r="BR78" s="996"/>
      <c r="BS78" s="996"/>
      <c r="BT78" s="996"/>
      <c r="BU78" s="594"/>
      <c r="BZ78" s="594"/>
      <c r="CE78" s="594"/>
      <c r="CJ78" s="594"/>
      <c r="CK78" s="1009" t="s">
        <v>836</v>
      </c>
      <c r="CL78" s="188" t="s">
        <v>840</v>
      </c>
    </row>
    <row r="79" spans="2:90">
      <c r="D79" s="427"/>
      <c r="E79" s="427"/>
      <c r="F79" s="427"/>
      <c r="G79" s="427"/>
      <c r="I79" s="427"/>
      <c r="J79" s="427"/>
      <c r="K79" s="427"/>
      <c r="L79" s="427"/>
      <c r="N79" s="427"/>
      <c r="O79" s="427"/>
      <c r="P79" s="427"/>
      <c r="Q79" s="427"/>
      <c r="S79" s="427"/>
      <c r="T79" s="427"/>
      <c r="U79" s="427"/>
      <c r="V79" s="427"/>
      <c r="X79" s="427"/>
      <c r="Y79" s="427"/>
      <c r="Z79" s="427"/>
      <c r="AA79" s="427"/>
      <c r="AC79" s="427"/>
      <c r="AD79" s="427"/>
      <c r="AE79" s="427"/>
      <c r="AF79" s="427"/>
      <c r="AH79" s="427"/>
      <c r="AI79" s="427"/>
      <c r="AJ79" s="427"/>
      <c r="AK79" s="427"/>
      <c r="AM79" s="427"/>
      <c r="AN79" s="427"/>
      <c r="AO79" s="427"/>
      <c r="AP79" s="427"/>
      <c r="AR79" s="427"/>
      <c r="AS79" s="427"/>
      <c r="AT79" s="427"/>
      <c r="AU79" s="427"/>
      <c r="AW79" s="427"/>
      <c r="AX79" s="427"/>
      <c r="AY79" s="427"/>
      <c r="AZ79" s="427"/>
      <c r="BB79" s="427"/>
      <c r="BC79" s="427"/>
      <c r="BD79" s="427"/>
      <c r="BE79" s="427"/>
      <c r="BG79" s="427"/>
      <c r="BH79" s="427"/>
      <c r="BI79" s="427"/>
      <c r="BJ79" s="427"/>
      <c r="BL79" s="427"/>
      <c r="BM79" s="427"/>
      <c r="BN79" s="427"/>
      <c r="BO79" s="427"/>
    </row>
    <row r="80" spans="2:90" ht="13.5" thickBot="1">
      <c r="B80" s="259" t="s">
        <v>702</v>
      </c>
      <c r="C80" s="261"/>
      <c r="D80" s="595"/>
      <c r="E80" s="595"/>
      <c r="F80" s="595"/>
      <c r="G80" s="595"/>
      <c r="H80" s="261"/>
      <c r="I80" s="595"/>
      <c r="J80" s="595"/>
      <c r="K80" s="595"/>
      <c r="L80" s="595"/>
      <c r="M80" s="261"/>
      <c r="N80" s="595"/>
      <c r="O80" s="595"/>
      <c r="P80" s="595"/>
      <c r="Q80" s="595"/>
      <c r="R80" s="261"/>
      <c r="S80" s="595"/>
      <c r="T80" s="595"/>
      <c r="U80" s="595"/>
      <c r="V80" s="595"/>
      <c r="W80" s="262"/>
      <c r="X80" s="595"/>
      <c r="Y80" s="595"/>
      <c r="Z80" s="595"/>
      <c r="AA80" s="595"/>
      <c r="AB80" s="262"/>
      <c r="AC80" s="595"/>
      <c r="AD80" s="595"/>
      <c r="AE80" s="595"/>
      <c r="AF80" s="595"/>
      <c r="AG80" s="262"/>
      <c r="AH80" s="595"/>
      <c r="AI80" s="595"/>
      <c r="AJ80" s="595"/>
      <c r="AK80" s="595"/>
      <c r="AL80" s="1046"/>
      <c r="AM80" s="595"/>
      <c r="AN80" s="595"/>
      <c r="AO80" s="595"/>
      <c r="AP80" s="595"/>
      <c r="AQ80" s="262"/>
      <c r="AR80" s="595"/>
      <c r="AS80" s="595"/>
      <c r="AT80" s="595"/>
      <c r="AU80" s="595"/>
      <c r="AV80" s="262"/>
      <c r="AW80" s="595"/>
      <c r="AX80" s="595"/>
      <c r="AY80" s="595"/>
      <c r="AZ80" s="595"/>
      <c r="BA80" s="262"/>
      <c r="BB80" s="595"/>
      <c r="BC80" s="595"/>
      <c r="BD80" s="595"/>
      <c r="BE80" s="595"/>
      <c r="BF80" s="262"/>
      <c r="BG80" s="595"/>
      <c r="BH80" s="595"/>
      <c r="BI80" s="595"/>
      <c r="BJ80" s="595"/>
      <c r="BK80" s="262"/>
      <c r="BL80" s="595"/>
      <c r="BM80" s="595"/>
      <c r="BN80" s="595"/>
      <c r="BO80" s="595"/>
      <c r="BP80" s="262"/>
      <c r="BQ80" s="999"/>
      <c r="BR80" s="999"/>
      <c r="BS80" s="999"/>
      <c r="BT80" s="999"/>
      <c r="BU80" s="262"/>
      <c r="BV80" s="263"/>
      <c r="BW80" s="263"/>
      <c r="BX80" s="263"/>
      <c r="BY80" s="263"/>
      <c r="BZ80" s="262"/>
      <c r="CE80" s="262"/>
      <c r="CJ80" s="262"/>
    </row>
    <row r="81" spans="2:100">
      <c r="B81" s="125" t="s">
        <v>721</v>
      </c>
      <c r="D81" s="427"/>
      <c r="E81" s="427"/>
      <c r="F81" s="427"/>
      <c r="G81" s="427"/>
      <c r="I81" s="427"/>
      <c r="J81" s="427"/>
      <c r="K81" s="427"/>
      <c r="L81" s="427"/>
      <c r="N81" s="427"/>
      <c r="O81" s="427"/>
      <c r="P81" s="427"/>
      <c r="Q81" s="427"/>
      <c r="R81" s="223">
        <f>'Eosinophilic Asthma'!J19+'Atopic Dermatitis'!J18</f>
        <v>0</v>
      </c>
      <c r="S81" s="427">
        <v>0</v>
      </c>
      <c r="T81" s="885">
        <v>28.6</v>
      </c>
      <c r="U81" s="885">
        <v>87</v>
      </c>
      <c r="V81" s="885">
        <v>137.18260869565222</v>
      </c>
      <c r="W81" s="223">
        <f>SUM(S81:V81)</f>
        <v>252.78260869565221</v>
      </c>
      <c r="X81" s="904">
        <v>160</v>
      </c>
      <c r="Y81" s="904">
        <f>X81*1.075</f>
        <v>172</v>
      </c>
      <c r="Z81" s="904">
        <f>Y81*1.075</f>
        <v>184.9</v>
      </c>
      <c r="AA81" s="904">
        <f>AB81-SUM(X81:Z81)</f>
        <v>209.60202818256244</v>
      </c>
      <c r="AB81" s="223">
        <f>'Eosinophilic Asthma'!L19+'Atopic Dermatitis'!L18</f>
        <v>726.50202818256241</v>
      </c>
      <c r="AC81" s="427"/>
      <c r="AD81" s="427"/>
      <c r="AE81" s="427"/>
      <c r="AF81" s="427"/>
      <c r="AG81" s="223">
        <f>'Eosinophilic Asthma'!M19+'Atopic Dermatitis'!M18</f>
        <v>1293.8976494515168</v>
      </c>
      <c r="AH81" s="520"/>
      <c r="AI81" s="520"/>
      <c r="AJ81" s="520"/>
      <c r="AK81" s="520"/>
      <c r="AL81" s="223">
        <f>'Eosinophilic Asthma'!N19+'Atopic Dermatitis'!N18</f>
        <v>2134.5236715114979</v>
      </c>
      <c r="AM81" s="520"/>
      <c r="AN81" s="520"/>
      <c r="AO81" s="520"/>
      <c r="AP81" s="520"/>
      <c r="AQ81" s="223">
        <f>'Eosinophilic Asthma'!O19+'Atopic Dermatitis'!O18</f>
        <v>3007.1197672197495</v>
      </c>
      <c r="AR81" s="520"/>
      <c r="AS81" s="520"/>
      <c r="AT81" s="520"/>
      <c r="AU81" s="520"/>
      <c r="AV81" s="223">
        <f>'Eosinophilic Asthma'!P19+'Atopic Dermatitis'!P18</f>
        <v>3821.7389645389258</v>
      </c>
      <c r="AW81" s="520"/>
      <c r="AX81" s="520"/>
      <c r="AY81" s="520"/>
      <c r="AZ81" s="520"/>
      <c r="BA81" s="223">
        <f>'Eosinophilic Asthma'!Q19+'Atopic Dermatitis'!Q18</f>
        <v>4546.3453124848274</v>
      </c>
      <c r="BB81" s="520"/>
      <c r="BC81" s="520"/>
      <c r="BD81" s="520"/>
      <c r="BE81" s="520"/>
      <c r="BF81" s="223">
        <f>'Eosinophilic Asthma'!R19+'Atopic Dermatitis'!R18</f>
        <v>5189.7904040453896</v>
      </c>
      <c r="BG81" s="520"/>
      <c r="BH81" s="520"/>
      <c r="BI81" s="520"/>
      <c r="BJ81" s="520"/>
      <c r="BK81" s="223">
        <f>'Eosinophilic Asthma'!S19+'Atopic Dermatitis'!S18</f>
        <v>5775.1302934819478</v>
      </c>
      <c r="BL81" s="520"/>
      <c r="BM81" s="520"/>
      <c r="BN81" s="520"/>
      <c r="BO81" s="520"/>
      <c r="BP81" s="223">
        <f>BK81*1.05</f>
        <v>6063.8868081560458</v>
      </c>
      <c r="BQ81" s="223"/>
      <c r="BR81" s="223"/>
      <c r="BS81" s="223"/>
      <c r="BT81" s="223"/>
      <c r="BU81" s="223">
        <f>BP81*1.025</f>
        <v>6215.4839783599464</v>
      </c>
      <c r="BZ81" s="223">
        <f>BU81*1.015</f>
        <v>6308.7162380353448</v>
      </c>
      <c r="CE81" s="223">
        <f>BZ81*1.005</f>
        <v>6340.2598192255209</v>
      </c>
      <c r="CJ81" s="223">
        <f>CE81*0.975</f>
        <v>6181.7533237448824</v>
      </c>
    </row>
    <row r="82" spans="2:100">
      <c r="B82" s="176"/>
      <c r="D82" s="427"/>
      <c r="E82" s="427"/>
      <c r="F82" s="427"/>
      <c r="G82" s="427"/>
      <c r="I82" s="427"/>
      <c r="J82" s="427"/>
      <c r="K82" s="427"/>
      <c r="L82" s="427"/>
      <c r="N82" s="427"/>
      <c r="O82" s="427"/>
      <c r="P82" s="427"/>
      <c r="Q82" s="427"/>
      <c r="S82" s="427"/>
      <c r="T82" s="427"/>
      <c r="U82" s="427"/>
      <c r="V82" s="427"/>
      <c r="X82" s="427"/>
      <c r="Y82" s="427"/>
      <c r="Z82" s="427"/>
      <c r="AA82" s="427"/>
      <c r="AC82" s="427"/>
      <c r="AD82" s="427"/>
      <c r="AE82" s="427"/>
      <c r="AF82" s="427"/>
      <c r="AH82" s="427"/>
      <c r="AI82" s="427"/>
      <c r="AJ82" s="427"/>
      <c r="AK82" s="427"/>
      <c r="AM82" s="427"/>
      <c r="AN82" s="427"/>
      <c r="AO82" s="427"/>
      <c r="AP82" s="427"/>
      <c r="AR82" s="427"/>
      <c r="AS82" s="427"/>
      <c r="AT82" s="427"/>
      <c r="AU82" s="427"/>
      <c r="AW82" s="427"/>
      <c r="AX82" s="427"/>
      <c r="AY82" s="427"/>
      <c r="AZ82" s="427"/>
      <c r="BB82" s="427"/>
      <c r="BC82" s="427"/>
      <c r="BD82" s="427"/>
      <c r="BE82" s="427"/>
      <c r="BG82" s="427"/>
      <c r="BH82" s="427"/>
      <c r="BI82" s="427"/>
      <c r="BJ82" s="427"/>
      <c r="BL82" s="427"/>
      <c r="BM82" s="427"/>
      <c r="BN82" s="427"/>
      <c r="BO82" s="427"/>
    </row>
    <row r="83" spans="2:100" s="188" customFormat="1">
      <c r="B83" s="266" t="s">
        <v>647</v>
      </c>
      <c r="D83" s="515"/>
      <c r="E83" s="515"/>
      <c r="F83" s="515"/>
      <c r="G83" s="515"/>
      <c r="I83" s="515"/>
      <c r="J83" s="515"/>
      <c r="K83" s="515"/>
      <c r="L83" s="515"/>
      <c r="M83" s="517"/>
      <c r="N83" s="515"/>
      <c r="O83" s="515"/>
      <c r="P83" s="515"/>
      <c r="Q83" s="515"/>
      <c r="R83" s="811">
        <v>0.1</v>
      </c>
      <c r="S83" s="516">
        <f>W83</f>
        <v>0.125</v>
      </c>
      <c r="T83" s="516">
        <f>S83</f>
        <v>0.125</v>
      </c>
      <c r="U83" s="813">
        <f t="shared" ref="U83:V83" si="87">T83</f>
        <v>0.125</v>
      </c>
      <c r="V83" s="813">
        <f t="shared" si="87"/>
        <v>0.125</v>
      </c>
      <c r="W83" s="811">
        <v>0.125</v>
      </c>
      <c r="X83" s="516">
        <f>AB83</f>
        <v>0.125</v>
      </c>
      <c r="Y83" s="516">
        <f>X83</f>
        <v>0.125</v>
      </c>
      <c r="Z83" s="813">
        <f t="shared" ref="Z83:AA83" si="88">Y83</f>
        <v>0.125</v>
      </c>
      <c r="AA83" s="813">
        <f t="shared" si="88"/>
        <v>0.125</v>
      </c>
      <c r="AB83" s="208">
        <f>W83</f>
        <v>0.125</v>
      </c>
      <c r="AC83" s="515"/>
      <c r="AD83" s="515"/>
      <c r="AE83" s="515"/>
      <c r="AF83" s="515"/>
      <c r="AG83" s="208">
        <f>AB83</f>
        <v>0.125</v>
      </c>
      <c r="AH83" s="515"/>
      <c r="AI83" s="515"/>
      <c r="AJ83" s="515"/>
      <c r="AK83" s="515"/>
      <c r="AL83" s="208">
        <f>AG83</f>
        <v>0.125</v>
      </c>
      <c r="AM83" s="515"/>
      <c r="AN83" s="515"/>
      <c r="AO83" s="515"/>
      <c r="AP83" s="515"/>
      <c r="AQ83" s="208">
        <f>AL83</f>
        <v>0.125</v>
      </c>
      <c r="AR83" s="515"/>
      <c r="AS83" s="515"/>
      <c r="AT83" s="515"/>
      <c r="AU83" s="515"/>
      <c r="AV83" s="208">
        <f>AQ83</f>
        <v>0.125</v>
      </c>
      <c r="AW83" s="515"/>
      <c r="AX83" s="515"/>
      <c r="AY83" s="515"/>
      <c r="AZ83" s="515"/>
      <c r="BA83" s="208">
        <f>AV83</f>
        <v>0.125</v>
      </c>
      <c r="BB83" s="515"/>
      <c r="BC83" s="515"/>
      <c r="BD83" s="515"/>
      <c r="BE83" s="515"/>
      <c r="BF83" s="208">
        <f>BA83</f>
        <v>0.125</v>
      </c>
      <c r="BG83" s="515"/>
      <c r="BH83" s="515"/>
      <c r="BI83" s="515"/>
      <c r="BJ83" s="515"/>
      <c r="BK83" s="208">
        <f>BF83</f>
        <v>0.125</v>
      </c>
      <c r="BL83" s="515"/>
      <c r="BM83" s="515"/>
      <c r="BN83" s="515"/>
      <c r="BO83" s="515"/>
      <c r="BP83" s="208">
        <f>BK83</f>
        <v>0.125</v>
      </c>
      <c r="BQ83" s="208"/>
      <c r="BR83" s="208"/>
      <c r="BS83" s="208"/>
      <c r="BT83" s="208"/>
      <c r="BU83" s="208">
        <f>BP83</f>
        <v>0.125</v>
      </c>
      <c r="BZ83" s="208">
        <f>BU83</f>
        <v>0.125</v>
      </c>
      <c r="CE83" s="208">
        <f>BZ83</f>
        <v>0.125</v>
      </c>
      <c r="CJ83" s="208">
        <f>CE83</f>
        <v>0.125</v>
      </c>
    </row>
    <row r="84" spans="2:100">
      <c r="B84" s="176" t="s">
        <v>6</v>
      </c>
      <c r="D84" s="427"/>
      <c r="E84" s="427"/>
      <c r="F84" s="427"/>
      <c r="G84" s="427"/>
      <c r="I84" s="427"/>
      <c r="J84" s="427"/>
      <c r="K84" s="427"/>
      <c r="L84" s="427"/>
      <c r="N84" s="427"/>
      <c r="O84" s="427"/>
      <c r="P84" s="427"/>
      <c r="Q84" s="427"/>
      <c r="R84" s="222">
        <f>R83*R81</f>
        <v>0</v>
      </c>
      <c r="S84" s="427">
        <f t="shared" ref="S84:AA84" si="89">S83*S81</f>
        <v>0</v>
      </c>
      <c r="T84" s="521">
        <f t="shared" si="89"/>
        <v>3.5750000000000002</v>
      </c>
      <c r="U84" s="521">
        <f t="shared" si="89"/>
        <v>10.875</v>
      </c>
      <c r="V84" s="521">
        <f t="shared" si="89"/>
        <v>17.147826086956528</v>
      </c>
      <c r="W84" s="222">
        <f>W83*W81</f>
        <v>31.597826086956527</v>
      </c>
      <c r="X84" s="513">
        <f t="shared" si="89"/>
        <v>20</v>
      </c>
      <c r="Y84" s="513">
        <f t="shared" si="89"/>
        <v>21.5</v>
      </c>
      <c r="Z84" s="513">
        <f t="shared" si="89"/>
        <v>23.112500000000001</v>
      </c>
      <c r="AA84" s="513">
        <f t="shared" si="89"/>
        <v>26.200253522820304</v>
      </c>
      <c r="AB84" s="222">
        <f>AB83*AB81</f>
        <v>90.812753522820302</v>
      </c>
      <c r="AC84" s="427"/>
      <c r="AD84" s="427"/>
      <c r="AE84" s="427"/>
      <c r="AF84" s="427"/>
      <c r="AG84" s="222">
        <f>AG83*AG81</f>
        <v>161.7372061814396</v>
      </c>
      <c r="AH84" s="427"/>
      <c r="AI84" s="427"/>
      <c r="AJ84" s="427"/>
      <c r="AK84" s="427"/>
      <c r="AL84" s="222">
        <f>AL83*AL81</f>
        <v>266.81545893893724</v>
      </c>
      <c r="AM84" s="427"/>
      <c r="AN84" s="427"/>
      <c r="AO84" s="427"/>
      <c r="AP84" s="427"/>
      <c r="AQ84" s="222">
        <f>AQ83*AQ81</f>
        <v>375.88997090246869</v>
      </c>
      <c r="AR84" s="427"/>
      <c r="AS84" s="427"/>
      <c r="AT84" s="427"/>
      <c r="AU84" s="427"/>
      <c r="AV84" s="222">
        <f>AV83*AV81</f>
        <v>477.71737056736572</v>
      </c>
      <c r="AW84" s="427"/>
      <c r="AX84" s="427"/>
      <c r="AY84" s="427"/>
      <c r="AZ84" s="427"/>
      <c r="BA84" s="222">
        <f>BA83*BA81</f>
        <v>568.29316406060343</v>
      </c>
      <c r="BB84" s="427"/>
      <c r="BC84" s="427"/>
      <c r="BD84" s="427"/>
      <c r="BE84" s="427"/>
      <c r="BF84" s="222">
        <f>BF83*BF81</f>
        <v>648.72380050567369</v>
      </c>
      <c r="BG84" s="427"/>
      <c r="BH84" s="427"/>
      <c r="BI84" s="427"/>
      <c r="BJ84" s="427"/>
      <c r="BK84" s="222">
        <f>BK83*BK81</f>
        <v>721.89128668524347</v>
      </c>
      <c r="BL84" s="427"/>
      <c r="BM84" s="427"/>
      <c r="BN84" s="427"/>
      <c r="BO84" s="427"/>
      <c r="BP84" s="222">
        <f>BP83*BP81</f>
        <v>757.98585101950573</v>
      </c>
      <c r="BQ84" s="222"/>
      <c r="BR84" s="222"/>
      <c r="BS84" s="222"/>
      <c r="BT84" s="222"/>
      <c r="BU84" s="222">
        <f>BU83*BU81</f>
        <v>776.9354972949933</v>
      </c>
      <c r="BZ84" s="222">
        <f>BZ83*BZ81</f>
        <v>788.58952975441809</v>
      </c>
      <c r="CE84" s="222">
        <f>CE83*CE81</f>
        <v>792.53247740319011</v>
      </c>
      <c r="CJ84" s="222">
        <f>CJ83*CJ81</f>
        <v>772.7191654681103</v>
      </c>
    </row>
    <row r="85" spans="2:100">
      <c r="B85" s="176" t="s">
        <v>216</v>
      </c>
      <c r="D85" s="427"/>
      <c r="E85" s="427"/>
      <c r="F85" s="427"/>
      <c r="G85" s="427"/>
      <c r="I85" s="427"/>
      <c r="J85" s="427"/>
      <c r="K85" s="427"/>
      <c r="L85" s="427"/>
      <c r="N85" s="427"/>
      <c r="O85" s="427"/>
      <c r="P85" s="427"/>
      <c r="Q85" s="427"/>
      <c r="R85" s="125">
        <v>25</v>
      </c>
      <c r="S85" s="983">
        <v>0</v>
      </c>
      <c r="T85" s="983">
        <v>40</v>
      </c>
      <c r="U85" s="984">
        <v>50</v>
      </c>
      <c r="V85" s="984">
        <v>60</v>
      </c>
      <c r="W85" s="222">
        <f>SUM(S85:V85)</f>
        <v>150</v>
      </c>
      <c r="X85" s="427">
        <v>60</v>
      </c>
      <c r="Y85" s="521">
        <f>X85*1.025</f>
        <v>61.499999999999993</v>
      </c>
      <c r="Z85" s="521">
        <f>Y85*1.025</f>
        <v>63.037499999999987</v>
      </c>
      <c r="AA85" s="521">
        <f>AB85-SUM(X85:Z85)</f>
        <v>75.462500000000006</v>
      </c>
      <c r="AB85" s="222">
        <f>65*4</f>
        <v>260</v>
      </c>
      <c r="AC85" s="427"/>
      <c r="AD85" s="427"/>
      <c r="AE85" s="427"/>
      <c r="AF85" s="427"/>
      <c r="AG85" s="222">
        <f>100*4</f>
        <v>400</v>
      </c>
      <c r="AH85" s="427"/>
      <c r="AI85" s="427"/>
      <c r="AJ85" s="427"/>
      <c r="AK85" s="427"/>
      <c r="AL85" s="222">
        <f>AG85*1.05</f>
        <v>420</v>
      </c>
      <c r="AM85" s="427"/>
      <c r="AN85" s="427"/>
      <c r="AO85" s="427"/>
      <c r="AP85" s="427"/>
      <c r="AQ85" s="222">
        <f>AL85*1.05</f>
        <v>441</v>
      </c>
      <c r="AR85" s="427"/>
      <c r="AS85" s="427"/>
      <c r="AT85" s="427"/>
      <c r="AU85" s="427"/>
      <c r="AV85" s="222">
        <f>AQ85*1.05</f>
        <v>463.05</v>
      </c>
      <c r="AW85" s="427"/>
      <c r="AX85" s="427"/>
      <c r="AY85" s="427"/>
      <c r="AZ85" s="427"/>
      <c r="BA85" s="222">
        <f>AV85*1.05</f>
        <v>486.20250000000004</v>
      </c>
      <c r="BB85" s="427"/>
      <c r="BC85" s="427"/>
      <c r="BD85" s="427"/>
      <c r="BE85" s="427"/>
      <c r="BF85" s="222">
        <f>BA85*1.05</f>
        <v>510.51262500000007</v>
      </c>
      <c r="BG85" s="427"/>
      <c r="BH85" s="427"/>
      <c r="BI85" s="427"/>
      <c r="BJ85" s="427"/>
      <c r="BK85" s="222">
        <f>BF85*1.05</f>
        <v>536.03825625000013</v>
      </c>
      <c r="BL85" s="427"/>
      <c r="BM85" s="427"/>
      <c r="BN85" s="427"/>
      <c r="BO85" s="427"/>
      <c r="BP85" s="222">
        <f>BK85*1.05</f>
        <v>562.84016906250019</v>
      </c>
      <c r="BQ85" s="222"/>
      <c r="BR85" s="222"/>
      <c r="BS85" s="222"/>
      <c r="BT85" s="222"/>
      <c r="BU85" s="222">
        <f>BP85*1.025</f>
        <v>576.91117328906262</v>
      </c>
      <c r="BZ85" s="222">
        <f>BU85*1.025</f>
        <v>591.33395262128909</v>
      </c>
      <c r="CE85" s="222">
        <f>BZ85*1.015</f>
        <v>600.20396191060831</v>
      </c>
      <c r="CJ85" s="222">
        <f>CE85*1.005</f>
        <v>603.2049817201613</v>
      </c>
    </row>
    <row r="86" spans="2:100">
      <c r="B86" s="206" t="s">
        <v>217</v>
      </c>
      <c r="C86" s="207"/>
      <c r="D86" s="505"/>
      <c r="E86" s="505"/>
      <c r="F86" s="505"/>
      <c r="G86" s="505"/>
      <c r="H86" s="207"/>
      <c r="I86" s="505"/>
      <c r="J86" s="505"/>
      <c r="K86" s="505"/>
      <c r="L86" s="505"/>
      <c r="M86" s="207"/>
      <c r="N86" s="505">
        <v>0</v>
      </c>
      <c r="O86" s="505">
        <v>-5</v>
      </c>
      <c r="P86" s="505">
        <v>-7.5</v>
      </c>
      <c r="Q86" s="815">
        <f>R86-O86-P86</f>
        <v>-12.5</v>
      </c>
      <c r="R86" s="275">
        <f t="shared" ref="R86:AA86" si="90">R81-R84-R85</f>
        <v>-25</v>
      </c>
      <c r="S86" s="981">
        <f t="shared" si="90"/>
        <v>0</v>
      </c>
      <c r="T86" s="982">
        <f t="shared" si="90"/>
        <v>-14.974999999999998</v>
      </c>
      <c r="U86" s="982">
        <f t="shared" si="90"/>
        <v>26.125</v>
      </c>
      <c r="V86" s="982">
        <f t="shared" si="90"/>
        <v>60.034782608695693</v>
      </c>
      <c r="W86" s="275">
        <f>W81-W84-W85</f>
        <v>71.184782608695684</v>
      </c>
      <c r="X86" s="815">
        <f t="shared" si="90"/>
        <v>80</v>
      </c>
      <c r="Y86" s="815">
        <f t="shared" si="90"/>
        <v>89</v>
      </c>
      <c r="Z86" s="815">
        <f t="shared" si="90"/>
        <v>98.75</v>
      </c>
      <c r="AA86" s="815">
        <f t="shared" si="90"/>
        <v>107.93927465974213</v>
      </c>
      <c r="AB86" s="275">
        <f>AB81-AB84-AB85</f>
        <v>375.68927465974207</v>
      </c>
      <c r="AC86" s="505"/>
      <c r="AD86" s="505"/>
      <c r="AE86" s="505"/>
      <c r="AF86" s="505"/>
      <c r="AG86" s="275">
        <f>AG81-AG84-AG85</f>
        <v>732.16044327007717</v>
      </c>
      <c r="AH86" s="505"/>
      <c r="AI86" s="505"/>
      <c r="AJ86" s="505"/>
      <c r="AK86" s="505"/>
      <c r="AL86" s="275">
        <f>AL81-AL84-AL85</f>
        <v>1447.7082125725606</v>
      </c>
      <c r="AM86" s="505"/>
      <c r="AN86" s="505"/>
      <c r="AO86" s="505"/>
      <c r="AP86" s="505"/>
      <c r="AQ86" s="275">
        <f>AQ81-AQ84-AQ85</f>
        <v>2190.2297963172809</v>
      </c>
      <c r="AR86" s="505"/>
      <c r="AS86" s="505"/>
      <c r="AT86" s="505"/>
      <c r="AU86" s="505"/>
      <c r="AV86" s="275">
        <f>AV81-AV84-AV85</f>
        <v>2880.9715939715597</v>
      </c>
      <c r="AW86" s="505"/>
      <c r="AX86" s="505"/>
      <c r="AY86" s="505"/>
      <c r="AZ86" s="505"/>
      <c r="BA86" s="275">
        <f>BA81-BA84-BA85</f>
        <v>3491.8496484242241</v>
      </c>
      <c r="BB86" s="505"/>
      <c r="BC86" s="505"/>
      <c r="BD86" s="505"/>
      <c r="BE86" s="505"/>
      <c r="BF86" s="275">
        <f>BF81-BF84-BF85</f>
        <v>4030.5539785397159</v>
      </c>
      <c r="BG86" s="505"/>
      <c r="BH86" s="505"/>
      <c r="BI86" s="505"/>
      <c r="BJ86" s="505"/>
      <c r="BK86" s="275">
        <f>BK81-BK84-BK85</f>
        <v>4517.2007505467045</v>
      </c>
      <c r="BL86" s="505"/>
      <c r="BM86" s="505"/>
      <c r="BN86" s="505"/>
      <c r="BO86" s="505"/>
      <c r="BP86" s="275">
        <f>BP81-BP84-BP85</f>
        <v>4743.0607880740399</v>
      </c>
      <c r="BQ86" s="1000"/>
      <c r="BR86" s="1000"/>
      <c r="BS86" s="1000"/>
      <c r="BT86" s="1000"/>
      <c r="BU86" s="275">
        <f>BU81-BU84-BU85</f>
        <v>4861.6373077758908</v>
      </c>
      <c r="BZ86" s="275">
        <f>BZ81-BZ84-BZ85</f>
        <v>4928.7927556596369</v>
      </c>
      <c r="CE86" s="275">
        <f>CE81-CE84-CE85</f>
        <v>4947.5233799117223</v>
      </c>
      <c r="CJ86" s="275">
        <f>CJ81-CJ84-CJ85</f>
        <v>4805.8291765566109</v>
      </c>
    </row>
    <row r="87" spans="2:100">
      <c r="D87" s="427"/>
      <c r="E87" s="427"/>
      <c r="F87" s="427"/>
      <c r="G87" s="427"/>
      <c r="I87" s="427"/>
      <c r="J87" s="427"/>
      <c r="K87" s="427"/>
      <c r="L87" s="427"/>
      <c r="N87" s="427"/>
      <c r="O87" s="427"/>
      <c r="P87" s="427"/>
      <c r="Q87" s="427"/>
      <c r="S87" s="427"/>
      <c r="T87" s="427"/>
      <c r="U87" s="427"/>
      <c r="V87" s="427"/>
      <c r="X87" s="427"/>
      <c r="Y87" s="427"/>
      <c r="Z87" s="427"/>
      <c r="AA87" s="427"/>
      <c r="AC87" s="427"/>
      <c r="AD87" s="427"/>
      <c r="AE87" s="427"/>
      <c r="AF87" s="427"/>
      <c r="AH87" s="427"/>
      <c r="AI87" s="427"/>
      <c r="AJ87" s="427"/>
      <c r="AK87" s="427"/>
      <c r="AM87" s="427"/>
      <c r="AN87" s="427"/>
      <c r="AO87" s="427"/>
      <c r="AP87" s="427"/>
      <c r="AR87" s="427"/>
      <c r="AS87" s="427"/>
      <c r="AT87" s="427"/>
      <c r="AU87" s="427"/>
      <c r="AW87" s="427"/>
      <c r="AX87" s="427"/>
      <c r="AY87" s="427"/>
      <c r="AZ87" s="427"/>
      <c r="BB87" s="427"/>
      <c r="BC87" s="427"/>
      <c r="BD87" s="427"/>
      <c r="BE87" s="427"/>
      <c r="BG87" s="427"/>
      <c r="BH87" s="427"/>
      <c r="BI87" s="427"/>
      <c r="BJ87" s="427"/>
      <c r="BL87" s="427"/>
      <c r="BM87" s="427"/>
      <c r="BN87" s="427"/>
      <c r="BO87" s="427"/>
      <c r="CP87" s="223"/>
      <c r="CQ87" s="223"/>
      <c r="CR87" s="223"/>
      <c r="CS87" s="223"/>
      <c r="CT87" s="223"/>
      <c r="CU87" s="223"/>
      <c r="CV87" s="223"/>
    </row>
    <row r="88" spans="2:100" s="188" customFormat="1">
      <c r="B88" s="186" t="s">
        <v>714</v>
      </c>
      <c r="D88" s="515"/>
      <c r="E88" s="515"/>
      <c r="F88" s="515"/>
      <c r="G88" s="515"/>
      <c r="I88" s="515"/>
      <c r="J88" s="515"/>
      <c r="K88" s="515"/>
      <c r="L88" s="515"/>
      <c r="M88" s="208"/>
      <c r="N88" s="515"/>
      <c r="O88" s="813">
        <f t="shared" ref="O88:Q88" si="91">IF(O86&lt;0,0.45,0.5)</f>
        <v>0.45</v>
      </c>
      <c r="P88" s="813">
        <f t="shared" si="91"/>
        <v>0.45</v>
      </c>
      <c r="Q88" s="813">
        <f t="shared" si="91"/>
        <v>0.45</v>
      </c>
      <c r="R88" s="208">
        <f>IF(R86&lt;0,0.45,0.5)</f>
        <v>0.45</v>
      </c>
      <c r="S88" s="813">
        <f t="shared" ref="S88:AA88" si="92">IF(S86&lt;0,0.45,0.5)</f>
        <v>0.5</v>
      </c>
      <c r="T88" s="813">
        <f t="shared" si="92"/>
        <v>0.45</v>
      </c>
      <c r="U88" s="813">
        <f t="shared" si="92"/>
        <v>0.5</v>
      </c>
      <c r="V88" s="813">
        <f t="shared" si="92"/>
        <v>0.5</v>
      </c>
      <c r="W88" s="208">
        <f>W89/W86</f>
        <v>0.51051839975568791</v>
      </c>
      <c r="X88" s="813">
        <f t="shared" si="92"/>
        <v>0.5</v>
      </c>
      <c r="Y88" s="813">
        <f t="shared" si="92"/>
        <v>0.5</v>
      </c>
      <c r="Z88" s="813">
        <f t="shared" si="92"/>
        <v>0.5</v>
      </c>
      <c r="AA88" s="813">
        <f t="shared" si="92"/>
        <v>0.5</v>
      </c>
      <c r="AB88" s="208">
        <f>IF(AB86&lt;0,0.45,0.5)</f>
        <v>0.5</v>
      </c>
      <c r="AC88" s="515"/>
      <c r="AD88" s="515"/>
      <c r="AE88" s="515"/>
      <c r="AF88" s="515"/>
      <c r="AG88" s="208">
        <f>IF(AG86&lt;0,0.45,0.5)</f>
        <v>0.5</v>
      </c>
      <c r="AH88" s="515"/>
      <c r="AI88" s="515"/>
      <c r="AJ88" s="515"/>
      <c r="AK88" s="515"/>
      <c r="AL88" s="208">
        <f>IF(AL86&lt;0,0.45,0.5)</f>
        <v>0.5</v>
      </c>
      <c r="AM88" s="515"/>
      <c r="AN88" s="515"/>
      <c r="AO88" s="515"/>
      <c r="AP88" s="515"/>
      <c r="AQ88" s="208">
        <f>IF(AQ86&lt;0,0.45,0.5)</f>
        <v>0.5</v>
      </c>
      <c r="AR88" s="515"/>
      <c r="AS88" s="515"/>
      <c r="AT88" s="515"/>
      <c r="AU88" s="515"/>
      <c r="AV88" s="208">
        <f>IF(AV86&lt;0,0.45,0.5)</f>
        <v>0.5</v>
      </c>
      <c r="AW88" s="515"/>
      <c r="AX88" s="515"/>
      <c r="AY88" s="515"/>
      <c r="AZ88" s="515"/>
      <c r="BA88" s="208">
        <f>IF(BA86&lt;0,0.45,0.5)</f>
        <v>0.5</v>
      </c>
      <c r="BB88" s="515"/>
      <c r="BC88" s="515"/>
      <c r="BD88" s="515"/>
      <c r="BE88" s="515"/>
      <c r="BF88" s="208">
        <f>IF(BF86&lt;0,0.45,0.5)</f>
        <v>0.5</v>
      </c>
      <c r="BG88" s="515"/>
      <c r="BH88" s="515"/>
      <c r="BI88" s="515"/>
      <c r="BJ88" s="515"/>
      <c r="BK88" s="208">
        <f>IF(BK86&lt;0,0.45,0.5)</f>
        <v>0.5</v>
      </c>
      <c r="BL88" s="515"/>
      <c r="BM88" s="515"/>
      <c r="BN88" s="515"/>
      <c r="BO88" s="515"/>
      <c r="BP88" s="208">
        <f>IF(BP86&lt;0,0.45,0.5)</f>
        <v>0.5</v>
      </c>
      <c r="BQ88" s="208"/>
      <c r="BR88" s="208"/>
      <c r="BS88" s="208"/>
      <c r="BT88" s="208"/>
      <c r="BU88" s="208">
        <f>IF(BU86&lt;0,0.45,0.5)</f>
        <v>0.5</v>
      </c>
      <c r="BZ88" s="208">
        <f>IF(BZ86&lt;0,0.45,0.5)</f>
        <v>0.5</v>
      </c>
      <c r="CE88" s="208">
        <f>IF(CE86&lt;0,0.45,0.5)</f>
        <v>0.5</v>
      </c>
      <c r="CJ88" s="208">
        <f>IF(CJ86&lt;0,0.45,0.5)</f>
        <v>0.5</v>
      </c>
      <c r="CP88" s="986"/>
      <c r="CQ88" s="986"/>
      <c r="CR88" s="986"/>
      <c r="CS88" s="986"/>
      <c r="CT88" s="986"/>
      <c r="CU88" s="986"/>
      <c r="CV88" s="986"/>
    </row>
    <row r="89" spans="2:100">
      <c r="B89" s="467" t="s">
        <v>715</v>
      </c>
      <c r="D89" s="427"/>
      <c r="E89" s="427"/>
      <c r="F89" s="427"/>
      <c r="G89" s="427"/>
      <c r="I89" s="427"/>
      <c r="J89" s="427"/>
      <c r="K89" s="427"/>
      <c r="L89" s="427"/>
      <c r="M89" s="178"/>
      <c r="N89" s="427"/>
      <c r="O89" s="513">
        <f t="shared" ref="O89:Q89" si="93">O88*O86</f>
        <v>-2.25</v>
      </c>
      <c r="P89" s="513">
        <f t="shared" si="93"/>
        <v>-3.375</v>
      </c>
      <c r="Q89" s="513">
        <f t="shared" si="93"/>
        <v>-5.625</v>
      </c>
      <c r="R89" s="178">
        <f>R88*R86</f>
        <v>-11.25</v>
      </c>
      <c r="S89" s="513">
        <f t="shared" ref="S89:AA89" si="94">S88*S86</f>
        <v>0</v>
      </c>
      <c r="T89" s="513">
        <f t="shared" si="94"/>
        <v>-6.7387499999999996</v>
      </c>
      <c r="U89" s="513">
        <f t="shared" si="94"/>
        <v>13.0625</v>
      </c>
      <c r="V89" s="513">
        <f t="shared" si="94"/>
        <v>30.017391304347846</v>
      </c>
      <c r="W89" s="178">
        <f>SUM(S89:V89)</f>
        <v>36.341141304347843</v>
      </c>
      <c r="X89" s="513">
        <f t="shared" si="94"/>
        <v>40</v>
      </c>
      <c r="Y89" s="513">
        <f t="shared" si="94"/>
        <v>44.5</v>
      </c>
      <c r="Z89" s="513">
        <f t="shared" si="94"/>
        <v>49.375</v>
      </c>
      <c r="AA89" s="513">
        <f t="shared" si="94"/>
        <v>53.969637329871063</v>
      </c>
      <c r="AB89" s="178">
        <f>AB88*AB86</f>
        <v>187.84463732987103</v>
      </c>
      <c r="AC89" s="521"/>
      <c r="AD89" s="521"/>
      <c r="AE89" s="521"/>
      <c r="AF89" s="521"/>
      <c r="AG89" s="178">
        <f>AG88*AG86</f>
        <v>366.08022163503858</v>
      </c>
      <c r="AH89" s="521"/>
      <c r="AI89" s="521"/>
      <c r="AJ89" s="521"/>
      <c r="AK89" s="521"/>
      <c r="AL89" s="178">
        <f>AL88*AL86</f>
        <v>723.85410628628028</v>
      </c>
      <c r="AM89" s="521"/>
      <c r="AN89" s="521"/>
      <c r="AO89" s="521"/>
      <c r="AP89" s="521"/>
      <c r="AQ89" s="178">
        <f>AQ88*AQ86</f>
        <v>1095.1148981586405</v>
      </c>
      <c r="AR89" s="521"/>
      <c r="AS89" s="521"/>
      <c r="AT89" s="521"/>
      <c r="AU89" s="521"/>
      <c r="AV89" s="178">
        <f>AV88*AV86</f>
        <v>1440.4857969857799</v>
      </c>
      <c r="AW89" s="521"/>
      <c r="AX89" s="521"/>
      <c r="AY89" s="521"/>
      <c r="AZ89" s="521"/>
      <c r="BA89" s="178">
        <f>BA88*BA86</f>
        <v>1745.9248242121121</v>
      </c>
      <c r="BB89" s="521"/>
      <c r="BC89" s="521"/>
      <c r="BD89" s="521"/>
      <c r="BE89" s="521"/>
      <c r="BF89" s="178">
        <f>BF88*BF86</f>
        <v>2015.2769892698579</v>
      </c>
      <c r="BG89" s="521"/>
      <c r="BH89" s="521"/>
      <c r="BI89" s="521"/>
      <c r="BJ89" s="521"/>
      <c r="BK89" s="178">
        <f>BK88*BK86</f>
        <v>2258.6003752733523</v>
      </c>
      <c r="BL89" s="521"/>
      <c r="BM89" s="521"/>
      <c r="BN89" s="521"/>
      <c r="BO89" s="521"/>
      <c r="BP89" s="178">
        <f>BP88*BP86</f>
        <v>2371.53039403702</v>
      </c>
      <c r="BQ89" s="178"/>
      <c r="BR89" s="178"/>
      <c r="BS89" s="178"/>
      <c r="BT89" s="178"/>
      <c r="BU89" s="178">
        <f>BU88*BU86</f>
        <v>2430.8186538879454</v>
      </c>
      <c r="BZ89" s="178">
        <f>BZ88*BZ86</f>
        <v>2464.3963778298184</v>
      </c>
      <c r="CE89" s="178">
        <f>CE88*CE86</f>
        <v>2473.7616899558611</v>
      </c>
      <c r="CJ89" s="178">
        <f>CJ88*CJ86</f>
        <v>2402.9145882783055</v>
      </c>
    </row>
    <row r="90" spans="2:100">
      <c r="B90" s="176"/>
      <c r="D90" s="427"/>
      <c r="E90" s="427"/>
      <c r="F90" s="427"/>
      <c r="G90" s="427"/>
      <c r="I90" s="427"/>
      <c r="J90" s="427"/>
      <c r="K90" s="427"/>
      <c r="L90" s="427"/>
      <c r="N90" s="427"/>
      <c r="O90" s="427"/>
      <c r="P90" s="427"/>
      <c r="Q90" s="427"/>
      <c r="S90" s="427"/>
      <c r="T90" s="427"/>
      <c r="U90" s="427"/>
      <c r="V90" s="427"/>
      <c r="X90" s="427"/>
      <c r="Y90" s="427"/>
      <c r="Z90" s="427"/>
      <c r="AA90" s="427"/>
      <c r="AC90" s="427"/>
      <c r="AD90" s="427"/>
      <c r="AE90" s="427"/>
      <c r="AF90" s="427"/>
      <c r="AH90" s="427"/>
      <c r="AI90" s="427"/>
      <c r="AJ90" s="427"/>
      <c r="AK90" s="427"/>
      <c r="AM90" s="427"/>
      <c r="AN90" s="427"/>
      <c r="AO90" s="427"/>
      <c r="AP90" s="427"/>
      <c r="AR90" s="427"/>
      <c r="AS90" s="427"/>
      <c r="AT90" s="427"/>
      <c r="AU90" s="427"/>
      <c r="AW90" s="427"/>
      <c r="AX90" s="427"/>
      <c r="AY90" s="427"/>
      <c r="AZ90" s="427"/>
      <c r="BB90" s="427"/>
      <c r="BC90" s="427"/>
      <c r="BD90" s="427"/>
      <c r="BE90" s="427"/>
      <c r="BG90" s="427"/>
      <c r="BH90" s="427"/>
      <c r="BI90" s="427"/>
      <c r="BJ90" s="427"/>
      <c r="BL90" s="427"/>
      <c r="BM90" s="427"/>
      <c r="BN90" s="427"/>
      <c r="BO90" s="427"/>
      <c r="CP90" s="223"/>
      <c r="CQ90" s="223"/>
      <c r="CR90" s="223"/>
      <c r="CS90" s="223"/>
      <c r="CT90" s="223"/>
      <c r="CU90" s="223"/>
      <c r="CV90" s="223"/>
    </row>
    <row r="91" spans="2:100" ht="13.5" thickBot="1">
      <c r="B91" s="259" t="s">
        <v>703</v>
      </c>
      <c r="C91" s="260"/>
      <c r="D91" s="596"/>
      <c r="E91" s="596"/>
      <c r="F91" s="596"/>
      <c r="G91" s="596"/>
      <c r="H91" s="260"/>
      <c r="I91" s="596"/>
      <c r="J91" s="596"/>
      <c r="K91" s="596"/>
      <c r="L91" s="596"/>
      <c r="M91" s="260"/>
      <c r="N91" s="596"/>
      <c r="O91" s="596"/>
      <c r="P91" s="596"/>
      <c r="Q91" s="596"/>
      <c r="R91" s="260"/>
      <c r="S91" s="596"/>
      <c r="T91" s="596"/>
      <c r="U91" s="596"/>
      <c r="V91" s="596"/>
      <c r="W91" s="260"/>
      <c r="X91" s="596"/>
      <c r="Y91" s="596"/>
      <c r="Z91" s="596"/>
      <c r="AA91" s="596"/>
      <c r="AB91" s="260"/>
      <c r="AC91" s="596"/>
      <c r="AD91" s="596"/>
      <c r="AE91" s="596"/>
      <c r="AF91" s="596"/>
      <c r="AG91" s="260"/>
      <c r="AH91" s="596"/>
      <c r="AI91" s="596"/>
      <c r="AJ91" s="596"/>
      <c r="AK91" s="596"/>
      <c r="AL91" s="260"/>
      <c r="AM91" s="596"/>
      <c r="AN91" s="596"/>
      <c r="AO91" s="596"/>
      <c r="AP91" s="596"/>
      <c r="AQ91" s="260"/>
      <c r="AR91" s="596"/>
      <c r="AS91" s="596"/>
      <c r="AT91" s="596"/>
      <c r="AU91" s="596"/>
      <c r="AV91" s="260"/>
      <c r="AW91" s="596"/>
      <c r="AX91" s="596"/>
      <c r="AY91" s="596"/>
      <c r="AZ91" s="596"/>
      <c r="BA91" s="260"/>
      <c r="BB91" s="596"/>
      <c r="BC91" s="596"/>
      <c r="BD91" s="596"/>
      <c r="BE91" s="596"/>
      <c r="BF91" s="260"/>
      <c r="BG91" s="596"/>
      <c r="BH91" s="596"/>
      <c r="BI91" s="596"/>
      <c r="BJ91" s="596"/>
      <c r="BK91" s="260"/>
      <c r="BL91" s="596"/>
      <c r="BM91" s="596"/>
      <c r="BN91" s="596"/>
      <c r="BO91" s="596"/>
      <c r="BP91" s="260"/>
      <c r="BQ91" s="143"/>
      <c r="BR91" s="143"/>
      <c r="BS91" s="143"/>
      <c r="BT91" s="143"/>
      <c r="BU91" s="260"/>
      <c r="BZ91" s="260"/>
      <c r="CE91" s="260"/>
      <c r="CJ91" s="260"/>
    </row>
    <row r="92" spans="2:100">
      <c r="B92" s="125" t="s">
        <v>720</v>
      </c>
      <c r="C92" s="179"/>
      <c r="D92" s="433"/>
      <c r="E92" s="433"/>
      <c r="F92" s="433"/>
      <c r="G92" s="433"/>
      <c r="H92" s="179"/>
      <c r="I92" s="433"/>
      <c r="J92" s="433"/>
      <c r="K92" s="433"/>
      <c r="L92" s="433"/>
      <c r="M92" s="179"/>
      <c r="N92" s="433"/>
      <c r="O92" s="433"/>
      <c r="P92" s="433"/>
      <c r="Q92" s="433"/>
      <c r="R92" s="179"/>
      <c r="S92" s="433"/>
      <c r="T92" s="433"/>
      <c r="U92" s="392">
        <v>2</v>
      </c>
      <c r="V92" s="392">
        <v>2.3652173913043484</v>
      </c>
      <c r="W92" s="223">
        <f>SUM(S92:V92)</f>
        <v>4.3652173913043484</v>
      </c>
      <c r="X92" s="433">
        <v>15</v>
      </c>
      <c r="Y92" s="433">
        <f>X92*1.25</f>
        <v>18.75</v>
      </c>
      <c r="Z92" s="433">
        <f>Y92*1.25</f>
        <v>23.4375</v>
      </c>
      <c r="AA92" s="433">
        <f>AB92-SUM(X92:Z92)</f>
        <v>43.925543478260892</v>
      </c>
      <c r="AB92" s="273">
        <f>W81*0.4</f>
        <v>101.11304347826089</v>
      </c>
      <c r="AC92" s="597"/>
      <c r="AD92" s="597"/>
      <c r="AE92" s="597"/>
      <c r="AF92" s="597"/>
      <c r="AG92" s="273">
        <f>AB81*0.4</f>
        <v>290.60081127302499</v>
      </c>
      <c r="AH92" s="597"/>
      <c r="AI92" s="597"/>
      <c r="AJ92" s="597"/>
      <c r="AK92" s="597"/>
      <c r="AL92" s="273">
        <f>AG81*0.5</f>
        <v>646.94882472575841</v>
      </c>
      <c r="AM92" s="597"/>
      <c r="AN92" s="597"/>
      <c r="AO92" s="597"/>
      <c r="AP92" s="597"/>
      <c r="AQ92" s="273">
        <f>AL81*0.6</f>
        <v>1280.7142029068987</v>
      </c>
      <c r="AR92" s="597"/>
      <c r="AS92" s="597"/>
      <c r="AT92" s="597"/>
      <c r="AU92" s="597"/>
      <c r="AV92" s="273">
        <f>AQ81*0.7</f>
        <v>2104.9838370538246</v>
      </c>
      <c r="AW92" s="597"/>
      <c r="AX92" s="597"/>
      <c r="AY92" s="597"/>
      <c r="AZ92" s="597"/>
      <c r="BA92" s="273">
        <f>AV81*0.725</f>
        <v>2770.7607492907209</v>
      </c>
      <c r="BB92" s="597"/>
      <c r="BC92" s="597"/>
      <c r="BD92" s="597"/>
      <c r="BE92" s="597"/>
      <c r="BF92" s="273">
        <f>BA81*0.75</f>
        <v>3409.7589843636206</v>
      </c>
      <c r="BG92" s="597"/>
      <c r="BH92" s="597"/>
      <c r="BI92" s="597"/>
      <c r="BJ92" s="597"/>
      <c r="BK92" s="273">
        <f>BF81*0.75</f>
        <v>3892.3428030340419</v>
      </c>
      <c r="BL92" s="597"/>
      <c r="BM92" s="597"/>
      <c r="BN92" s="597"/>
      <c r="BO92" s="597"/>
      <c r="BP92" s="273">
        <f>BK81*0.75</f>
        <v>4331.3477201114611</v>
      </c>
      <c r="BQ92" s="273"/>
      <c r="BR92" s="273"/>
      <c r="BS92" s="273"/>
      <c r="BT92" s="273"/>
      <c r="BU92" s="273">
        <f>BP81*0.75</f>
        <v>4547.9151061170342</v>
      </c>
      <c r="BZ92" s="273">
        <f>BU81*0.75</f>
        <v>4661.61298376996</v>
      </c>
      <c r="CE92" s="273">
        <f>BZ81*0.75</f>
        <v>4731.5371785265088</v>
      </c>
      <c r="CJ92" s="273">
        <f>CE81*0.75</f>
        <v>4755.1948644191407</v>
      </c>
    </row>
    <row r="93" spans="2:100">
      <c r="C93" s="179"/>
      <c r="D93" s="433"/>
      <c r="E93" s="433"/>
      <c r="F93" s="433"/>
      <c r="G93" s="433"/>
      <c r="H93" s="179"/>
      <c r="I93" s="433"/>
      <c r="J93" s="433"/>
      <c r="K93" s="433"/>
      <c r="L93" s="433"/>
      <c r="M93" s="179"/>
      <c r="N93" s="433"/>
      <c r="O93" s="433"/>
      <c r="P93" s="433"/>
      <c r="Q93" s="433"/>
      <c r="R93" s="179"/>
      <c r="S93" s="433"/>
      <c r="T93" s="433"/>
      <c r="U93" s="433"/>
      <c r="V93" s="433"/>
      <c r="X93" s="433"/>
      <c r="Y93" s="433"/>
      <c r="Z93" s="433"/>
      <c r="AA93" s="433"/>
      <c r="AB93" s="273"/>
      <c r="AC93" s="597"/>
      <c r="AD93" s="597"/>
      <c r="AE93" s="597"/>
      <c r="AF93" s="597"/>
      <c r="AG93" s="273"/>
      <c r="AH93" s="597"/>
      <c r="AI93" s="597"/>
      <c r="AJ93" s="597"/>
      <c r="AK93" s="597"/>
      <c r="AL93" s="273"/>
      <c r="AM93" s="597"/>
      <c r="AN93" s="597"/>
      <c r="AO93" s="597"/>
      <c r="AP93" s="597"/>
      <c r="AQ93" s="273"/>
      <c r="AR93" s="597"/>
      <c r="AS93" s="597"/>
      <c r="AT93" s="597"/>
      <c r="AU93" s="597"/>
      <c r="AV93" s="273"/>
      <c r="AW93" s="597"/>
      <c r="AX93" s="597"/>
      <c r="AY93" s="597"/>
      <c r="AZ93" s="597"/>
      <c r="BA93" s="273"/>
      <c r="BB93" s="597"/>
      <c r="BC93" s="597"/>
      <c r="BD93" s="597"/>
      <c r="BE93" s="597"/>
      <c r="BF93" s="273"/>
      <c r="BG93" s="597"/>
      <c r="BH93" s="597"/>
      <c r="BI93" s="597"/>
      <c r="BJ93" s="597"/>
      <c r="BK93" s="273"/>
      <c r="BL93" s="597"/>
      <c r="BM93" s="597"/>
      <c r="BN93" s="597"/>
      <c r="BO93" s="597"/>
      <c r="BP93" s="273"/>
      <c r="BQ93" s="273"/>
      <c r="BR93" s="273"/>
      <c r="BS93" s="273"/>
      <c r="BT93" s="273"/>
    </row>
    <row r="94" spans="2:100" s="188" customFormat="1">
      <c r="B94" s="266" t="s">
        <v>647</v>
      </c>
      <c r="D94" s="515"/>
      <c r="E94" s="515"/>
      <c r="F94" s="515"/>
      <c r="G94" s="515"/>
      <c r="I94" s="515"/>
      <c r="J94" s="515"/>
      <c r="K94" s="515"/>
      <c r="L94" s="515"/>
      <c r="M94" s="517"/>
      <c r="N94" s="515"/>
      <c r="O94" s="515"/>
      <c r="P94" s="515"/>
      <c r="Q94" s="515"/>
      <c r="R94" s="517"/>
      <c r="S94" s="515"/>
      <c r="T94" s="515"/>
      <c r="U94" s="813">
        <f>U83</f>
        <v>0.125</v>
      </c>
      <c r="V94" s="813">
        <f>V83</f>
        <v>0.125</v>
      </c>
      <c r="W94" s="811">
        <v>0.125</v>
      </c>
      <c r="X94" s="516">
        <f>AB94</f>
        <v>0.1</v>
      </c>
      <c r="Y94" s="516">
        <f>X94</f>
        <v>0.1</v>
      </c>
      <c r="Z94" s="813">
        <f t="shared" ref="Z94:AA94" si="95">Y94</f>
        <v>0.1</v>
      </c>
      <c r="AA94" s="813">
        <f t="shared" si="95"/>
        <v>0.1</v>
      </c>
      <c r="AB94" s="811">
        <v>0.1</v>
      </c>
      <c r="AC94" s="515"/>
      <c r="AD94" s="515"/>
      <c r="AE94" s="515"/>
      <c r="AF94" s="515"/>
      <c r="AG94" s="208">
        <f>AB94</f>
        <v>0.1</v>
      </c>
      <c r="AH94" s="515"/>
      <c r="AI94" s="515"/>
      <c r="AJ94" s="515"/>
      <c r="AK94" s="515"/>
      <c r="AL94" s="208">
        <f>AG94</f>
        <v>0.1</v>
      </c>
      <c r="AM94" s="515"/>
      <c r="AN94" s="515"/>
      <c r="AO94" s="515"/>
      <c r="AP94" s="515"/>
      <c r="AQ94" s="208">
        <f>AL94</f>
        <v>0.1</v>
      </c>
      <c r="AR94" s="515"/>
      <c r="AS94" s="515"/>
      <c r="AT94" s="515"/>
      <c r="AU94" s="515"/>
      <c r="AV94" s="208">
        <f>AQ94</f>
        <v>0.1</v>
      </c>
      <c r="AW94" s="515"/>
      <c r="AX94" s="515"/>
      <c r="AY94" s="515"/>
      <c r="AZ94" s="515"/>
      <c r="BA94" s="208">
        <f>AV94</f>
        <v>0.1</v>
      </c>
      <c r="BB94" s="515"/>
      <c r="BC94" s="515"/>
      <c r="BD94" s="515"/>
      <c r="BE94" s="515"/>
      <c r="BF94" s="208">
        <f>BA94</f>
        <v>0.1</v>
      </c>
      <c r="BG94" s="515"/>
      <c r="BH94" s="515"/>
      <c r="BI94" s="515"/>
      <c r="BJ94" s="515"/>
      <c r="BK94" s="208">
        <f>BF94</f>
        <v>0.1</v>
      </c>
      <c r="BL94" s="515"/>
      <c r="BM94" s="515"/>
      <c r="BN94" s="515"/>
      <c r="BO94" s="515"/>
      <c r="BP94" s="208">
        <f>BK94</f>
        <v>0.1</v>
      </c>
      <c r="BQ94" s="208"/>
      <c r="BR94" s="208"/>
      <c r="BS94" s="208"/>
      <c r="BT94" s="208"/>
      <c r="BU94" s="208">
        <f>BP94</f>
        <v>0.1</v>
      </c>
      <c r="BZ94" s="208">
        <f>BU94</f>
        <v>0.1</v>
      </c>
      <c r="CE94" s="208">
        <f>BZ94</f>
        <v>0.1</v>
      </c>
      <c r="CJ94" s="208">
        <f>CE94</f>
        <v>0.1</v>
      </c>
    </row>
    <row r="95" spans="2:100">
      <c r="B95" s="176" t="s">
        <v>6</v>
      </c>
      <c r="D95" s="427"/>
      <c r="E95" s="427"/>
      <c r="F95" s="427"/>
      <c r="G95" s="427"/>
      <c r="I95" s="427"/>
      <c r="J95" s="427"/>
      <c r="K95" s="427"/>
      <c r="L95" s="427"/>
      <c r="N95" s="427"/>
      <c r="O95" s="427"/>
      <c r="P95" s="427"/>
      <c r="Q95" s="427"/>
      <c r="S95" s="427"/>
      <c r="T95" s="427"/>
      <c r="U95" s="521">
        <f t="shared" ref="U95:V95" si="96">U94*U92</f>
        <v>0.25</v>
      </c>
      <c r="V95" s="521">
        <f t="shared" si="96"/>
        <v>0.29565217391304355</v>
      </c>
      <c r="W95" s="222">
        <f>W94*W92</f>
        <v>0.54565217391304355</v>
      </c>
      <c r="X95" s="513">
        <f t="shared" ref="X95:AA95" si="97">X94*X92</f>
        <v>1.5</v>
      </c>
      <c r="Y95" s="513">
        <f t="shared" si="97"/>
        <v>1.875</v>
      </c>
      <c r="Z95" s="513">
        <f t="shared" si="97"/>
        <v>2.34375</v>
      </c>
      <c r="AA95" s="513">
        <f t="shared" si="97"/>
        <v>4.3925543478260893</v>
      </c>
      <c r="AB95" s="222">
        <f>AB94*AB92</f>
        <v>10.11130434782609</v>
      </c>
      <c r="AC95" s="427"/>
      <c r="AD95" s="427"/>
      <c r="AE95" s="427"/>
      <c r="AF95" s="427"/>
      <c r="AG95" s="222">
        <f>AG94*AG92</f>
        <v>29.060081127302499</v>
      </c>
      <c r="AH95" s="427"/>
      <c r="AI95" s="427"/>
      <c r="AJ95" s="427"/>
      <c r="AK95" s="427"/>
      <c r="AL95" s="222">
        <f>AL94*AL92</f>
        <v>64.694882472575841</v>
      </c>
      <c r="AM95" s="427"/>
      <c r="AN95" s="427"/>
      <c r="AO95" s="427"/>
      <c r="AP95" s="427"/>
      <c r="AQ95" s="222">
        <f>AQ94*AQ92</f>
        <v>128.07142029068987</v>
      </c>
      <c r="AR95" s="427"/>
      <c r="AS95" s="427"/>
      <c r="AT95" s="427"/>
      <c r="AU95" s="427"/>
      <c r="AV95" s="222">
        <f>AV94*AV92</f>
        <v>210.49838370538248</v>
      </c>
      <c r="AW95" s="427"/>
      <c r="AX95" s="427"/>
      <c r="AY95" s="427"/>
      <c r="AZ95" s="427"/>
      <c r="BA95" s="222">
        <f>BA94*BA92</f>
        <v>277.07607492907209</v>
      </c>
      <c r="BB95" s="427"/>
      <c r="BC95" s="427"/>
      <c r="BD95" s="427"/>
      <c r="BE95" s="427"/>
      <c r="BF95" s="222">
        <f>BF94*BF92</f>
        <v>340.97589843636206</v>
      </c>
      <c r="BG95" s="427"/>
      <c r="BH95" s="427"/>
      <c r="BI95" s="427"/>
      <c r="BJ95" s="427"/>
      <c r="BK95" s="222">
        <f>BK94*BK92</f>
        <v>389.2342803034042</v>
      </c>
      <c r="BL95" s="427"/>
      <c r="BM95" s="427"/>
      <c r="BN95" s="427"/>
      <c r="BO95" s="427"/>
      <c r="BP95" s="222">
        <f>BP94*BP92</f>
        <v>433.13477201114614</v>
      </c>
      <c r="BQ95" s="222"/>
      <c r="BR95" s="222"/>
      <c r="BS95" s="222"/>
      <c r="BT95" s="222"/>
      <c r="BU95" s="222">
        <f>BU94*BU92</f>
        <v>454.79151061170342</v>
      </c>
      <c r="BZ95" s="222">
        <f>BZ94*BZ92</f>
        <v>466.161298376996</v>
      </c>
      <c r="CE95" s="222">
        <f>CE94*CE92</f>
        <v>473.15371785265091</v>
      </c>
      <c r="CJ95" s="222">
        <f>CJ94*CJ92</f>
        <v>475.51948644191407</v>
      </c>
    </row>
    <row r="96" spans="2:100">
      <c r="B96" s="176" t="s">
        <v>216</v>
      </c>
      <c r="D96" s="427"/>
      <c r="E96" s="427"/>
      <c r="F96" s="427"/>
      <c r="G96" s="427"/>
      <c r="I96" s="427"/>
      <c r="J96" s="427"/>
      <c r="K96" s="427"/>
      <c r="L96" s="427"/>
      <c r="N96" s="427"/>
      <c r="O96" s="427"/>
      <c r="P96" s="427"/>
      <c r="Q96" s="427"/>
      <c r="S96" s="427"/>
      <c r="T96" s="427"/>
      <c r="U96" s="984">
        <v>10</v>
      </c>
      <c r="V96" s="984">
        <v>15</v>
      </c>
      <c r="W96" s="222">
        <f>SUM(S96:V96)</f>
        <v>25</v>
      </c>
      <c r="X96" s="513">
        <v>50</v>
      </c>
      <c r="Y96" s="513">
        <f>X96*1.15</f>
        <v>57.499999999999993</v>
      </c>
      <c r="Z96" s="513">
        <f>Y96*1.15</f>
        <v>66.124999999999986</v>
      </c>
      <c r="AA96" s="513">
        <f>AB96-SUM(X96:Z96)</f>
        <v>101.375</v>
      </c>
      <c r="AB96" s="222">
        <v>275</v>
      </c>
      <c r="AC96" s="521"/>
      <c r="AD96" s="521"/>
      <c r="AE96" s="521"/>
      <c r="AF96" s="521"/>
      <c r="AG96" s="222">
        <v>350</v>
      </c>
      <c r="AH96" s="521"/>
      <c r="AI96" s="521"/>
      <c r="AJ96" s="521"/>
      <c r="AK96" s="521"/>
      <c r="AL96" s="222">
        <f>AG96*1.05</f>
        <v>367.5</v>
      </c>
      <c r="AM96" s="521"/>
      <c r="AN96" s="521"/>
      <c r="AO96" s="521"/>
      <c r="AP96" s="521"/>
      <c r="AQ96" s="222">
        <f>AL96*1.05</f>
        <v>385.875</v>
      </c>
      <c r="AR96" s="521"/>
      <c r="AS96" s="521"/>
      <c r="AT96" s="521"/>
      <c r="AU96" s="521"/>
      <c r="AV96" s="222">
        <f>AQ96*1.05</f>
        <v>405.16875000000005</v>
      </c>
      <c r="AW96" s="521"/>
      <c r="AX96" s="521"/>
      <c r="AY96" s="521"/>
      <c r="AZ96" s="521"/>
      <c r="BA96" s="222">
        <f>AV96*1.05</f>
        <v>425.42718750000006</v>
      </c>
      <c r="BB96" s="521"/>
      <c r="BC96" s="521"/>
      <c r="BD96" s="521"/>
      <c r="BE96" s="521"/>
      <c r="BF96" s="222">
        <f>BA96*1.05</f>
        <v>446.69854687500009</v>
      </c>
      <c r="BG96" s="521"/>
      <c r="BH96" s="521"/>
      <c r="BI96" s="521"/>
      <c r="BJ96" s="521"/>
      <c r="BK96" s="222">
        <f>BF96*1.05</f>
        <v>469.03347421875009</v>
      </c>
      <c r="BL96" s="521"/>
      <c r="BM96" s="521"/>
      <c r="BN96" s="521"/>
      <c r="BO96" s="521"/>
      <c r="BP96" s="222">
        <f>BK96*1.05</f>
        <v>492.48514792968763</v>
      </c>
      <c r="BQ96" s="222"/>
      <c r="BR96" s="222"/>
      <c r="BS96" s="222"/>
      <c r="BT96" s="222"/>
      <c r="BU96" s="222">
        <f>BP96*1.05</f>
        <v>517.10940532617201</v>
      </c>
      <c r="BZ96" s="222">
        <f>BU96*1.05</f>
        <v>542.96487559248067</v>
      </c>
      <c r="CE96" s="222">
        <f>BZ96*1.025</f>
        <v>556.53899748229264</v>
      </c>
      <c r="CJ96" s="222">
        <f>CE96*1.025</f>
        <v>570.45247241934987</v>
      </c>
    </row>
    <row r="97" spans="2:88">
      <c r="B97" s="206" t="s">
        <v>217</v>
      </c>
      <c r="C97" s="207"/>
      <c r="D97" s="505"/>
      <c r="E97" s="505"/>
      <c r="F97" s="505"/>
      <c r="G97" s="505"/>
      <c r="H97" s="207"/>
      <c r="I97" s="505"/>
      <c r="J97" s="505"/>
      <c r="K97" s="505"/>
      <c r="L97" s="505"/>
      <c r="M97" s="207"/>
      <c r="N97" s="505"/>
      <c r="O97" s="505"/>
      <c r="P97" s="505"/>
      <c r="Q97" s="505"/>
      <c r="R97" s="207"/>
      <c r="S97" s="505"/>
      <c r="T97" s="505"/>
      <c r="U97" s="982">
        <f t="shared" ref="U97:AA97" si="98">U92-U95-U96</f>
        <v>-8.25</v>
      </c>
      <c r="V97" s="982">
        <f t="shared" si="98"/>
        <v>-12.930434782608696</v>
      </c>
      <c r="W97" s="275">
        <f>W92-W95-W96</f>
        <v>-21.180434782608696</v>
      </c>
      <c r="X97" s="505">
        <f t="shared" si="98"/>
        <v>-36.5</v>
      </c>
      <c r="Y97" s="1093">
        <f t="shared" si="98"/>
        <v>-40.624999999999993</v>
      </c>
      <c r="Z97" s="1093">
        <f t="shared" si="98"/>
        <v>-45.031249999999986</v>
      </c>
      <c r="AA97" s="1093">
        <f t="shared" si="98"/>
        <v>-61.8420108695652</v>
      </c>
      <c r="AB97" s="275">
        <f>AB92-AB95-AB96</f>
        <v>-183.9982608695652</v>
      </c>
      <c r="AC97" s="505"/>
      <c r="AD97" s="505"/>
      <c r="AE97" s="505"/>
      <c r="AF97" s="505"/>
      <c r="AG97" s="275">
        <f>AG92-AG95-AG96</f>
        <v>-88.459269854277522</v>
      </c>
      <c r="AH97" s="505"/>
      <c r="AI97" s="505"/>
      <c r="AJ97" s="505"/>
      <c r="AK97" s="505"/>
      <c r="AL97" s="275">
        <f>AL92-AL95-AL96</f>
        <v>214.75394225318257</v>
      </c>
      <c r="AM97" s="505"/>
      <c r="AN97" s="505"/>
      <c r="AO97" s="505"/>
      <c r="AP97" s="505"/>
      <c r="AQ97" s="275">
        <f>AQ92-AQ95-AQ96</f>
        <v>766.76778261620871</v>
      </c>
      <c r="AR97" s="505"/>
      <c r="AS97" s="505"/>
      <c r="AT97" s="505"/>
      <c r="AU97" s="505"/>
      <c r="AV97" s="275">
        <f>AV92-AV95-AV96</f>
        <v>1489.3167033484422</v>
      </c>
      <c r="AW97" s="505"/>
      <c r="AX97" s="505"/>
      <c r="AY97" s="505"/>
      <c r="AZ97" s="505"/>
      <c r="BA97" s="275">
        <f>BA92-BA95-BA96</f>
        <v>2068.2574868616489</v>
      </c>
      <c r="BB97" s="505"/>
      <c r="BC97" s="505"/>
      <c r="BD97" s="505"/>
      <c r="BE97" s="505"/>
      <c r="BF97" s="275">
        <f>BF92-BF95-BF96</f>
        <v>2622.0845390522586</v>
      </c>
      <c r="BG97" s="505"/>
      <c r="BH97" s="505"/>
      <c r="BI97" s="505"/>
      <c r="BJ97" s="505"/>
      <c r="BK97" s="275">
        <f>BK92-BK95-BK96</f>
        <v>3034.0750485118874</v>
      </c>
      <c r="BL97" s="505"/>
      <c r="BM97" s="505"/>
      <c r="BN97" s="505"/>
      <c r="BO97" s="505"/>
      <c r="BP97" s="275">
        <f>BP92-BP95-BP96</f>
        <v>3405.7278001706272</v>
      </c>
      <c r="BQ97" s="1000"/>
      <c r="BR97" s="1000"/>
      <c r="BS97" s="1000"/>
      <c r="BT97" s="1000"/>
      <c r="BU97" s="275">
        <f>BU92-BU95-BU96</f>
        <v>3576.0141901791585</v>
      </c>
      <c r="BZ97" s="275">
        <f>BZ92-BZ95-BZ96</f>
        <v>3652.4868098004827</v>
      </c>
      <c r="CE97" s="275">
        <f>CE92-CE95-CE96</f>
        <v>3701.8444631915654</v>
      </c>
      <c r="CJ97" s="275">
        <f>CJ92-CJ95-CJ96</f>
        <v>3709.2229055578764</v>
      </c>
    </row>
    <row r="98" spans="2:88">
      <c r="D98" s="427"/>
      <c r="E98" s="427"/>
      <c r="F98" s="427"/>
      <c r="G98" s="427"/>
      <c r="I98" s="427"/>
      <c r="J98" s="427"/>
      <c r="K98" s="427"/>
      <c r="L98" s="427"/>
      <c r="N98" s="427"/>
      <c r="O98" s="427"/>
      <c r="P98" s="427"/>
      <c r="Q98" s="427"/>
      <c r="S98" s="427"/>
      <c r="T98" s="427"/>
      <c r="U98" s="427"/>
      <c r="V98" s="427"/>
      <c r="X98" s="427"/>
      <c r="Y98" s="427"/>
      <c r="Z98" s="427"/>
      <c r="AA98" s="427"/>
      <c r="AC98" s="427"/>
      <c r="AD98" s="427"/>
      <c r="AE98" s="427"/>
      <c r="AF98" s="427"/>
      <c r="AH98" s="427"/>
      <c r="AI98" s="427"/>
      <c r="AJ98" s="427"/>
      <c r="AK98" s="427"/>
      <c r="AM98" s="427"/>
      <c r="AN98" s="427"/>
      <c r="AO98" s="427"/>
      <c r="AP98" s="427"/>
      <c r="AR98" s="427"/>
      <c r="AS98" s="427"/>
      <c r="AT98" s="427"/>
      <c r="AU98" s="427"/>
      <c r="AW98" s="427"/>
      <c r="AX98" s="427"/>
      <c r="AY98" s="427"/>
      <c r="AZ98" s="427"/>
      <c r="BB98" s="427"/>
      <c r="BC98" s="427"/>
      <c r="BD98" s="427"/>
      <c r="BE98" s="427"/>
      <c r="BG98" s="427"/>
      <c r="BH98" s="427"/>
      <c r="BI98" s="427"/>
      <c r="BJ98" s="427"/>
      <c r="BL98" s="427"/>
      <c r="BM98" s="427"/>
      <c r="BN98" s="427"/>
      <c r="BO98" s="427"/>
    </row>
    <row r="99" spans="2:88" s="188" customFormat="1">
      <c r="B99" s="186" t="s">
        <v>714</v>
      </c>
      <c r="D99" s="515"/>
      <c r="E99" s="515"/>
      <c r="F99" s="515"/>
      <c r="G99" s="515"/>
      <c r="I99" s="515"/>
      <c r="J99" s="515"/>
      <c r="K99" s="515"/>
      <c r="L99" s="515"/>
      <c r="M99" s="208"/>
      <c r="N99" s="515"/>
      <c r="O99" s="515"/>
      <c r="P99" s="515"/>
      <c r="Q99" s="515"/>
      <c r="R99" s="264"/>
      <c r="S99" s="598"/>
      <c r="T99" s="598"/>
      <c r="U99" s="813">
        <f t="shared" ref="U99:AA99" si="99">IF(U97&lt;0,0.45,0.5)</f>
        <v>0.45</v>
      </c>
      <c r="V99" s="813">
        <f t="shared" si="99"/>
        <v>0.45</v>
      </c>
      <c r="W99" s="208">
        <f>W100/W97</f>
        <v>0.45</v>
      </c>
      <c r="X99" s="813">
        <f t="shared" si="99"/>
        <v>0.45</v>
      </c>
      <c r="Y99" s="813">
        <f t="shared" si="99"/>
        <v>0.45</v>
      </c>
      <c r="Z99" s="813">
        <f t="shared" si="99"/>
        <v>0.45</v>
      </c>
      <c r="AA99" s="813">
        <f t="shared" si="99"/>
        <v>0.45</v>
      </c>
      <c r="AB99" s="264">
        <f>IF(AB97&lt;0,0.45,IF(AB97&lt;250,0.35,IF(AB97&lt;500,0.4,0.45)))</f>
        <v>0.45</v>
      </c>
      <c r="AC99" s="598"/>
      <c r="AD99" s="598"/>
      <c r="AE99" s="598"/>
      <c r="AF99" s="598"/>
      <c r="AG99" s="264">
        <f>IF(AG97&lt;0,0.45,IF(AG97&lt;250,0.35,IF(AG97&lt;500,0.4,0.45)))</f>
        <v>0.45</v>
      </c>
      <c r="AH99" s="598"/>
      <c r="AI99" s="598"/>
      <c r="AJ99" s="598"/>
      <c r="AK99" s="598"/>
      <c r="AL99" s="264">
        <f>IF(AL97&lt;0,0.45,IF(AL97&lt;250,0.35,IF(AL97&lt;500,0.4,0.45)))</f>
        <v>0.35</v>
      </c>
      <c r="AM99" s="598"/>
      <c r="AN99" s="598"/>
      <c r="AO99" s="598"/>
      <c r="AP99" s="598"/>
      <c r="AQ99" s="264">
        <f>IF(AQ97&lt;0,0.45,IF(AQ97&lt;250,0.35,IF(AQ97&lt;500,0.4,0.45)))</f>
        <v>0.45</v>
      </c>
      <c r="AR99" s="598"/>
      <c r="AS99" s="598"/>
      <c r="AT99" s="598"/>
      <c r="AU99" s="598"/>
      <c r="AV99" s="264">
        <f>IF(AV97&lt;0,0.45,IF(AV97&lt;250,0.35,IF(AV97&lt;500,0.4,0.45)))</f>
        <v>0.45</v>
      </c>
      <c r="AW99" s="598"/>
      <c r="AX99" s="598"/>
      <c r="AY99" s="598"/>
      <c r="AZ99" s="598"/>
      <c r="BA99" s="264">
        <f>IF(BA97&lt;0,0.45,IF(BA97&lt;250,0.35,IF(BA97&lt;500,0.4,0.45)))</f>
        <v>0.45</v>
      </c>
      <c r="BB99" s="598"/>
      <c r="BC99" s="598"/>
      <c r="BD99" s="598"/>
      <c r="BE99" s="598"/>
      <c r="BF99" s="264">
        <f>IF(BF97&lt;0,0.45,IF(BF97&lt;250,0.35,IF(BF97&lt;500,0.4,0.45)))</f>
        <v>0.45</v>
      </c>
      <c r="BG99" s="598"/>
      <c r="BH99" s="598"/>
      <c r="BI99" s="598"/>
      <c r="BJ99" s="598"/>
      <c r="BK99" s="264">
        <f>IF(BK97&lt;0,0.45,IF(BK97&lt;250,0.35,IF(BK97&lt;500,0.4,0.45)))</f>
        <v>0.45</v>
      </c>
      <c r="BL99" s="598"/>
      <c r="BM99" s="598"/>
      <c r="BN99" s="598"/>
      <c r="BO99" s="598"/>
      <c r="BP99" s="264">
        <f>IF(BP97&lt;0,0.45,IF(BP97&lt;250,0.35,IF(BP97&lt;500,0.4,0.45)))</f>
        <v>0.45</v>
      </c>
      <c r="BQ99" s="264"/>
      <c r="BR99" s="264"/>
      <c r="BS99" s="264"/>
      <c r="BT99" s="264"/>
      <c r="BU99" s="264">
        <f>IF(BU97&lt;0,0.45,IF(BU97&lt;250,0.35,IF(BU97&lt;500,0.4,0.45)))</f>
        <v>0.45</v>
      </c>
      <c r="BZ99" s="264">
        <f>IF(BZ97&lt;0,0.45,IF(BZ97&lt;250,0.35,IF(BZ97&lt;500,0.4,0.45)))</f>
        <v>0.45</v>
      </c>
      <c r="CE99" s="264">
        <f>IF(CE97&lt;0,0.45,IF(CE97&lt;250,0.35,IF(CE97&lt;500,0.4,0.45)))</f>
        <v>0.45</v>
      </c>
      <c r="CJ99" s="264">
        <f>IF(CJ97&lt;0,0.45,IF(CJ97&lt;250,0.35,IF(CJ97&lt;500,0.4,0.45)))</f>
        <v>0.45</v>
      </c>
    </row>
    <row r="100" spans="2:88">
      <c r="B100" s="467" t="s">
        <v>717</v>
      </c>
      <c r="D100" s="427"/>
      <c r="E100" s="427"/>
      <c r="F100" s="427"/>
      <c r="G100" s="427"/>
      <c r="I100" s="427"/>
      <c r="J100" s="427"/>
      <c r="K100" s="427"/>
      <c r="L100" s="427"/>
      <c r="M100" s="178"/>
      <c r="N100" s="427"/>
      <c r="O100" s="427"/>
      <c r="P100" s="427"/>
      <c r="Q100" s="427"/>
      <c r="R100" s="178"/>
      <c r="S100" s="427"/>
      <c r="T100" s="427"/>
      <c r="U100" s="513">
        <f t="shared" ref="U100:AA100" si="100">U99*U97</f>
        <v>-3.7124999999999999</v>
      </c>
      <c r="V100" s="513">
        <f t="shared" si="100"/>
        <v>-5.818695652173913</v>
      </c>
      <c r="W100" s="178">
        <f>SUM(S100:V100)</f>
        <v>-9.5311956521739134</v>
      </c>
      <c r="X100" s="521">
        <f t="shared" si="100"/>
        <v>-16.425000000000001</v>
      </c>
      <c r="Y100" s="521">
        <f t="shared" si="100"/>
        <v>-18.281249999999996</v>
      </c>
      <c r="Z100" s="521">
        <f t="shared" si="100"/>
        <v>-20.264062499999994</v>
      </c>
      <c r="AA100" s="521">
        <f t="shared" si="100"/>
        <v>-27.82890489130434</v>
      </c>
      <c r="AB100" s="178">
        <f>AB99*AB97</f>
        <v>-82.799217391304339</v>
      </c>
      <c r="AC100" s="521"/>
      <c r="AD100" s="521"/>
      <c r="AE100" s="521"/>
      <c r="AF100" s="521"/>
      <c r="AG100" s="178">
        <f>AG99*AG97</f>
        <v>-39.806671434424885</v>
      </c>
      <c r="AH100" s="521"/>
      <c r="AI100" s="521"/>
      <c r="AJ100" s="521"/>
      <c r="AK100" s="521"/>
      <c r="AL100" s="178">
        <f>AL99*AL97</f>
        <v>75.163879788613897</v>
      </c>
      <c r="AM100" s="521"/>
      <c r="AN100" s="521"/>
      <c r="AO100" s="521"/>
      <c r="AP100" s="521"/>
      <c r="AQ100" s="178">
        <f>AQ99*AQ97</f>
        <v>345.04550217729394</v>
      </c>
      <c r="AR100" s="521"/>
      <c r="AS100" s="521"/>
      <c r="AT100" s="521"/>
      <c r="AU100" s="521"/>
      <c r="AV100" s="178">
        <f>AV99*AV97</f>
        <v>670.19251650679894</v>
      </c>
      <c r="AW100" s="521"/>
      <c r="AX100" s="521"/>
      <c r="AY100" s="521"/>
      <c r="AZ100" s="521"/>
      <c r="BA100" s="178">
        <f>BA99*BA97</f>
        <v>930.71586908774202</v>
      </c>
      <c r="BB100" s="521"/>
      <c r="BC100" s="521"/>
      <c r="BD100" s="521"/>
      <c r="BE100" s="521"/>
      <c r="BF100" s="178">
        <f>BF99*BF97</f>
        <v>1179.9380425735164</v>
      </c>
      <c r="BG100" s="521"/>
      <c r="BH100" s="521"/>
      <c r="BI100" s="521"/>
      <c r="BJ100" s="521"/>
      <c r="BK100" s="178">
        <f>BK99*BK97</f>
        <v>1365.3337718303494</v>
      </c>
      <c r="BL100" s="521"/>
      <c r="BM100" s="521"/>
      <c r="BN100" s="521"/>
      <c r="BO100" s="521"/>
      <c r="BP100" s="178">
        <f>BP99*BP97</f>
        <v>1532.5775100767823</v>
      </c>
      <c r="BQ100" s="178"/>
      <c r="BR100" s="178"/>
      <c r="BS100" s="178"/>
      <c r="BT100" s="178"/>
      <c r="BU100" s="178">
        <f>BU99*BU97</f>
        <v>1609.2063855806214</v>
      </c>
      <c r="BZ100" s="178">
        <f>BZ99*BZ97</f>
        <v>1643.6190644102173</v>
      </c>
      <c r="CE100" s="178">
        <f>CE99*CE97</f>
        <v>1665.8300084362045</v>
      </c>
      <c r="CJ100" s="178">
        <f>CJ99*CJ97</f>
        <v>1669.1503075010444</v>
      </c>
    </row>
    <row r="101" spans="2:88">
      <c r="D101" s="427"/>
      <c r="E101" s="427"/>
      <c r="F101" s="427"/>
      <c r="G101" s="427"/>
      <c r="I101" s="427"/>
      <c r="J101" s="427"/>
      <c r="K101" s="427"/>
      <c r="L101" s="427"/>
      <c r="N101" s="427"/>
      <c r="O101" s="427"/>
      <c r="P101" s="427"/>
      <c r="Q101" s="427"/>
      <c r="S101" s="427"/>
      <c r="T101" s="427"/>
      <c r="U101" s="427"/>
      <c r="V101" s="427"/>
      <c r="X101" s="427"/>
      <c r="Y101" s="427"/>
      <c r="Z101" s="427"/>
      <c r="AA101" s="427"/>
      <c r="AC101" s="427"/>
      <c r="AD101" s="427"/>
      <c r="AE101" s="427"/>
      <c r="AF101" s="427"/>
      <c r="AH101" s="427"/>
      <c r="AI101" s="427"/>
      <c r="AJ101" s="427"/>
      <c r="AK101" s="427"/>
      <c r="AM101" s="427"/>
      <c r="AN101" s="427"/>
      <c r="AO101" s="427"/>
      <c r="AP101" s="427"/>
      <c r="AR101" s="427"/>
      <c r="AS101" s="427"/>
      <c r="AT101" s="427"/>
      <c r="AU101" s="427"/>
      <c r="AW101" s="427"/>
      <c r="AX101" s="427"/>
      <c r="AY101" s="427"/>
      <c r="AZ101" s="427"/>
      <c r="BB101" s="427"/>
      <c r="BC101" s="427"/>
      <c r="BD101" s="427"/>
      <c r="BE101" s="427"/>
      <c r="BG101" s="427"/>
      <c r="BH101" s="427"/>
      <c r="BI101" s="427"/>
      <c r="BJ101" s="427"/>
      <c r="BL101" s="427"/>
      <c r="BM101" s="427"/>
      <c r="BN101" s="427"/>
      <c r="BO101" s="427"/>
    </row>
    <row r="102" spans="2:88">
      <c r="B102" s="173" t="s">
        <v>724</v>
      </c>
      <c r="C102" s="173"/>
      <c r="D102" s="435"/>
      <c r="E102" s="435"/>
      <c r="F102" s="435"/>
      <c r="G102" s="435"/>
      <c r="H102" s="173"/>
      <c r="I102" s="435"/>
      <c r="J102" s="435"/>
      <c r="K102" s="435"/>
      <c r="L102" s="435"/>
      <c r="M102" s="276"/>
      <c r="N102" s="599">
        <f t="shared" ref="N102:AA102" si="101">N100+N89</f>
        <v>0</v>
      </c>
      <c r="O102" s="599">
        <f t="shared" si="101"/>
        <v>-2.25</v>
      </c>
      <c r="P102" s="599">
        <f t="shared" si="101"/>
        <v>-3.375</v>
      </c>
      <c r="Q102" s="599">
        <f t="shared" si="101"/>
        <v>-5.625</v>
      </c>
      <c r="R102" s="276">
        <f t="shared" si="101"/>
        <v>-11.25</v>
      </c>
      <c r="S102" s="599">
        <f t="shared" si="101"/>
        <v>0</v>
      </c>
      <c r="T102" s="599">
        <f t="shared" si="101"/>
        <v>-6.7387499999999996</v>
      </c>
      <c r="U102" s="599">
        <f t="shared" si="101"/>
        <v>9.35</v>
      </c>
      <c r="V102" s="599">
        <f t="shared" si="101"/>
        <v>24.198695652173932</v>
      </c>
      <c r="W102" s="276">
        <f>W100+W89</f>
        <v>26.80994565217393</v>
      </c>
      <c r="X102" s="533">
        <f t="shared" si="101"/>
        <v>23.574999999999999</v>
      </c>
      <c r="Y102" s="533">
        <f t="shared" si="101"/>
        <v>26.218750000000004</v>
      </c>
      <c r="Z102" s="533">
        <f t="shared" si="101"/>
        <v>29.110937500000006</v>
      </c>
      <c r="AA102" s="533">
        <f t="shared" si="101"/>
        <v>26.140732438566722</v>
      </c>
      <c r="AB102" s="276">
        <f>AB100+AB89</f>
        <v>105.0454199385667</v>
      </c>
      <c r="AC102" s="435"/>
      <c r="AD102" s="435"/>
      <c r="AE102" s="435"/>
      <c r="AF102" s="435"/>
      <c r="AG102" s="276">
        <f>AG100+AG89</f>
        <v>326.27355020061373</v>
      </c>
      <c r="AH102" s="435"/>
      <c r="AI102" s="435"/>
      <c r="AJ102" s="435"/>
      <c r="AK102" s="435"/>
      <c r="AL102" s="276">
        <f>AL100+AL89</f>
        <v>799.01798607489422</v>
      </c>
      <c r="AM102" s="435"/>
      <c r="AN102" s="435"/>
      <c r="AO102" s="435"/>
      <c r="AP102" s="435"/>
      <c r="AQ102" s="276">
        <f>AQ100+AQ89</f>
        <v>1440.1604003359344</v>
      </c>
      <c r="AR102" s="435"/>
      <c r="AS102" s="435"/>
      <c r="AT102" s="435"/>
      <c r="AU102" s="435"/>
      <c r="AV102" s="276">
        <f>AV100+AV89</f>
        <v>2110.678313492579</v>
      </c>
      <c r="AW102" s="435"/>
      <c r="AX102" s="435"/>
      <c r="AY102" s="435"/>
      <c r="AZ102" s="435"/>
      <c r="BA102" s="276">
        <f>BA100+BA89</f>
        <v>2676.6406932998543</v>
      </c>
      <c r="BB102" s="435"/>
      <c r="BC102" s="435"/>
      <c r="BD102" s="435"/>
      <c r="BE102" s="435"/>
      <c r="BF102" s="276">
        <f>BF100+BF89</f>
        <v>3195.2150318433742</v>
      </c>
      <c r="BG102" s="435"/>
      <c r="BH102" s="435"/>
      <c r="BI102" s="435"/>
      <c r="BJ102" s="435"/>
      <c r="BK102" s="276">
        <f>BK100+BK89</f>
        <v>3623.9341471037014</v>
      </c>
      <c r="BL102" s="435"/>
      <c r="BM102" s="435"/>
      <c r="BN102" s="435"/>
      <c r="BO102" s="435"/>
      <c r="BP102" s="276">
        <f>BP100+BP89</f>
        <v>3904.1079041138023</v>
      </c>
      <c r="BQ102" s="276"/>
      <c r="BR102" s="276"/>
      <c r="BS102" s="276"/>
      <c r="BT102" s="276"/>
      <c r="BU102" s="276">
        <f>BU100+BU89</f>
        <v>4040.0250394685668</v>
      </c>
      <c r="BV102" s="1003"/>
      <c r="BW102" s="1003"/>
      <c r="BX102" s="1003"/>
      <c r="BY102" s="1003"/>
      <c r="BZ102" s="276">
        <f>BZ100+BZ89</f>
        <v>4108.0154422400356</v>
      </c>
      <c r="CE102" s="276">
        <f>CE100+CE89</f>
        <v>4139.5916983920652</v>
      </c>
      <c r="CJ102" s="276">
        <f>CJ100+CJ89</f>
        <v>4072.0648957793501</v>
      </c>
    </row>
    <row r="103" spans="2:88">
      <c r="D103" s="427"/>
      <c r="E103" s="427"/>
      <c r="F103" s="427"/>
      <c r="G103" s="427"/>
      <c r="I103" s="427"/>
      <c r="J103" s="427"/>
      <c r="K103" s="427"/>
      <c r="L103" s="427"/>
      <c r="N103" s="427"/>
      <c r="O103" s="427"/>
      <c r="P103" s="427"/>
      <c r="Q103" s="427"/>
      <c r="S103" s="427"/>
      <c r="T103" s="427"/>
      <c r="U103" s="427"/>
      <c r="V103" s="427"/>
      <c r="W103" s="222"/>
      <c r="X103" s="427"/>
      <c r="Y103" s="427"/>
      <c r="Z103" s="427"/>
      <c r="AA103" s="427"/>
      <c r="AB103" s="222"/>
      <c r="AC103" s="427"/>
      <c r="AD103" s="427"/>
      <c r="AE103" s="427"/>
      <c r="AF103" s="427"/>
      <c r="AG103" s="222"/>
      <c r="AH103" s="427"/>
      <c r="AI103" s="427"/>
      <c r="AJ103" s="427"/>
      <c r="AK103" s="427"/>
      <c r="AL103" s="222"/>
      <c r="AM103" s="427"/>
      <c r="AN103" s="427"/>
      <c r="AO103" s="427"/>
      <c r="AP103" s="427"/>
      <c r="AQ103" s="222"/>
      <c r="AR103" s="427"/>
      <c r="AS103" s="427"/>
      <c r="AT103" s="427"/>
      <c r="AU103" s="427"/>
      <c r="AV103" s="222"/>
      <c r="AW103" s="427"/>
      <c r="AX103" s="427"/>
      <c r="AY103" s="427"/>
      <c r="AZ103" s="427"/>
      <c r="BA103" s="222"/>
      <c r="BB103" s="427"/>
      <c r="BC103" s="427"/>
      <c r="BD103" s="427"/>
      <c r="BE103" s="427"/>
      <c r="BF103" s="222"/>
      <c r="BG103" s="427"/>
      <c r="BH103" s="427"/>
      <c r="BI103" s="427"/>
      <c r="BJ103" s="427"/>
      <c r="BK103" s="222"/>
      <c r="BL103" s="427"/>
      <c r="BM103" s="427"/>
      <c r="BN103" s="427"/>
      <c r="BO103" s="427"/>
      <c r="BP103" s="222"/>
      <c r="BQ103" s="222"/>
      <c r="BR103" s="222"/>
      <c r="BS103" s="222"/>
      <c r="BT103" s="222"/>
      <c r="BU103" s="265"/>
      <c r="BV103" s="265"/>
      <c r="BW103" s="265"/>
      <c r="BX103" s="265"/>
      <c r="BY103" s="265"/>
    </row>
    <row r="104" spans="2:88">
      <c r="B104" s="176" t="s">
        <v>14</v>
      </c>
      <c r="C104" s="178"/>
      <c r="D104" s="427"/>
      <c r="E104" s="427"/>
      <c r="F104" s="427"/>
      <c r="G104" s="427"/>
      <c r="H104" s="178">
        <f>IF(H102&gt;0,H105*H102,0)</f>
        <v>0</v>
      </c>
      <c r="I104" s="427"/>
      <c r="J104" s="427"/>
      <c r="K104" s="427"/>
      <c r="L104" s="427"/>
      <c r="M104" s="178">
        <f>IF(M102&gt;0,M105*M102,0)</f>
        <v>0</v>
      </c>
      <c r="N104" s="513">
        <f t="shared" ref="N104" si="102">IF(N102&gt;0,N105*N102,0)</f>
        <v>0</v>
      </c>
      <c r="O104" s="513">
        <f t="shared" ref="O104" si="103">IF(O102&gt;0,O105*O102,0)</f>
        <v>0</v>
      </c>
      <c r="P104" s="513">
        <f t="shared" ref="P104" si="104">IF(P102&gt;0,P105*P102,0)</f>
        <v>0</v>
      </c>
      <c r="Q104" s="513">
        <v>0</v>
      </c>
      <c r="R104" s="178">
        <f>IF(R102&gt;0,R105*R102,0)</f>
        <v>0</v>
      </c>
      <c r="S104" s="427">
        <f t="shared" ref="S104:AA104" si="105">IF(S102&gt;0,S105*S102,0)</f>
        <v>0</v>
      </c>
      <c r="T104" s="810">
        <f t="shared" si="105"/>
        <v>0</v>
      </c>
      <c r="U104" s="810">
        <f t="shared" si="105"/>
        <v>1.4024999999999999</v>
      </c>
      <c r="V104" s="810">
        <f t="shared" si="105"/>
        <v>3.6298043478260897</v>
      </c>
      <c r="W104" s="178">
        <f>SUM(S104:V104)</f>
        <v>5.0323043478260896</v>
      </c>
      <c r="X104" s="513">
        <f t="shared" si="105"/>
        <v>3.5362499999999999</v>
      </c>
      <c r="Y104" s="513">
        <f t="shared" si="105"/>
        <v>3.9328125000000003</v>
      </c>
      <c r="Z104" s="513">
        <f t="shared" si="105"/>
        <v>4.3666406250000005</v>
      </c>
      <c r="AA104" s="513">
        <f t="shared" si="105"/>
        <v>3.9211098657850081</v>
      </c>
      <c r="AB104" s="178">
        <f>IF(AB102&gt;0,AB105*AB102,0)</f>
        <v>15.756812990785004</v>
      </c>
      <c r="AC104" s="427"/>
      <c r="AD104" s="427"/>
      <c r="AE104" s="427"/>
      <c r="AF104" s="427"/>
      <c r="AG104" s="178">
        <f>IF(AG102&gt;0,AG105*AG102,0)</f>
        <v>48.941032530092059</v>
      </c>
      <c r="AH104" s="427"/>
      <c r="AI104" s="427"/>
      <c r="AJ104" s="427"/>
      <c r="AK104" s="427"/>
      <c r="AL104" s="178">
        <f>IF(AL102&gt;0,AL105*AL102,0)</f>
        <v>119.85269791123413</v>
      </c>
      <c r="AM104" s="427"/>
      <c r="AN104" s="427"/>
      <c r="AO104" s="427"/>
      <c r="AP104" s="427"/>
      <c r="AQ104" s="178">
        <f>IF(AQ102&gt;0,AQ105*AQ102,0)</f>
        <v>216.02406005039015</v>
      </c>
      <c r="AR104" s="513"/>
      <c r="AS104" s="513"/>
      <c r="AT104" s="513"/>
      <c r="AU104" s="513"/>
      <c r="AV104" s="178">
        <f>IF(AV102&gt;0,AV105*AV102,0)</f>
        <v>316.60174702388684</v>
      </c>
      <c r="AW104" s="513"/>
      <c r="AX104" s="513"/>
      <c r="AY104" s="513"/>
      <c r="AZ104" s="513"/>
      <c r="BA104" s="178">
        <f>IF(BA102&gt;0,BA105*BA102,0)</f>
        <v>401.49610399497811</v>
      </c>
      <c r="BB104" s="513"/>
      <c r="BC104" s="513"/>
      <c r="BD104" s="513"/>
      <c r="BE104" s="513"/>
      <c r="BF104" s="178">
        <f>IF(BF102&gt;0,BF105*BF102,0)</f>
        <v>479.28225477650608</v>
      </c>
      <c r="BG104" s="513"/>
      <c r="BH104" s="513"/>
      <c r="BI104" s="513"/>
      <c r="BJ104" s="513"/>
      <c r="BK104" s="178">
        <f>IF(BK102&gt;0,BK105*BK102,0)</f>
        <v>543.59012206555519</v>
      </c>
      <c r="BL104" s="513"/>
      <c r="BM104" s="513"/>
      <c r="BN104" s="513"/>
      <c r="BO104" s="513"/>
      <c r="BP104" s="178">
        <f>IF(BP102&gt;0,BP105*BP102,0)</f>
        <v>585.6161856170703</v>
      </c>
      <c r="BQ104" s="178"/>
      <c r="BR104" s="178"/>
      <c r="BS104" s="178"/>
      <c r="BT104" s="178"/>
      <c r="BU104" s="178">
        <f>IF(BU102&gt;0,BU105*BU102,0)</f>
        <v>606.00375592028502</v>
      </c>
      <c r="BV104" s="178"/>
      <c r="BW104" s="178"/>
      <c r="BX104" s="178"/>
      <c r="BY104" s="178"/>
      <c r="BZ104" s="178">
        <f>IF(BZ102&gt;0,BZ105*BZ102,0)</f>
        <v>616.20231633600531</v>
      </c>
      <c r="CE104" s="178">
        <f>IF(CE102&gt;0,CE105*CE102,0)</f>
        <v>620.93875475880975</v>
      </c>
      <c r="CJ104" s="178">
        <f>IF(CJ102&gt;0,CJ105*CJ102,0)</f>
        <v>610.80973436690249</v>
      </c>
    </row>
    <row r="105" spans="2:88" s="186" customFormat="1">
      <c r="B105" s="266" t="s">
        <v>718</v>
      </c>
      <c r="C105" s="600"/>
      <c r="D105" s="601"/>
      <c r="E105" s="601"/>
      <c r="F105" s="601"/>
      <c r="G105" s="601"/>
      <c r="H105" s="812">
        <v>0.15</v>
      </c>
      <c r="I105" s="601"/>
      <c r="J105" s="601"/>
      <c r="K105" s="601"/>
      <c r="L105" s="601"/>
      <c r="M105" s="812">
        <v>0.15</v>
      </c>
      <c r="N105" s="863">
        <f t="shared" ref="N105:P105" si="106">O105</f>
        <v>0.15</v>
      </c>
      <c r="O105" s="863">
        <f t="shared" si="106"/>
        <v>0.15</v>
      </c>
      <c r="P105" s="863">
        <f t="shared" si="106"/>
        <v>0.15</v>
      </c>
      <c r="Q105" s="863">
        <f>R105</f>
        <v>0.15</v>
      </c>
      <c r="R105" s="267">
        <f>M105</f>
        <v>0.15</v>
      </c>
      <c r="S105" s="927">
        <v>0.15</v>
      </c>
      <c r="T105" s="927">
        <f>S105</f>
        <v>0.15</v>
      </c>
      <c r="U105" s="928">
        <f t="shared" ref="U105:V105" si="107">T105</f>
        <v>0.15</v>
      </c>
      <c r="V105" s="928">
        <f t="shared" si="107"/>
        <v>0.15</v>
      </c>
      <c r="W105" s="267">
        <f>W104/W102</f>
        <v>0.18770289254271713</v>
      </c>
      <c r="X105" s="927">
        <f>AB105</f>
        <v>0.15</v>
      </c>
      <c r="Y105" s="927">
        <f>X105</f>
        <v>0.15</v>
      </c>
      <c r="Z105" s="928">
        <f t="shared" ref="Z105:AA105" si="108">Y105</f>
        <v>0.15</v>
      </c>
      <c r="AA105" s="928">
        <f t="shared" si="108"/>
        <v>0.15</v>
      </c>
      <c r="AB105" s="267">
        <v>0.15</v>
      </c>
      <c r="AC105" s="601"/>
      <c r="AD105" s="601"/>
      <c r="AE105" s="601"/>
      <c r="AF105" s="601"/>
      <c r="AG105" s="267">
        <f>AB105</f>
        <v>0.15</v>
      </c>
      <c r="AH105" s="601"/>
      <c r="AI105" s="601"/>
      <c r="AJ105" s="601"/>
      <c r="AK105" s="601"/>
      <c r="AL105" s="267">
        <f>AG105</f>
        <v>0.15</v>
      </c>
      <c r="AM105" s="601"/>
      <c r="AN105" s="601"/>
      <c r="AO105" s="601"/>
      <c r="AP105" s="601"/>
      <c r="AQ105" s="267">
        <f>AL105</f>
        <v>0.15</v>
      </c>
      <c r="AR105" s="602"/>
      <c r="AS105" s="602"/>
      <c r="AT105" s="602"/>
      <c r="AU105" s="602"/>
      <c r="AV105" s="267">
        <f>AQ105</f>
        <v>0.15</v>
      </c>
      <c r="AW105" s="602"/>
      <c r="AX105" s="602"/>
      <c r="AY105" s="602"/>
      <c r="AZ105" s="602"/>
      <c r="BA105" s="267">
        <f>AV105</f>
        <v>0.15</v>
      </c>
      <c r="BB105" s="602"/>
      <c r="BC105" s="602"/>
      <c r="BD105" s="602"/>
      <c r="BE105" s="602"/>
      <c r="BF105" s="267">
        <f>BA105</f>
        <v>0.15</v>
      </c>
      <c r="BG105" s="602"/>
      <c r="BH105" s="602"/>
      <c r="BI105" s="602"/>
      <c r="BJ105" s="602"/>
      <c r="BK105" s="267">
        <f>BF105</f>
        <v>0.15</v>
      </c>
      <c r="BL105" s="602"/>
      <c r="BM105" s="602"/>
      <c r="BN105" s="602"/>
      <c r="BO105" s="602"/>
      <c r="BP105" s="267">
        <f>BK105</f>
        <v>0.15</v>
      </c>
      <c r="BQ105" s="267"/>
      <c r="BR105" s="267"/>
      <c r="BS105" s="267"/>
      <c r="BT105" s="267"/>
      <c r="BU105" s="267">
        <f>BP105</f>
        <v>0.15</v>
      </c>
      <c r="BV105" s="267"/>
      <c r="BW105" s="267"/>
      <c r="BX105" s="267"/>
      <c r="BY105" s="267"/>
      <c r="BZ105" s="267">
        <f>BU105</f>
        <v>0.15</v>
      </c>
      <c r="CE105" s="267">
        <f>BZ105</f>
        <v>0.15</v>
      </c>
      <c r="CJ105" s="267">
        <f>CE105</f>
        <v>0.15</v>
      </c>
    </row>
    <row r="106" spans="2:88">
      <c r="B106" s="173" t="s">
        <v>719</v>
      </c>
      <c r="C106" s="225"/>
      <c r="D106" s="435"/>
      <c r="E106" s="435"/>
      <c r="F106" s="435"/>
      <c r="G106" s="435"/>
      <c r="H106" s="225">
        <f>H102-H104</f>
        <v>0</v>
      </c>
      <c r="I106" s="435"/>
      <c r="J106" s="435"/>
      <c r="K106" s="435"/>
      <c r="L106" s="435"/>
      <c r="M106" s="225">
        <f>M102-M104</f>
        <v>0</v>
      </c>
      <c r="N106" s="533">
        <f t="shared" ref="N106:P106" si="109">N102-N104</f>
        <v>0</v>
      </c>
      <c r="O106" s="533">
        <f t="shared" si="109"/>
        <v>-2.25</v>
      </c>
      <c r="P106" s="533">
        <f t="shared" si="109"/>
        <v>-3.375</v>
      </c>
      <c r="Q106" s="533">
        <f>Q102-Q104</f>
        <v>-5.625</v>
      </c>
      <c r="R106" s="225">
        <f>R102-R104</f>
        <v>-11.25</v>
      </c>
      <c r="S106" s="435">
        <f t="shared" ref="S106:AA106" si="110">S102-S104</f>
        <v>0</v>
      </c>
      <c r="T106" s="533">
        <f t="shared" si="110"/>
        <v>-6.7387499999999996</v>
      </c>
      <c r="U106" s="533">
        <f t="shared" si="110"/>
        <v>7.9474999999999998</v>
      </c>
      <c r="V106" s="533">
        <f t="shared" si="110"/>
        <v>20.568891304347844</v>
      </c>
      <c r="W106" s="225">
        <f>W102-W104</f>
        <v>21.777641304347839</v>
      </c>
      <c r="X106" s="533">
        <f t="shared" si="110"/>
        <v>20.03875</v>
      </c>
      <c r="Y106" s="533">
        <f t="shared" si="110"/>
        <v>22.285937500000003</v>
      </c>
      <c r="Z106" s="533">
        <f t="shared" si="110"/>
        <v>24.744296875000003</v>
      </c>
      <c r="AA106" s="533">
        <f t="shared" si="110"/>
        <v>22.219622572781713</v>
      </c>
      <c r="AB106" s="225">
        <f>AB102-AB104</f>
        <v>89.288606947781687</v>
      </c>
      <c r="AC106" s="603"/>
      <c r="AD106" s="603"/>
      <c r="AE106" s="603"/>
      <c r="AF106" s="603"/>
      <c r="AG106" s="225">
        <f>AG102-AG104</f>
        <v>277.33251767052167</v>
      </c>
      <c r="AH106" s="603"/>
      <c r="AI106" s="603"/>
      <c r="AJ106" s="603"/>
      <c r="AK106" s="603"/>
      <c r="AL106" s="225">
        <f>AL102-AL104</f>
        <v>679.16528816366008</v>
      </c>
      <c r="AM106" s="435"/>
      <c r="AN106" s="435"/>
      <c r="AO106" s="435"/>
      <c r="AP106" s="435"/>
      <c r="AQ106" s="225">
        <f>AQ102-AQ104</f>
        <v>1224.1363402855443</v>
      </c>
      <c r="AR106" s="435"/>
      <c r="AS106" s="435"/>
      <c r="AT106" s="435"/>
      <c r="AU106" s="435"/>
      <c r="AV106" s="225">
        <f>AV102-AV104</f>
        <v>1794.0765664686921</v>
      </c>
      <c r="AW106" s="435"/>
      <c r="AX106" s="435"/>
      <c r="AY106" s="435"/>
      <c r="AZ106" s="435"/>
      <c r="BA106" s="225">
        <f>BA102-BA104</f>
        <v>2275.1445893048763</v>
      </c>
      <c r="BB106" s="435"/>
      <c r="BC106" s="435"/>
      <c r="BD106" s="435"/>
      <c r="BE106" s="435"/>
      <c r="BF106" s="225">
        <f>BF102-BF104</f>
        <v>2715.9327770668679</v>
      </c>
      <c r="BG106" s="435"/>
      <c r="BH106" s="435"/>
      <c r="BI106" s="435"/>
      <c r="BJ106" s="435"/>
      <c r="BK106" s="225">
        <f>BK102-BK104</f>
        <v>3080.3440250381464</v>
      </c>
      <c r="BL106" s="435"/>
      <c r="BM106" s="435"/>
      <c r="BN106" s="435"/>
      <c r="BO106" s="435"/>
      <c r="BP106" s="225">
        <f>BP102-BP104</f>
        <v>3318.4917184967321</v>
      </c>
      <c r="BQ106" s="225"/>
      <c r="BR106" s="225"/>
      <c r="BS106" s="225"/>
      <c r="BT106" s="225"/>
      <c r="BU106" s="225">
        <f>BU102-BU104</f>
        <v>3434.0212835482816</v>
      </c>
      <c r="BV106" s="1004"/>
      <c r="BW106" s="1004"/>
      <c r="BX106" s="1004"/>
      <c r="BY106" s="1004"/>
      <c r="BZ106" s="225">
        <f>BZ102-BZ104</f>
        <v>3491.8131259040301</v>
      </c>
      <c r="CE106" s="225">
        <f>CE102-CE104</f>
        <v>3518.6529436332553</v>
      </c>
      <c r="CJ106" s="225">
        <f>CJ102-CJ104</f>
        <v>3461.2551614124477</v>
      </c>
    </row>
    <row r="107" spans="2:88" ht="13.5" customHeight="1">
      <c r="B107" s="268"/>
    </row>
    <row r="108" spans="2:88" collapsed="1">
      <c r="B108" s="604" t="s">
        <v>745</v>
      </c>
      <c r="C108" s="605"/>
      <c r="D108" s="605"/>
      <c r="E108" s="605"/>
      <c r="F108" s="605"/>
      <c r="G108" s="605"/>
      <c r="H108" s="605"/>
      <c r="I108" s="605"/>
      <c r="J108" s="605"/>
      <c r="K108" s="605"/>
      <c r="L108" s="605"/>
      <c r="M108" s="605"/>
      <c r="N108" s="605"/>
      <c r="O108" s="605"/>
      <c r="P108" s="605"/>
      <c r="Q108" s="605"/>
      <c r="R108" s="605"/>
      <c r="S108" s="605"/>
      <c r="T108" s="605"/>
      <c r="U108" s="605"/>
      <c r="V108" s="605"/>
      <c r="W108" s="605"/>
      <c r="X108" s="605"/>
      <c r="Y108" s="605"/>
      <c r="Z108" s="605"/>
      <c r="AA108" s="605"/>
      <c r="AB108" s="605"/>
      <c r="AC108" s="605"/>
      <c r="AD108" s="605"/>
      <c r="AE108" s="605"/>
      <c r="AF108" s="605"/>
      <c r="AG108" s="605"/>
      <c r="AH108" s="605"/>
      <c r="AI108" s="605"/>
      <c r="AJ108" s="605"/>
      <c r="AK108" s="605"/>
      <c r="AL108" s="605"/>
      <c r="AM108" s="605"/>
      <c r="AN108" s="605"/>
      <c r="AO108" s="605"/>
      <c r="AP108" s="605"/>
      <c r="AQ108" s="605"/>
      <c r="AR108" s="605"/>
      <c r="AS108" s="605"/>
      <c r="AT108" s="605"/>
      <c r="AU108" s="605"/>
      <c r="AV108" s="605"/>
      <c r="AW108" s="605"/>
      <c r="AX108" s="605"/>
      <c r="AY108" s="605"/>
      <c r="AZ108" s="605"/>
      <c r="BA108" s="605"/>
      <c r="BB108" s="605"/>
      <c r="BC108" s="605"/>
      <c r="BD108" s="605"/>
      <c r="BE108" s="605"/>
      <c r="BF108" s="605"/>
      <c r="BG108" s="605"/>
      <c r="BH108" s="605"/>
      <c r="BI108" s="605"/>
      <c r="BJ108" s="605"/>
      <c r="BK108" s="605"/>
      <c r="BL108" s="605"/>
      <c r="BM108" s="605"/>
      <c r="BN108" s="605"/>
      <c r="BO108" s="605"/>
      <c r="BP108" s="605"/>
      <c r="BQ108" s="1001"/>
      <c r="BR108" s="1001"/>
      <c r="BS108" s="1001"/>
      <c r="BT108" s="1001"/>
      <c r="BU108" s="605"/>
      <c r="BZ108" s="605"/>
      <c r="CE108" s="605"/>
      <c r="CJ108" s="605"/>
    </row>
    <row r="109" spans="2:88" ht="13.5" customHeight="1">
      <c r="B109" s="268"/>
    </row>
    <row r="110" spans="2:88" ht="13.5" customHeight="1">
      <c r="B110" s="280" t="s">
        <v>746</v>
      </c>
      <c r="C110" s="173"/>
      <c r="D110" s="173"/>
      <c r="E110" s="173"/>
      <c r="F110" s="173"/>
      <c r="G110" s="173"/>
      <c r="H110" s="225">
        <f>H106+H76+H38</f>
        <v>-9</v>
      </c>
      <c r="I110" s="225">
        <f t="shared" ref="I110:L110" si="111">I106+I76+I38</f>
        <v>-22.405000000000001</v>
      </c>
      <c r="J110" s="225">
        <f t="shared" si="111"/>
        <v>-46.313000000000002</v>
      </c>
      <c r="K110" s="225">
        <f t="shared" si="111"/>
        <v>-74.864999999999995</v>
      </c>
      <c r="L110" s="225">
        <f t="shared" si="111"/>
        <v>-96.459000000000003</v>
      </c>
      <c r="M110" s="225">
        <f>M106+M76+M38</f>
        <v>-240.042</v>
      </c>
      <c r="N110" s="225">
        <f t="shared" ref="N110:Q110" si="112">N106+N76+N38</f>
        <v>-99.421999999999997</v>
      </c>
      <c r="O110" s="225">
        <f t="shared" si="112"/>
        <v>-124.357</v>
      </c>
      <c r="P110" s="225">
        <f t="shared" si="112"/>
        <v>-115.376</v>
      </c>
      <c r="Q110" s="225">
        <f t="shared" si="112"/>
        <v>-131.15300000000002</v>
      </c>
      <c r="R110" s="225">
        <f>R106+R76+R38</f>
        <v>-470.30799999999999</v>
      </c>
      <c r="S110" s="173"/>
      <c r="T110" s="173"/>
      <c r="U110" s="173"/>
      <c r="V110" s="173"/>
      <c r="W110" s="225">
        <f>W106+W76+W38</f>
        <v>-447.63230434782616</v>
      </c>
      <c r="X110" s="173"/>
      <c r="Y110" s="173"/>
      <c r="Z110" s="173"/>
      <c r="AA110" s="173"/>
      <c r="AB110" s="225">
        <f>AB106+AB76+AB38</f>
        <v>-256.23110119377816</v>
      </c>
      <c r="AC110" s="173"/>
      <c r="AD110" s="173"/>
      <c r="AE110" s="173"/>
      <c r="AF110" s="173"/>
      <c r="AG110" s="225">
        <f>AG106+AG76+AG38</f>
        <v>7.5910777603612019</v>
      </c>
      <c r="AH110" s="173"/>
      <c r="AI110" s="173"/>
      <c r="AJ110" s="173"/>
      <c r="AK110" s="173"/>
      <c r="AL110" s="225">
        <f>AL106+AL76+AL38</f>
        <v>599.59290987263751</v>
      </c>
      <c r="AM110" s="173"/>
      <c r="AN110" s="173"/>
      <c r="AO110" s="173"/>
      <c r="AP110" s="173"/>
      <c r="AQ110" s="225">
        <f>AQ106+AQ76+AQ38</f>
        <v>1226.2170830795435</v>
      </c>
      <c r="AR110" s="173"/>
      <c r="AS110" s="173"/>
      <c r="AT110" s="173"/>
      <c r="AU110" s="173"/>
      <c r="AV110" s="225">
        <f>AV106+AV76+AV38</f>
        <v>1856.9326428489446</v>
      </c>
      <c r="AW110" s="173"/>
      <c r="AX110" s="173"/>
      <c r="AY110" s="173"/>
      <c r="AZ110" s="173"/>
      <c r="BA110" s="225">
        <f>BA106+BA76+BA38</f>
        <v>2386.5503298101421</v>
      </c>
      <c r="BB110" s="173"/>
      <c r="BC110" s="173"/>
      <c r="BD110" s="173"/>
      <c r="BE110" s="173"/>
      <c r="BF110" s="225">
        <f>BF106+BF76+BF38</f>
        <v>2868.4453388634624</v>
      </c>
      <c r="BG110" s="173"/>
      <c r="BH110" s="173"/>
      <c r="BI110" s="173"/>
      <c r="BJ110" s="173"/>
      <c r="BK110" s="225">
        <f>BK106+BK76+BK38</f>
        <v>3268.2299046681146</v>
      </c>
      <c r="BL110" s="173"/>
      <c r="BM110" s="173"/>
      <c r="BN110" s="173"/>
      <c r="BO110" s="173"/>
      <c r="BP110" s="225">
        <f>BP106+BP76+BP38</f>
        <v>3538.2696794499534</v>
      </c>
      <c r="BQ110" s="225"/>
      <c r="BR110" s="225"/>
      <c r="BS110" s="225"/>
      <c r="BT110" s="225"/>
      <c r="BU110" s="225">
        <f>BU106+BU76+BU38</f>
        <v>3698.4067067197952</v>
      </c>
      <c r="BV110" s="997"/>
      <c r="BW110" s="997"/>
      <c r="BX110" s="997"/>
      <c r="BY110" s="997"/>
      <c r="BZ110" s="225">
        <f>BZ106+BZ76+BZ38</f>
        <v>3770.3047724727421</v>
      </c>
      <c r="CE110" s="225">
        <f>CE106+CE76+CE38</f>
        <v>3795.5254204005591</v>
      </c>
      <c r="CJ110" s="225">
        <f>CJ106+CJ76+CJ38</f>
        <v>3737.2305635658586</v>
      </c>
    </row>
    <row r="111" spans="2:88" ht="13.5" customHeight="1">
      <c r="B111" s="281" t="s">
        <v>180</v>
      </c>
      <c r="M111" s="19"/>
      <c r="N111" s="264"/>
      <c r="O111" s="264"/>
      <c r="P111" s="264"/>
      <c r="Q111" s="264"/>
      <c r="R111" s="19">
        <f>R110/M110-1</f>
        <v>0.95927379375275978</v>
      </c>
      <c r="S111" s="264"/>
      <c r="T111" s="264"/>
      <c r="U111" s="264"/>
      <c r="V111" s="264"/>
      <c r="W111" s="19">
        <f>W110/R110-1</f>
        <v>-4.821456503434729E-2</v>
      </c>
      <c r="X111" s="264"/>
      <c r="Y111" s="264"/>
      <c r="Z111" s="264"/>
      <c r="AA111" s="264"/>
      <c r="AB111" s="19">
        <f>AB110/W110-1</f>
        <v>-0.42758576915691604</v>
      </c>
      <c r="AC111" s="264"/>
      <c r="AD111" s="264"/>
      <c r="AE111" s="264"/>
      <c r="AF111" s="264"/>
      <c r="AG111" s="19">
        <f>AG110/AB110-1</f>
        <v>-1.029625903042193</v>
      </c>
      <c r="AH111" s="264"/>
      <c r="AI111" s="264"/>
      <c r="AJ111" s="264"/>
      <c r="AK111" s="264"/>
      <c r="AL111" s="19">
        <f>AL110/AG110-1</f>
        <v>77.986532453081793</v>
      </c>
      <c r="AM111" s="264"/>
      <c r="AN111" s="264"/>
      <c r="AO111" s="264"/>
      <c r="AP111" s="264"/>
      <c r="AQ111" s="19">
        <f>AQ110/AL110-1</f>
        <v>1.0450826934227928</v>
      </c>
      <c r="AR111" s="264"/>
      <c r="AS111" s="264"/>
      <c r="AT111" s="264"/>
      <c r="AU111" s="264"/>
      <c r="AV111" s="19">
        <f>AV110/AQ110-1</f>
        <v>0.51435881009373219</v>
      </c>
      <c r="AW111" s="264"/>
      <c r="AX111" s="264"/>
      <c r="AY111" s="264"/>
      <c r="AZ111" s="264"/>
      <c r="BA111" s="19">
        <f>BA110/AV110-1</f>
        <v>0.28521103821442173</v>
      </c>
      <c r="BB111" s="264"/>
      <c r="BC111" s="264"/>
      <c r="BD111" s="264"/>
      <c r="BE111" s="264"/>
      <c r="BF111" s="19">
        <f>BF110/BA110-1</f>
        <v>0.20192115918697451</v>
      </c>
      <c r="BG111" s="264"/>
      <c r="BH111" s="264"/>
      <c r="BI111" s="264"/>
      <c r="BJ111" s="264"/>
      <c r="BK111" s="19">
        <f>BK110/BF110-1</f>
        <v>0.13937325574523762</v>
      </c>
      <c r="BL111" s="264"/>
      <c r="BM111" s="264"/>
      <c r="BN111" s="264"/>
      <c r="BO111" s="264"/>
      <c r="BP111" s="19">
        <f>BP110/BK110-1</f>
        <v>8.2625697291409228E-2</v>
      </c>
      <c r="BQ111" s="19"/>
      <c r="BR111" s="19"/>
      <c r="BS111" s="19"/>
      <c r="BT111" s="19"/>
      <c r="BU111" s="19">
        <f>BU110/BP110-1</f>
        <v>4.5258570368422513E-2</v>
      </c>
      <c r="BZ111" s="19">
        <f>BZ110/BU110-1</f>
        <v>1.9440281032995221E-2</v>
      </c>
      <c r="CE111" s="19">
        <f>CE110/BZ110-1</f>
        <v>6.6892862645893114E-3</v>
      </c>
      <c r="CJ111" s="19">
        <f>CJ110/CE110-1</f>
        <v>-1.5358837151075777E-2</v>
      </c>
    </row>
    <row r="112" spans="2:88" ht="13.5" customHeight="1">
      <c r="B112" s="268"/>
    </row>
    <row r="113" spans="1:105">
      <c r="B113" s="125" t="s">
        <v>175</v>
      </c>
      <c r="H113" s="219">
        <f>1/(1+$C$119)^(H1-$C$122)</f>
        <v>1.5355610346059194</v>
      </c>
      <c r="M113" s="219">
        <f>1/(1+$C$119)^(M1-$C$122)</f>
        <v>1.395964576914472</v>
      </c>
      <c r="R113" s="219">
        <f>1/(1+$C$119)^(R1-$C$122)</f>
        <v>1.2690587062858836</v>
      </c>
      <c r="S113" s="219"/>
      <c r="T113" s="219"/>
      <c r="U113" s="219"/>
      <c r="V113" s="219"/>
      <c r="W113" s="219">
        <f>1/(1+$C$119)^(W1-$C$122)</f>
        <v>1.1536897329871669</v>
      </c>
      <c r="X113" s="219"/>
      <c r="Y113" s="219"/>
      <c r="Z113" s="219"/>
      <c r="AA113" s="219"/>
      <c r="AB113" s="219">
        <f>1/(1+$C$119)^(AB1-$C$122)</f>
        <v>1.0488088481701516</v>
      </c>
      <c r="AC113" s="219"/>
      <c r="AD113" s="219"/>
      <c r="AE113" s="219"/>
      <c r="AF113" s="219"/>
      <c r="AG113" s="219">
        <f>1/(1+$C$119)^(AG1-$C$122)</f>
        <v>0.95346258924559224</v>
      </c>
      <c r="AH113" s="219"/>
      <c r="AI113" s="219"/>
      <c r="AJ113" s="219"/>
      <c r="AK113" s="219"/>
      <c r="AL113" s="219">
        <f>1/(1+$C$119)^(AL1-$C$122)</f>
        <v>0.86678417204144742</v>
      </c>
      <c r="AM113" s="219"/>
      <c r="AN113" s="219"/>
      <c r="AO113" s="219"/>
      <c r="AP113" s="219"/>
      <c r="AQ113" s="219">
        <f>1/(1+$C$119)^(AQ1-$C$122)</f>
        <v>0.78798561094677033</v>
      </c>
      <c r="AR113" s="219"/>
      <c r="AS113" s="219"/>
      <c r="AT113" s="219"/>
      <c r="AU113" s="219"/>
      <c r="AV113" s="219">
        <f>1/(1+$C$119)^(AV1-$C$122)</f>
        <v>0.71635055540615489</v>
      </c>
      <c r="AW113" s="219"/>
      <c r="AX113" s="219"/>
      <c r="AY113" s="219"/>
      <c r="AZ113" s="219"/>
      <c r="BA113" s="219">
        <f>1/(1+$C$119)^(BA1-$C$122)</f>
        <v>0.65122777764195883</v>
      </c>
      <c r="BB113" s="219"/>
      <c r="BC113" s="219"/>
      <c r="BD113" s="219"/>
      <c r="BE113" s="219"/>
      <c r="BF113" s="219">
        <f>1/(1+$C$119)^(BF1-$C$122)</f>
        <v>0.59202525240178083</v>
      </c>
      <c r="BG113" s="219"/>
      <c r="BH113" s="219"/>
      <c r="BI113" s="219"/>
      <c r="BJ113" s="219"/>
      <c r="BK113" s="219">
        <f>1/(1+$C$119)^(BK1-$C$122)</f>
        <v>0.53820477491070973</v>
      </c>
      <c r="BL113" s="219"/>
      <c r="BM113" s="219"/>
      <c r="BN113" s="219"/>
      <c r="BO113" s="219"/>
      <c r="BP113" s="219">
        <f>1/(1+$C$119)^(BP1-$C$122)</f>
        <v>0.48927706810064514</v>
      </c>
      <c r="BQ113" s="219"/>
      <c r="BR113" s="219"/>
      <c r="BS113" s="219"/>
      <c r="BT113" s="219"/>
      <c r="BU113" s="219">
        <f>1/(1+$C$119)^(BU1-$C$122)</f>
        <v>0.44479733463695009</v>
      </c>
      <c r="BV113" s="219"/>
      <c r="BW113" s="219"/>
      <c r="BX113" s="219"/>
      <c r="BY113" s="219"/>
      <c r="BZ113" s="219">
        <f>1/(1+$C$119)^(BZ1-$C$122)</f>
        <v>0.4043612133063183</v>
      </c>
      <c r="CA113" s="219"/>
      <c r="CB113" s="219"/>
      <c r="CC113" s="219"/>
      <c r="CD113" s="219"/>
      <c r="CE113" s="219">
        <f>1/(1+$C$119)^(CE1-$C$122)</f>
        <v>0.36760110300574383</v>
      </c>
      <c r="CF113" s="219"/>
      <c r="CG113" s="219"/>
      <c r="CH113" s="219"/>
      <c r="CI113" s="219"/>
      <c r="CJ113" s="219">
        <f>1/(1+$C$119)^(CJ1-$C$122)</f>
        <v>0.33418282091431251</v>
      </c>
      <c r="CK113" s="219"/>
      <c r="CL113" s="219"/>
      <c r="CM113" s="219"/>
      <c r="CN113" s="219"/>
      <c r="CO113" s="219"/>
      <c r="CP113" s="219"/>
      <c r="CQ113" s="219"/>
      <c r="CR113" s="219"/>
      <c r="CS113" s="219"/>
      <c r="CT113" s="219"/>
      <c r="CU113" s="219"/>
      <c r="CV113" s="219">
        <f t="shared" ref="CV113:DA113" si="113">1/(1+$G$63)^(CZ63-$G$66)</f>
        <v>1</v>
      </c>
      <c r="CW113" s="219">
        <f t="shared" si="113"/>
        <v>1</v>
      </c>
      <c r="CX113" s="219">
        <f t="shared" si="113"/>
        <v>1</v>
      </c>
      <c r="CY113" s="219">
        <f t="shared" si="113"/>
        <v>1</v>
      </c>
      <c r="CZ113" s="219">
        <f t="shared" si="113"/>
        <v>1</v>
      </c>
      <c r="DA113" s="219">
        <f t="shared" si="113"/>
        <v>1</v>
      </c>
    </row>
    <row r="114" spans="1:105">
      <c r="B114" s="125" t="s">
        <v>670</v>
      </c>
      <c r="H114" s="178">
        <f>H113*H110</f>
        <v>-13.820049311453275</v>
      </c>
      <c r="I114" s="178"/>
      <c r="J114" s="178"/>
      <c r="K114" s="178"/>
      <c r="L114" s="178"/>
      <c r="M114" s="178">
        <f>M113*M110</f>
        <v>-335.09012897170368</v>
      </c>
      <c r="N114" s="178"/>
      <c r="O114" s="178"/>
      <c r="P114" s="178"/>
      <c r="Q114" s="178"/>
      <c r="R114" s="178">
        <f>R113*R110</f>
        <v>-596.84846203590132</v>
      </c>
      <c r="S114" s="178"/>
      <c r="T114" s="178"/>
      <c r="U114" s="178"/>
      <c r="V114" s="178"/>
      <c r="W114" s="178">
        <f>W113*W110</f>
        <v>-516.42879367947376</v>
      </c>
      <c r="X114" s="178"/>
      <c r="Y114" s="178"/>
      <c r="Z114" s="178"/>
      <c r="AA114" s="178"/>
      <c r="AB114" s="178">
        <f>AB113*AB110</f>
        <v>-268.73744610841601</v>
      </c>
      <c r="AC114" s="178"/>
      <c r="AD114" s="178"/>
      <c r="AE114" s="178"/>
      <c r="AF114" s="178"/>
      <c r="AG114" s="178">
        <f>AG113*AG110</f>
        <v>7.2378086565586228</v>
      </c>
      <c r="AH114" s="178"/>
      <c r="AI114" s="178"/>
      <c r="AJ114" s="178"/>
      <c r="AK114" s="178"/>
      <c r="AL114" s="178">
        <f>AL113*AL110</f>
        <v>519.71764394587626</v>
      </c>
      <c r="AM114" s="178"/>
      <c r="AN114" s="178"/>
      <c r="AO114" s="178"/>
      <c r="AP114" s="178"/>
      <c r="AQ114" s="178">
        <f>AQ113*AQ110</f>
        <v>966.24141736380068</v>
      </c>
      <c r="AR114" s="178"/>
      <c r="AS114" s="178"/>
      <c r="AT114" s="178"/>
      <c r="AU114" s="178"/>
      <c r="AV114" s="178">
        <f>AV113*AV110</f>
        <v>1330.2147300566605</v>
      </c>
      <c r="AW114" s="178"/>
      <c r="AX114" s="178"/>
      <c r="AY114" s="178"/>
      <c r="AZ114" s="178"/>
      <c r="BA114" s="178">
        <f>BA113*BA110</f>
        <v>1554.1878675129428</v>
      </c>
      <c r="BB114" s="178"/>
      <c r="BC114" s="178"/>
      <c r="BD114" s="178"/>
      <c r="BE114" s="178"/>
      <c r="BF114" s="178">
        <f>BF113*BF110</f>
        <v>1698.1920757413532</v>
      </c>
      <c r="BG114" s="178"/>
      <c r="BH114" s="178"/>
      <c r="BI114" s="178"/>
      <c r="BJ114" s="178"/>
      <c r="BK114" s="178">
        <f>BK113*BK110</f>
        <v>1758.9769401983528</v>
      </c>
      <c r="BL114" s="178"/>
      <c r="BM114" s="178"/>
      <c r="BN114" s="178"/>
      <c r="BO114" s="178"/>
      <c r="BP114" s="178">
        <f>BP113*BP110</f>
        <v>1731.1942149106826</v>
      </c>
      <c r="BQ114" s="178"/>
      <c r="BR114" s="178"/>
      <c r="BS114" s="178"/>
      <c r="BT114" s="178"/>
      <c r="BU114" s="223">
        <f>BU113*BU110</f>
        <v>1645.0414455523853</v>
      </c>
      <c r="BV114" s="223"/>
      <c r="BW114" s="223"/>
      <c r="BX114" s="223"/>
      <c r="BY114" s="223"/>
      <c r="BZ114" s="223">
        <f>BZ113*BZ110</f>
        <v>1524.5650123316805</v>
      </c>
      <c r="CE114" s="223">
        <f>CE113*CE110</f>
        <v>1395.2393310255852</v>
      </c>
      <c r="CJ114" s="223">
        <f>CJ113*CJ110</f>
        <v>1248.9182521396244</v>
      </c>
      <c r="CM114" s="223"/>
      <c r="CV114" s="223">
        <f t="shared" ref="CV114:DA114" si="114">CV113*CZ110</f>
        <v>0</v>
      </c>
      <c r="CW114" s="223">
        <f t="shared" si="114"/>
        <v>0</v>
      </c>
      <c r="CX114" s="223">
        <f t="shared" si="114"/>
        <v>0</v>
      </c>
      <c r="CY114" s="223">
        <f t="shared" si="114"/>
        <v>0</v>
      </c>
      <c r="CZ114" s="223">
        <f t="shared" si="114"/>
        <v>0</v>
      </c>
      <c r="DA114" s="223">
        <f t="shared" si="114"/>
        <v>0</v>
      </c>
    </row>
    <row r="118" spans="1:105" ht="13.5" thickBot="1"/>
    <row r="119" spans="1:105">
      <c r="A119" s="543" t="s">
        <v>668</v>
      </c>
      <c r="B119" s="544" t="s">
        <v>589</v>
      </c>
      <c r="C119" s="546">
        <f>DCF!C18</f>
        <v>0.1</v>
      </c>
    </row>
    <row r="120" spans="1:105">
      <c r="B120" s="547" t="s">
        <v>590</v>
      </c>
      <c r="C120" s="549">
        <v>0.05</v>
      </c>
    </row>
    <row r="121" spans="1:105">
      <c r="A121" s="543" t="s">
        <v>668</v>
      </c>
      <c r="B121" s="547" t="s">
        <v>591</v>
      </c>
      <c r="C121" s="550">
        <f>DCF!C20</f>
        <v>1.4E-2</v>
      </c>
    </row>
    <row r="122" spans="1:105">
      <c r="A122" s="543" t="s">
        <v>668</v>
      </c>
      <c r="B122" s="547" t="s">
        <v>592</v>
      </c>
      <c r="C122" s="551">
        <f>DCF!C21</f>
        <v>2018.5</v>
      </c>
    </row>
    <row r="123" spans="1:105">
      <c r="A123" s="543" t="s">
        <v>668</v>
      </c>
      <c r="B123" s="547" t="s">
        <v>593</v>
      </c>
      <c r="C123" s="551">
        <f>DCF!C22</f>
        <v>117.50775</v>
      </c>
    </row>
    <row r="124" spans="1:105">
      <c r="B124" s="552"/>
      <c r="C124" s="549"/>
    </row>
    <row r="125" spans="1:105">
      <c r="B125" s="553" t="s">
        <v>669</v>
      </c>
      <c r="C125" s="554">
        <f>SUM(R114:DA114)</f>
        <v>13997.712037611713</v>
      </c>
    </row>
    <row r="126" spans="1:105" ht="13.5" thickBot="1">
      <c r="B126" s="555" t="s">
        <v>588</v>
      </c>
      <c r="C126" s="557">
        <f>C125/C123</f>
        <v>119.12160719281675</v>
      </c>
    </row>
    <row r="128" spans="1:105" collapsed="1">
      <c r="B128" s="604" t="s">
        <v>733</v>
      </c>
      <c r="C128" s="605"/>
      <c r="D128" s="605"/>
      <c r="E128" s="605"/>
      <c r="F128" s="605"/>
      <c r="G128" s="605"/>
      <c r="H128" s="605"/>
      <c r="I128" s="605"/>
      <c r="J128" s="605"/>
      <c r="K128" s="605"/>
      <c r="L128" s="605"/>
      <c r="M128" s="605"/>
      <c r="N128" s="605"/>
      <c r="O128" s="605"/>
      <c r="P128" s="605"/>
      <c r="Q128" s="605"/>
      <c r="R128" s="605"/>
      <c r="S128" s="605"/>
      <c r="T128" s="605"/>
      <c r="U128" s="605"/>
      <c r="V128" s="605"/>
      <c r="W128" s="605"/>
      <c r="X128" s="605"/>
      <c r="Y128" s="605"/>
      <c r="Z128" s="605"/>
      <c r="AA128" s="605"/>
      <c r="AB128" s="605"/>
      <c r="AC128" s="605"/>
      <c r="AD128" s="605"/>
      <c r="AE128" s="605"/>
      <c r="AF128" s="605"/>
      <c r="AG128" s="605"/>
      <c r="AH128" s="605"/>
      <c r="AI128" s="605"/>
      <c r="AJ128" s="605"/>
      <c r="AK128" s="605"/>
      <c r="AL128" s="605"/>
      <c r="AM128" s="605"/>
      <c r="AN128" s="605"/>
      <c r="AO128" s="605"/>
      <c r="AP128" s="605"/>
      <c r="AQ128" s="605"/>
      <c r="AR128" s="605"/>
      <c r="AS128" s="605"/>
      <c r="AT128" s="605"/>
      <c r="AU128" s="605"/>
      <c r="AV128" s="605"/>
      <c r="AW128" s="605"/>
      <c r="AX128" s="605"/>
      <c r="AY128" s="605"/>
      <c r="AZ128" s="605"/>
      <c r="BA128" s="605"/>
      <c r="BB128" s="605"/>
      <c r="BC128" s="605"/>
      <c r="BD128" s="605"/>
      <c r="BE128" s="605"/>
      <c r="BF128" s="605"/>
      <c r="BG128" s="605"/>
      <c r="BH128" s="605"/>
      <c r="BI128" s="605"/>
      <c r="BJ128" s="605"/>
      <c r="BK128" s="605"/>
      <c r="BL128" s="605"/>
      <c r="BM128" s="605"/>
      <c r="BN128" s="605"/>
      <c r="BO128" s="605"/>
      <c r="BP128" s="605"/>
      <c r="BQ128" s="1001"/>
      <c r="BR128" s="1001"/>
      <c r="BS128" s="1001"/>
      <c r="BT128" s="1001"/>
    </row>
    <row r="129" spans="1:88" ht="13.5" customHeight="1">
      <c r="B129" s="268"/>
    </row>
    <row r="130" spans="1:88" ht="13.5" hidden="1" customHeight="1">
      <c r="B130" s="268" t="s">
        <v>734</v>
      </c>
      <c r="C130" s="606">
        <v>879</v>
      </c>
      <c r="D130" s="223"/>
      <c r="E130" s="223"/>
      <c r="F130" s="223"/>
      <c r="G130" s="223"/>
      <c r="H130" s="223">
        <f>C130+H133+H134+H135+H136-H138</f>
        <v>1062</v>
      </c>
      <c r="I130" s="223"/>
      <c r="J130" s="223"/>
      <c r="K130" s="223"/>
      <c r="L130" s="223"/>
      <c r="M130" s="223">
        <f>H130+M133+M134+M135+M136-M138</f>
        <v>1261.75</v>
      </c>
      <c r="N130" s="223"/>
      <c r="O130" s="223"/>
      <c r="P130" s="223"/>
      <c r="Q130" s="223"/>
      <c r="R130" s="223">
        <f>M130+R133+R134+R135+R136-R138</f>
        <v>1464.75</v>
      </c>
      <c r="S130" s="223"/>
      <c r="T130" s="223"/>
      <c r="U130" s="223"/>
      <c r="V130" s="223"/>
      <c r="W130" s="223">
        <f>R130+W133+W134+W135+W136-W138</f>
        <v>1633.5</v>
      </c>
      <c r="X130" s="223"/>
      <c r="Y130" s="223"/>
      <c r="Z130" s="223"/>
      <c r="AA130" s="223"/>
      <c r="AB130" s="223">
        <f>W130+AB133+AB134+AB135+AB136-AB138</f>
        <v>1742</v>
      </c>
      <c r="AC130" s="223"/>
      <c r="AD130" s="223"/>
      <c r="AE130" s="223"/>
      <c r="AF130" s="223"/>
      <c r="AG130" s="223">
        <f>AB130+AG133+AG134+AG135+AG136-AG138</f>
        <v>1841.6731952209548</v>
      </c>
      <c r="AH130" s="223"/>
      <c r="AI130" s="223"/>
      <c r="AJ130" s="223"/>
      <c r="AK130" s="223"/>
      <c r="AL130" s="223">
        <f>AG130+AL133+AL134+AL135+AL136-AL138</f>
        <v>1874.5435519425675</v>
      </c>
      <c r="AM130" s="223"/>
      <c r="AN130" s="223"/>
      <c r="AO130" s="223"/>
      <c r="AP130" s="223"/>
      <c r="AQ130" s="223">
        <f>AL130+AQ133+AQ134+AQ135+AQ136-AQ138</f>
        <v>1834.5182451295741</v>
      </c>
      <c r="AR130" s="223"/>
      <c r="AS130" s="223"/>
      <c r="AT130" s="223"/>
      <c r="AU130" s="223"/>
      <c r="AV130" s="223">
        <f>AQ130+AV133+AV134+AV135+AV136-AV138</f>
        <v>1720.854576454791</v>
      </c>
      <c r="AW130" s="223"/>
      <c r="AX130" s="223"/>
      <c r="AY130" s="223"/>
      <c r="AZ130" s="223"/>
      <c r="BA130" s="223">
        <f>AV130+BA133+BA134+BA135+BA136-BA138</f>
        <v>1545.2382015899038</v>
      </c>
      <c r="BB130" s="223"/>
      <c r="BC130" s="223"/>
      <c r="BD130" s="223"/>
      <c r="BE130" s="223"/>
      <c r="BF130" s="223">
        <f>BA130+BF133+BF134+BF135+BF136-BF138</f>
        <v>1313.1916132298131</v>
      </c>
      <c r="BG130" s="223"/>
      <c r="BH130" s="223"/>
      <c r="BI130" s="223"/>
      <c r="BJ130" s="223"/>
      <c r="BK130" s="223">
        <f>BF130+BK133+BK134+BK135+BK136-BK138</f>
        <v>1034.2766088605476</v>
      </c>
      <c r="BL130" s="223"/>
      <c r="BM130" s="223"/>
      <c r="BN130" s="223"/>
      <c r="BO130" s="223"/>
      <c r="BP130" s="223">
        <f>BK130+BP133+BP134+BP135+BP136-BP138</f>
        <v>723.69891901065193</v>
      </c>
      <c r="BQ130" s="223"/>
      <c r="BR130" s="223"/>
      <c r="BS130" s="223"/>
      <c r="BT130" s="223"/>
    </row>
    <row r="131" spans="1:88" ht="13.5" customHeight="1">
      <c r="B131" s="268"/>
    </row>
    <row r="132" spans="1:88" ht="13.5" customHeight="1">
      <c r="B132" s="268" t="s">
        <v>743</v>
      </c>
    </row>
    <row r="133" spans="1:88" ht="13.5" customHeight="1">
      <c r="A133" s="268"/>
      <c r="B133" s="279" t="s">
        <v>735</v>
      </c>
      <c r="H133" s="178">
        <f>H145</f>
        <v>33</v>
      </c>
      <c r="M133" s="178">
        <f>M145</f>
        <v>24.75</v>
      </c>
      <c r="R133" s="178">
        <f>R145</f>
        <v>13</v>
      </c>
      <c r="W133" s="178">
        <f>W145</f>
        <v>10</v>
      </c>
      <c r="AB133" s="178">
        <f>AB145</f>
        <v>6</v>
      </c>
      <c r="AG133" s="178">
        <f>AG145</f>
        <v>6</v>
      </c>
      <c r="AL133" s="178">
        <f>AL145</f>
        <v>6</v>
      </c>
      <c r="AQ133" s="178">
        <f>AQ145</f>
        <v>6</v>
      </c>
      <c r="AV133" s="178">
        <f>AV145</f>
        <v>6</v>
      </c>
      <c r="BA133" s="178">
        <f>BA145</f>
        <v>6</v>
      </c>
      <c r="BF133" s="178">
        <f>BF145</f>
        <v>6</v>
      </c>
      <c r="BK133" s="178">
        <f>BK145</f>
        <v>6</v>
      </c>
      <c r="BP133" s="178">
        <f>BP145</f>
        <v>6</v>
      </c>
      <c r="BQ133" s="178"/>
      <c r="BR133" s="178"/>
      <c r="BS133" s="178"/>
      <c r="BT133" s="178"/>
    </row>
    <row r="134" spans="1:88" ht="13.5" customHeight="1">
      <c r="B134" s="279" t="s">
        <v>736</v>
      </c>
      <c r="H134" s="125">
        <f>H151</f>
        <v>75</v>
      </c>
      <c r="M134" s="125">
        <f>M151</f>
        <v>75</v>
      </c>
      <c r="R134" s="125">
        <f>R151</f>
        <v>52.5</v>
      </c>
      <c r="W134" s="125">
        <f>W151</f>
        <v>52.5</v>
      </c>
      <c r="AB134" s="125">
        <f>AB151</f>
        <v>15</v>
      </c>
      <c r="AG134" s="125">
        <f>AG151</f>
        <v>15</v>
      </c>
      <c r="AL134" s="125">
        <f>AL151</f>
        <v>15</v>
      </c>
      <c r="AQ134" s="125">
        <f>AQ151</f>
        <v>15</v>
      </c>
      <c r="AV134" s="125">
        <f>AV151</f>
        <v>15</v>
      </c>
      <c r="BA134" s="125">
        <f>BA151</f>
        <v>15</v>
      </c>
      <c r="BF134" s="125">
        <f>BF151</f>
        <v>15</v>
      </c>
      <c r="BK134" s="125">
        <f>BK151</f>
        <v>15</v>
      </c>
      <c r="BP134" s="125">
        <f>BP151</f>
        <v>15</v>
      </c>
    </row>
    <row r="135" spans="1:88" ht="13.5" customHeight="1">
      <c r="B135" s="279" t="s">
        <v>737</v>
      </c>
      <c r="H135" s="125">
        <f>H157</f>
        <v>0</v>
      </c>
      <c r="M135" s="125">
        <f>M157</f>
        <v>25</v>
      </c>
      <c r="R135" s="125">
        <f>R157</f>
        <v>62.5</v>
      </c>
      <c r="W135" s="125">
        <f>W157</f>
        <v>31.25</v>
      </c>
      <c r="AB135" s="125">
        <f>AB157</f>
        <v>12.5</v>
      </c>
      <c r="AG135" s="125">
        <f>AG157</f>
        <v>10</v>
      </c>
      <c r="AL135" s="125">
        <f>AL157</f>
        <v>10</v>
      </c>
      <c r="AQ135" s="125">
        <f>AQ157</f>
        <v>10</v>
      </c>
      <c r="AV135" s="125">
        <f>AV157</f>
        <v>10</v>
      </c>
      <c r="BA135" s="125">
        <f>BA157</f>
        <v>10</v>
      </c>
      <c r="BF135" s="125">
        <f>BF157</f>
        <v>10</v>
      </c>
      <c r="BK135" s="125">
        <f>BK157</f>
        <v>10</v>
      </c>
      <c r="BP135" s="125">
        <f>BP157</f>
        <v>10</v>
      </c>
    </row>
    <row r="136" spans="1:88" ht="13.5" customHeight="1">
      <c r="B136" s="279" t="s">
        <v>742</v>
      </c>
      <c r="H136" s="125">
        <f>H159</f>
        <v>75</v>
      </c>
      <c r="M136" s="125">
        <f>M159</f>
        <v>75</v>
      </c>
      <c r="R136" s="125">
        <f>R159</f>
        <v>75</v>
      </c>
      <c r="W136" s="125">
        <f>W159</f>
        <v>75</v>
      </c>
      <c r="AB136" s="125">
        <f>AB159</f>
        <v>75</v>
      </c>
      <c r="AG136" s="125">
        <f>AG159</f>
        <v>75</v>
      </c>
      <c r="AL136" s="125">
        <f>AL159</f>
        <v>75</v>
      </c>
      <c r="AQ136" s="125">
        <f>AQ159</f>
        <v>75</v>
      </c>
      <c r="AV136" s="125">
        <f>AV159</f>
        <v>75</v>
      </c>
      <c r="BA136" s="125">
        <f>BA159</f>
        <v>75</v>
      </c>
      <c r="BF136" s="125">
        <f>BF159</f>
        <v>75</v>
      </c>
      <c r="BK136" s="125">
        <f>BK159</f>
        <v>75</v>
      </c>
      <c r="BP136" s="125">
        <f>BP159</f>
        <v>75</v>
      </c>
    </row>
    <row r="137" spans="1:88" ht="13.5" customHeight="1">
      <c r="B137" s="268"/>
    </row>
    <row r="138" spans="1:88" ht="13.5" customHeight="1">
      <c r="B138" s="268" t="s">
        <v>744</v>
      </c>
      <c r="H138" s="125">
        <f>IF((H102+H72+H34)&gt;0,0.1*(H102+H72+H34),0)</f>
        <v>0</v>
      </c>
      <c r="M138" s="125">
        <f>IF((M102+M72+M34)&gt;0,0.1*(M102+M72+M34),0)</f>
        <v>0</v>
      </c>
      <c r="N138" s="125">
        <f>R138/4</f>
        <v>0</v>
      </c>
      <c r="O138" s="125">
        <f>R138/4</f>
        <v>0</v>
      </c>
      <c r="P138" s="125">
        <f>R138/4</f>
        <v>0</v>
      </c>
      <c r="Q138" s="125">
        <f>R138/4</f>
        <v>0</v>
      </c>
      <c r="R138" s="178">
        <f>IF((R102+R72+R34)&gt;0,0.1*(R102+R72+R34),0)</f>
        <v>0</v>
      </c>
      <c r="S138" s="125">
        <f>W138/4</f>
        <v>0</v>
      </c>
      <c r="T138" s="125">
        <f>W138/4</f>
        <v>0</v>
      </c>
      <c r="U138" s="125">
        <f>W138/4</f>
        <v>0</v>
      </c>
      <c r="V138" s="125">
        <f>W138/4</f>
        <v>0</v>
      </c>
      <c r="W138" s="178">
        <f>IF((W102+W72+W34)&gt;0,0.1*(W102+W72+W34),0)</f>
        <v>0</v>
      </c>
      <c r="X138" s="178"/>
      <c r="Y138" s="178"/>
      <c r="Z138" s="178"/>
      <c r="AA138" s="178"/>
      <c r="AB138" s="178">
        <f>IF((AB102+AB72+AB34)&gt;0,0.1*(AB102+AB72+AB34),0)</f>
        <v>0</v>
      </c>
      <c r="AC138" s="178"/>
      <c r="AD138" s="178"/>
      <c r="AE138" s="178"/>
      <c r="AF138" s="178"/>
      <c r="AG138" s="178">
        <f>IF((AG102+AG72+AG34)&gt;0,0.1*(AG102+AG72+AG34),0)</f>
        <v>6.3268047790453243</v>
      </c>
      <c r="AH138" s="178"/>
      <c r="AI138" s="178"/>
      <c r="AJ138" s="178"/>
      <c r="AK138" s="178"/>
      <c r="AL138" s="178">
        <f>IF((AL102+AL72+AL34)&gt;0,0.1*(AL102+AL72+AL34),0)</f>
        <v>73.129643278387164</v>
      </c>
      <c r="AM138" s="178"/>
      <c r="AN138" s="178"/>
      <c r="AO138" s="178"/>
      <c r="AP138" s="178"/>
      <c r="AQ138" s="178">
        <f>IF((AQ102+AQ72+AQ34)&gt;0,0.1*(AQ102+AQ72+AQ34),0)</f>
        <v>146.02530681299336</v>
      </c>
      <c r="AR138" s="178"/>
      <c r="AS138" s="178"/>
      <c r="AT138" s="178"/>
      <c r="AU138" s="178"/>
      <c r="AV138" s="178">
        <f>IF((AV102+AV72+AV34)&gt;0,0.1*(AV102+AV72+AV34),0)</f>
        <v>219.66366867478314</v>
      </c>
      <c r="AW138" s="178"/>
      <c r="AX138" s="178"/>
      <c r="AY138" s="178"/>
      <c r="AZ138" s="178"/>
      <c r="BA138" s="178">
        <f>IF((BA102+BA72+BA34)&gt;0,0.1*(BA102+BA72+BA34),0)</f>
        <v>281.61637486488701</v>
      </c>
      <c r="BB138" s="178"/>
      <c r="BC138" s="178"/>
      <c r="BD138" s="178"/>
      <c r="BE138" s="178"/>
      <c r="BF138" s="178">
        <f>IF((BF102+BF72+BF34)&gt;0,0.1*(BF102+BF72+BF34),0)</f>
        <v>338.04658836009065</v>
      </c>
      <c r="BG138" s="178"/>
      <c r="BH138" s="178"/>
      <c r="BI138" s="178"/>
      <c r="BJ138" s="178"/>
      <c r="BK138" s="178">
        <f>IF((BK102+BK72+BK34)&gt;0,0.1*(BK102+BK72+BK34),0)</f>
        <v>384.91500436926543</v>
      </c>
      <c r="BL138" s="178"/>
      <c r="BM138" s="178"/>
      <c r="BN138" s="178"/>
      <c r="BO138" s="178"/>
      <c r="BP138" s="178">
        <f>IF((BP102+BP72+BP34)&gt;0,0.1*(BP102+BP72+BP34),0)</f>
        <v>416.57768984989571</v>
      </c>
      <c r="BQ138" s="178"/>
      <c r="BR138" s="178"/>
      <c r="BS138" s="178"/>
      <c r="BT138" s="178"/>
      <c r="BU138" s="178">
        <f>IF((BU102+BU72+BU34)&gt;0,0.1*(BU102+BU72+BU34),0)</f>
        <v>435.33293429215166</v>
      </c>
      <c r="BZ138" s="178"/>
      <c r="CE138" s="178"/>
      <c r="CJ138" s="178"/>
    </row>
    <row r="139" spans="1:88" ht="13.5" customHeight="1">
      <c r="B139" s="268"/>
    </row>
    <row r="140" spans="1:88" ht="13.5" customHeight="1">
      <c r="B140" s="268"/>
    </row>
    <row r="141" spans="1:88">
      <c r="B141" s="125" t="s">
        <v>738</v>
      </c>
      <c r="C141" s="155"/>
      <c r="D141" s="155"/>
      <c r="E141" s="155"/>
      <c r="F141" s="155"/>
      <c r="G141" s="155"/>
      <c r="H141" s="155"/>
      <c r="I141" s="155"/>
      <c r="J141" s="155"/>
      <c r="K141" s="155"/>
      <c r="L141" s="155"/>
      <c r="M141" s="155"/>
      <c r="N141" s="155"/>
      <c r="O141" s="155"/>
      <c r="P141" s="155"/>
      <c r="Q141" s="155"/>
      <c r="R141" s="155"/>
    </row>
    <row r="142" spans="1:88">
      <c r="B142" s="243" t="s">
        <v>227</v>
      </c>
      <c r="C142" s="155"/>
      <c r="D142" s="155"/>
      <c r="E142" s="155"/>
      <c r="F142" s="155"/>
      <c r="G142" s="155"/>
      <c r="H142" s="155">
        <v>1650</v>
      </c>
      <c r="I142" s="155"/>
      <c r="J142" s="155"/>
      <c r="K142" s="155"/>
      <c r="L142" s="155"/>
      <c r="M142" s="155">
        <v>1650</v>
      </c>
      <c r="N142" s="155"/>
      <c r="O142" s="155"/>
      <c r="P142" s="155"/>
      <c r="Q142" s="155"/>
      <c r="R142" s="155">
        <v>1300</v>
      </c>
    </row>
    <row r="143" spans="1:88">
      <c r="B143" s="243" t="s">
        <v>228</v>
      </c>
      <c r="C143" s="155"/>
      <c r="D143" s="155"/>
      <c r="E143" s="155"/>
      <c r="F143" s="155"/>
      <c r="G143" s="155"/>
      <c r="H143" s="155">
        <v>100</v>
      </c>
      <c r="I143" s="155"/>
      <c r="J143" s="155"/>
      <c r="K143" s="155"/>
      <c r="L143" s="155"/>
      <c r="M143" s="155">
        <v>75</v>
      </c>
      <c r="N143" s="155"/>
      <c r="O143" s="155"/>
      <c r="P143" s="155"/>
      <c r="Q143" s="155"/>
      <c r="R143" s="155">
        <v>50</v>
      </c>
    </row>
    <row r="144" spans="1:88">
      <c r="B144" s="243" t="s">
        <v>183</v>
      </c>
      <c r="C144" s="155"/>
      <c r="D144" s="155"/>
      <c r="E144" s="155"/>
      <c r="F144" s="155"/>
      <c r="G144" s="155"/>
      <c r="H144" s="155">
        <f>H143*1000*H142/1000000</f>
        <v>165</v>
      </c>
      <c r="I144" s="155"/>
      <c r="J144" s="155"/>
      <c r="K144" s="155"/>
      <c r="L144" s="155"/>
      <c r="M144" s="155">
        <f>M143*1000*M142/1000000</f>
        <v>123.75</v>
      </c>
      <c r="N144" s="155"/>
      <c r="O144" s="155"/>
      <c r="P144" s="155"/>
      <c r="Q144" s="155"/>
      <c r="R144" s="155">
        <f>R143*1000*R142/1000000</f>
        <v>65</v>
      </c>
      <c r="W144" s="155">
        <v>50</v>
      </c>
      <c r="AB144" s="125">
        <v>30</v>
      </c>
      <c r="AG144" s="125">
        <f>AB144</f>
        <v>30</v>
      </c>
      <c r="AL144" s="125">
        <f>AG144</f>
        <v>30</v>
      </c>
      <c r="AQ144" s="125">
        <f>AL144</f>
        <v>30</v>
      </c>
      <c r="AV144" s="125">
        <f>AQ144</f>
        <v>30</v>
      </c>
      <c r="BA144" s="125">
        <f>AV144</f>
        <v>30</v>
      </c>
      <c r="BF144" s="125">
        <f>BA144</f>
        <v>30</v>
      </c>
      <c r="BK144" s="125">
        <f>BF144</f>
        <v>30</v>
      </c>
      <c r="BP144" s="125">
        <f>BK144</f>
        <v>30</v>
      </c>
    </row>
    <row r="145" spans="2:72">
      <c r="B145" s="243" t="s">
        <v>229</v>
      </c>
      <c r="C145" s="269"/>
      <c r="D145" s="155"/>
      <c r="E145" s="155"/>
      <c r="F145" s="155"/>
      <c r="G145" s="155"/>
      <c r="H145" s="269">
        <f>H144*0.2</f>
        <v>33</v>
      </c>
      <c r="I145" s="155"/>
      <c r="J145" s="155"/>
      <c r="K145" s="155"/>
      <c r="L145" s="155"/>
      <c r="M145" s="269">
        <f>M144*0.2</f>
        <v>24.75</v>
      </c>
      <c r="N145" s="155"/>
      <c r="O145" s="155"/>
      <c r="P145" s="155"/>
      <c r="Q145" s="155"/>
      <c r="R145" s="269">
        <f>R144*0.2</f>
        <v>13</v>
      </c>
      <c r="S145" s="269">
        <f t="shared" ref="S145:BP145" si="115">S144*0.2</f>
        <v>0</v>
      </c>
      <c r="T145" s="269">
        <f t="shared" si="115"/>
        <v>0</v>
      </c>
      <c r="U145" s="269">
        <f t="shared" si="115"/>
        <v>0</v>
      </c>
      <c r="V145" s="269">
        <f t="shared" si="115"/>
        <v>0</v>
      </c>
      <c r="W145" s="269">
        <f t="shared" si="115"/>
        <v>10</v>
      </c>
      <c r="X145" s="269">
        <f t="shared" si="115"/>
        <v>0</v>
      </c>
      <c r="Y145" s="269">
        <f t="shared" si="115"/>
        <v>0</v>
      </c>
      <c r="Z145" s="269">
        <f t="shared" si="115"/>
        <v>0</v>
      </c>
      <c r="AA145" s="269">
        <f t="shared" si="115"/>
        <v>0</v>
      </c>
      <c r="AB145" s="269">
        <f t="shared" si="115"/>
        <v>6</v>
      </c>
      <c r="AC145" s="269">
        <f t="shared" si="115"/>
        <v>0</v>
      </c>
      <c r="AD145" s="269">
        <f t="shared" si="115"/>
        <v>0</v>
      </c>
      <c r="AE145" s="269">
        <f t="shared" si="115"/>
        <v>0</v>
      </c>
      <c r="AF145" s="269">
        <f t="shared" si="115"/>
        <v>0</v>
      </c>
      <c r="AG145" s="269">
        <f t="shared" si="115"/>
        <v>6</v>
      </c>
      <c r="AH145" s="269">
        <f t="shared" si="115"/>
        <v>0</v>
      </c>
      <c r="AI145" s="269">
        <f t="shared" si="115"/>
        <v>0</v>
      </c>
      <c r="AJ145" s="269">
        <f t="shared" si="115"/>
        <v>0</v>
      </c>
      <c r="AK145" s="269">
        <f t="shared" si="115"/>
        <v>0</v>
      </c>
      <c r="AL145" s="269">
        <f t="shared" si="115"/>
        <v>6</v>
      </c>
      <c r="AM145" s="269">
        <f t="shared" si="115"/>
        <v>0</v>
      </c>
      <c r="AN145" s="269">
        <f t="shared" si="115"/>
        <v>0</v>
      </c>
      <c r="AO145" s="269">
        <f t="shared" si="115"/>
        <v>0</v>
      </c>
      <c r="AP145" s="269">
        <f t="shared" si="115"/>
        <v>0</v>
      </c>
      <c r="AQ145" s="269">
        <f t="shared" si="115"/>
        <v>6</v>
      </c>
      <c r="AR145" s="269">
        <f t="shared" si="115"/>
        <v>0</v>
      </c>
      <c r="AS145" s="269">
        <f t="shared" si="115"/>
        <v>0</v>
      </c>
      <c r="AT145" s="269">
        <f t="shared" si="115"/>
        <v>0</v>
      </c>
      <c r="AU145" s="269">
        <f t="shared" si="115"/>
        <v>0</v>
      </c>
      <c r="AV145" s="269">
        <f t="shared" si="115"/>
        <v>6</v>
      </c>
      <c r="AW145" s="269">
        <f t="shared" si="115"/>
        <v>0</v>
      </c>
      <c r="AX145" s="269">
        <f t="shared" si="115"/>
        <v>0</v>
      </c>
      <c r="AY145" s="269">
        <f t="shared" si="115"/>
        <v>0</v>
      </c>
      <c r="AZ145" s="269">
        <f t="shared" si="115"/>
        <v>0</v>
      </c>
      <c r="BA145" s="269">
        <f t="shared" si="115"/>
        <v>6</v>
      </c>
      <c r="BB145" s="269">
        <f t="shared" si="115"/>
        <v>0</v>
      </c>
      <c r="BC145" s="269">
        <f t="shared" si="115"/>
        <v>0</v>
      </c>
      <c r="BD145" s="269">
        <f t="shared" si="115"/>
        <v>0</v>
      </c>
      <c r="BE145" s="269">
        <f t="shared" si="115"/>
        <v>0</v>
      </c>
      <c r="BF145" s="269">
        <f t="shared" si="115"/>
        <v>6</v>
      </c>
      <c r="BG145" s="269">
        <f t="shared" si="115"/>
        <v>0</v>
      </c>
      <c r="BH145" s="269">
        <f t="shared" si="115"/>
        <v>0</v>
      </c>
      <c r="BI145" s="269">
        <f t="shared" si="115"/>
        <v>0</v>
      </c>
      <c r="BJ145" s="269">
        <f t="shared" si="115"/>
        <v>0</v>
      </c>
      <c r="BK145" s="269">
        <f t="shared" si="115"/>
        <v>6</v>
      </c>
      <c r="BL145" s="269">
        <f t="shared" si="115"/>
        <v>0</v>
      </c>
      <c r="BM145" s="269">
        <f t="shared" si="115"/>
        <v>0</v>
      </c>
      <c r="BN145" s="269">
        <f t="shared" si="115"/>
        <v>0</v>
      </c>
      <c r="BO145" s="269">
        <f t="shared" si="115"/>
        <v>0</v>
      </c>
      <c r="BP145" s="269">
        <f t="shared" si="115"/>
        <v>6</v>
      </c>
      <c r="BQ145" s="269"/>
      <c r="BR145" s="269"/>
      <c r="BS145" s="269"/>
      <c r="BT145" s="269"/>
    </row>
    <row r="146" spans="2:72">
      <c r="C146" s="155"/>
      <c r="D146" s="155"/>
      <c r="E146" s="155"/>
      <c r="F146" s="155"/>
      <c r="G146" s="155"/>
      <c r="H146" s="155"/>
      <c r="I146" s="155"/>
      <c r="J146" s="155"/>
      <c r="K146" s="155"/>
      <c r="L146" s="155"/>
      <c r="M146" s="155"/>
      <c r="N146" s="155"/>
      <c r="O146" s="155"/>
      <c r="P146" s="155"/>
      <c r="Q146" s="155"/>
      <c r="R146" s="155"/>
    </row>
    <row r="147" spans="2:72">
      <c r="B147" s="125" t="s">
        <v>739</v>
      </c>
    </row>
    <row r="148" spans="2:72">
      <c r="B148" s="243" t="s">
        <v>227</v>
      </c>
      <c r="H148" s="125">
        <v>5000</v>
      </c>
      <c r="M148" s="125">
        <f>H148</f>
        <v>5000</v>
      </c>
      <c r="R148" s="125">
        <v>3500</v>
      </c>
      <c r="W148" s="125">
        <f>R148</f>
        <v>3500</v>
      </c>
      <c r="AB148" s="125">
        <v>1000</v>
      </c>
    </row>
    <row r="149" spans="2:72">
      <c r="B149" s="243" t="s">
        <v>228</v>
      </c>
      <c r="H149" s="125">
        <v>75</v>
      </c>
      <c r="M149" s="125">
        <v>75</v>
      </c>
      <c r="R149" s="125">
        <v>75</v>
      </c>
      <c r="W149" s="125">
        <v>75</v>
      </c>
      <c r="AB149" s="125">
        <v>75</v>
      </c>
    </row>
    <row r="150" spans="2:72">
      <c r="B150" s="243" t="s">
        <v>183</v>
      </c>
      <c r="H150" s="125">
        <f>H149*H148/1000</f>
        <v>375</v>
      </c>
      <c r="M150" s="125">
        <f>M149*M148/1000</f>
        <v>375</v>
      </c>
      <c r="R150" s="125">
        <f>R149*R148/1000</f>
        <v>262.5</v>
      </c>
      <c r="W150" s="125">
        <f>W149*W148/1000</f>
        <v>262.5</v>
      </c>
      <c r="AB150" s="125">
        <f>AB149*AB148/1000</f>
        <v>75</v>
      </c>
      <c r="AG150" s="125">
        <v>75</v>
      </c>
      <c r="AL150" s="125">
        <f>AG150</f>
        <v>75</v>
      </c>
      <c r="AQ150" s="125">
        <f>AL150</f>
        <v>75</v>
      </c>
      <c r="AV150" s="125">
        <f>AQ150</f>
        <v>75</v>
      </c>
      <c r="BA150" s="125">
        <f>AV150</f>
        <v>75</v>
      </c>
      <c r="BF150" s="125">
        <f>BA150</f>
        <v>75</v>
      </c>
      <c r="BK150" s="125">
        <f>BF150</f>
        <v>75</v>
      </c>
      <c r="BP150" s="125">
        <f>BK150</f>
        <v>75</v>
      </c>
    </row>
    <row r="151" spans="2:72">
      <c r="B151" s="243" t="s">
        <v>229</v>
      </c>
      <c r="H151" s="125">
        <f>H150*0.2</f>
        <v>75</v>
      </c>
      <c r="M151" s="125">
        <f>M150*0.2</f>
        <v>75</v>
      </c>
      <c r="R151" s="125">
        <f>R150*0.2</f>
        <v>52.5</v>
      </c>
      <c r="W151" s="125">
        <f>W150*0.2</f>
        <v>52.5</v>
      </c>
      <c r="AB151" s="125">
        <f>AB150*0.2</f>
        <v>15</v>
      </c>
      <c r="AG151" s="125">
        <f>AG150*0.2</f>
        <v>15</v>
      </c>
      <c r="AL151" s="125">
        <f>AL150*0.2</f>
        <v>15</v>
      </c>
      <c r="AQ151" s="125">
        <f>AQ150*0.2</f>
        <v>15</v>
      </c>
      <c r="AV151" s="125">
        <f>AV150*0.2</f>
        <v>15</v>
      </c>
      <c r="BA151" s="125">
        <f>BA150*0.2</f>
        <v>15</v>
      </c>
      <c r="BF151" s="125">
        <f>BF150*0.2</f>
        <v>15</v>
      </c>
      <c r="BK151" s="125">
        <f>BK150*0.2</f>
        <v>15</v>
      </c>
      <c r="BP151" s="125">
        <f>BP150*0.2</f>
        <v>15</v>
      </c>
    </row>
    <row r="153" spans="2:72">
      <c r="B153" s="125" t="s">
        <v>740</v>
      </c>
    </row>
    <row r="154" spans="2:72">
      <c r="B154" s="243" t="s">
        <v>227</v>
      </c>
      <c r="M154" s="125">
        <v>1000</v>
      </c>
      <c r="R154" s="125">
        <v>2500</v>
      </c>
      <c r="W154" s="125">
        <v>1250</v>
      </c>
      <c r="AB154" s="125">
        <v>500</v>
      </c>
    </row>
    <row r="155" spans="2:72">
      <c r="B155" s="243" t="s">
        <v>228</v>
      </c>
      <c r="M155" s="125">
        <v>125</v>
      </c>
      <c r="R155" s="125">
        <v>125</v>
      </c>
      <c r="W155" s="125">
        <v>125</v>
      </c>
      <c r="AB155" s="125">
        <v>125</v>
      </c>
    </row>
    <row r="156" spans="2:72">
      <c r="B156" s="243" t="s">
        <v>183</v>
      </c>
      <c r="M156" s="125">
        <f>M155*M154/1000</f>
        <v>125</v>
      </c>
      <c r="R156" s="125">
        <f>R155*R154/1000</f>
        <v>312.5</v>
      </c>
      <c r="W156" s="125">
        <f>W155*W154/1000</f>
        <v>156.25</v>
      </c>
      <c r="AB156" s="125">
        <f>AB155*AB154/1000</f>
        <v>62.5</v>
      </c>
      <c r="AG156" s="125">
        <v>50</v>
      </c>
      <c r="AL156" s="125">
        <f>AG156</f>
        <v>50</v>
      </c>
      <c r="AQ156" s="125">
        <f>AL156</f>
        <v>50</v>
      </c>
      <c r="AV156" s="125">
        <f>AQ156</f>
        <v>50</v>
      </c>
      <c r="BA156" s="125">
        <f>AV156</f>
        <v>50</v>
      </c>
      <c r="BF156" s="125">
        <f>BA156</f>
        <v>50</v>
      </c>
      <c r="BK156" s="125">
        <f>BF156</f>
        <v>50</v>
      </c>
      <c r="BP156" s="125">
        <f>BK156</f>
        <v>50</v>
      </c>
    </row>
    <row r="157" spans="2:72">
      <c r="B157" s="243" t="s">
        <v>229</v>
      </c>
      <c r="M157" s="125">
        <f>M156*0.2</f>
        <v>25</v>
      </c>
      <c r="R157" s="125">
        <f>R156*0.2</f>
        <v>62.5</v>
      </c>
      <c r="W157" s="125">
        <f>W156*0.2</f>
        <v>31.25</v>
      </c>
      <c r="AB157" s="125">
        <f>AB156*0.2</f>
        <v>12.5</v>
      </c>
      <c r="AG157" s="125">
        <f>AG156*0.2</f>
        <v>10</v>
      </c>
      <c r="AL157" s="125">
        <f>AL156*0.2</f>
        <v>10</v>
      </c>
      <c r="AQ157" s="125">
        <f>AQ156*0.2</f>
        <v>10</v>
      </c>
      <c r="AV157" s="125">
        <f>AV156*0.2</f>
        <v>10</v>
      </c>
      <c r="BA157" s="125">
        <f>BA156*0.2</f>
        <v>10</v>
      </c>
      <c r="BF157" s="125">
        <f>BF156*0.2</f>
        <v>10</v>
      </c>
      <c r="BK157" s="125">
        <f>BK156*0.2</f>
        <v>10</v>
      </c>
      <c r="BP157" s="125">
        <f>BP156*0.2</f>
        <v>10</v>
      </c>
    </row>
    <row r="159" spans="2:72">
      <c r="B159" s="125" t="s">
        <v>741</v>
      </c>
      <c r="H159" s="125">
        <v>75</v>
      </c>
      <c r="M159" s="125">
        <f>H159</f>
        <v>75</v>
      </c>
      <c r="R159" s="125">
        <f>M159</f>
        <v>75</v>
      </c>
      <c r="W159" s="125">
        <f>R159</f>
        <v>75</v>
      </c>
      <c r="AB159" s="125">
        <f>W159</f>
        <v>75</v>
      </c>
      <c r="AG159" s="125">
        <f>AB159</f>
        <v>75</v>
      </c>
      <c r="AL159" s="125">
        <f>AG159</f>
        <v>75</v>
      </c>
      <c r="AQ159" s="125">
        <f>AL159</f>
        <v>75</v>
      </c>
      <c r="AV159" s="125">
        <f>AQ159</f>
        <v>75</v>
      </c>
      <c r="BA159" s="125">
        <f>AV159</f>
        <v>75</v>
      </c>
      <c r="BF159" s="125">
        <f>BA159</f>
        <v>75</v>
      </c>
      <c r="BK159" s="125">
        <f>BF159</f>
        <v>75</v>
      </c>
      <c r="BP159" s="125">
        <f>BK159</f>
        <v>75</v>
      </c>
    </row>
    <row r="161" spans="2:88">
      <c r="B161" s="604" t="s">
        <v>14</v>
      </c>
      <c r="C161" s="604"/>
      <c r="D161" s="604"/>
      <c r="E161" s="604"/>
      <c r="F161" s="604"/>
      <c r="G161" s="604"/>
      <c r="H161" s="604"/>
      <c r="I161" s="604"/>
      <c r="J161" s="604"/>
      <c r="K161" s="604"/>
      <c r="L161" s="604"/>
      <c r="M161" s="604"/>
      <c r="N161" s="604"/>
      <c r="O161" s="604"/>
      <c r="P161" s="604"/>
      <c r="Q161" s="604"/>
      <c r="R161" s="604"/>
      <c r="S161" s="604"/>
      <c r="T161" s="604"/>
      <c r="U161" s="604"/>
      <c r="V161" s="604"/>
      <c r="W161" s="604"/>
      <c r="X161" s="604"/>
      <c r="Y161" s="604"/>
      <c r="Z161" s="604"/>
      <c r="AA161" s="604"/>
      <c r="AB161" s="604"/>
      <c r="AC161" s="604"/>
      <c r="AD161" s="604"/>
      <c r="AE161" s="604"/>
      <c r="AF161" s="604"/>
      <c r="AG161" s="604"/>
      <c r="AH161" s="604"/>
      <c r="AI161" s="604"/>
      <c r="AJ161" s="604"/>
      <c r="AK161" s="604"/>
      <c r="AL161" s="604"/>
      <c r="AM161" s="604"/>
      <c r="AN161" s="604"/>
      <c r="AO161" s="604"/>
      <c r="AP161" s="604"/>
      <c r="AQ161" s="604"/>
      <c r="AR161" s="604"/>
      <c r="AS161" s="604"/>
      <c r="AT161" s="604"/>
      <c r="AU161" s="604"/>
      <c r="AV161" s="604"/>
      <c r="AW161" s="604"/>
      <c r="AX161" s="604"/>
      <c r="AY161" s="604"/>
      <c r="AZ161" s="604"/>
      <c r="BA161" s="604"/>
      <c r="BB161" s="604"/>
      <c r="BC161" s="604"/>
      <c r="BD161" s="604"/>
      <c r="BE161" s="604"/>
      <c r="BF161" s="604"/>
      <c r="BG161" s="604"/>
      <c r="BH161" s="604"/>
      <c r="BI161" s="604"/>
      <c r="BJ161" s="604"/>
      <c r="BK161" s="604"/>
      <c r="BL161" s="604"/>
      <c r="BM161" s="604"/>
      <c r="BN161" s="604"/>
      <c r="BO161" s="604"/>
      <c r="BP161" s="604"/>
      <c r="BQ161" s="1002"/>
      <c r="BR161" s="1002"/>
      <c r="BS161" s="1002"/>
      <c r="BT161" s="1002"/>
      <c r="BU161" s="604"/>
      <c r="BZ161" s="604"/>
      <c r="CE161" s="604"/>
      <c r="CJ161" s="604"/>
    </row>
    <row r="163" spans="2:88">
      <c r="B163" s="125" t="s">
        <v>725</v>
      </c>
      <c r="C163" s="178">
        <f>C104+C74+C36</f>
        <v>0</v>
      </c>
      <c r="H163" s="178">
        <f>H104+H74+H36</f>
        <v>0</v>
      </c>
      <c r="I163" s="178"/>
      <c r="M163" s="178">
        <f>M104+M74+M36</f>
        <v>0</v>
      </c>
      <c r="R163" s="178">
        <f>R104+R74+R36</f>
        <v>0</v>
      </c>
      <c r="W163" s="178">
        <f>W104+W74+W36</f>
        <v>5.0323043478260896</v>
      </c>
      <c r="AB163" s="178">
        <f>AB104+AB74+AB36</f>
        <v>18.031025521219785</v>
      </c>
      <c r="AG163" s="178">
        <f>AG104+AG74+AG36</f>
        <v>55.676970030092058</v>
      </c>
      <c r="AL163" s="178">
        <f>AL104+AL74+AL36</f>
        <v>131.70352291123413</v>
      </c>
      <c r="AQ163" s="178">
        <f>AQ104+AQ74+AQ36</f>
        <v>234.03598505039014</v>
      </c>
      <c r="AV163" s="178">
        <f>AV104+AV74+AV36</f>
        <v>339.70404389888682</v>
      </c>
      <c r="BA163" s="178">
        <f>BA104+BA74+BA36</f>
        <v>429.61341883872814</v>
      </c>
      <c r="BF163" s="178">
        <f>BF104+BF74+BF36</f>
        <v>512.02054473744363</v>
      </c>
      <c r="BK163" s="178">
        <f>BK104+BK74+BK36</f>
        <v>580.92013902453959</v>
      </c>
      <c r="BP163" s="178">
        <f>BP104+BP74+BP36</f>
        <v>627.50721904900388</v>
      </c>
      <c r="BQ163" s="178"/>
      <c r="BR163" s="178"/>
      <c r="BS163" s="178"/>
      <c r="BT163" s="178"/>
      <c r="BU163" s="178">
        <f>BU104+BU74+BU36</f>
        <v>654.9226362017215</v>
      </c>
      <c r="BZ163" s="178">
        <f>BZ104+BZ74+BZ36</f>
        <v>666.73645612447774</v>
      </c>
      <c r="CE163" s="178">
        <f>CE104+CE74+CE36</f>
        <v>670.28205105599204</v>
      </c>
      <c r="CJ163" s="178">
        <f>CJ104+CJ74+CJ36</f>
        <v>659.58597975962994</v>
      </c>
    </row>
    <row r="164" spans="2:88">
      <c r="B164" s="125" t="s">
        <v>726</v>
      </c>
      <c r="C164" s="178">
        <f>Eylea!Q44+Eylea!Q18</f>
        <v>372.78033800000009</v>
      </c>
      <c r="H164" s="178">
        <f>Eylea!V44+Eylea!V18</f>
        <v>434.97157242916455</v>
      </c>
      <c r="M164" s="178">
        <f>Eylea!AA44+Eylea!AA18</f>
        <v>793.47361080354347</v>
      </c>
      <c r="R164" s="178">
        <f>Eylea!AF44+Eylea!AF18</f>
        <v>973.79370360586609</v>
      </c>
      <c r="W164" s="178">
        <f>Eylea!AK44+Eylea!AK18</f>
        <v>1206.7767305999998</v>
      </c>
      <c r="AB164" s="178">
        <f>Eylea!AP44+Eylea!AP18</f>
        <v>777.35621576450922</v>
      </c>
      <c r="AG164" s="178">
        <f>Eylea!AU44+Eylea!AU18</f>
        <v>779.86820514741828</v>
      </c>
      <c r="AL164" s="178">
        <f>Eylea!AZ44+Eylea!AZ18</f>
        <v>760.70419245536777</v>
      </c>
      <c r="AQ164" s="178">
        <f>Eylea!BE44+Eylea!BE18</f>
        <v>758.81812367580869</v>
      </c>
      <c r="AV164" s="178">
        <f>Eylea!BJ44+Eylea!BJ18</f>
        <v>765.06646285815293</v>
      </c>
      <c r="BA164" s="178">
        <f>Eylea!BO44+Eylea!BO18</f>
        <v>758.59429956364625</v>
      </c>
      <c r="BF164" s="178">
        <f>Eylea!BT44+Eylea!BT18</f>
        <v>766.05222248405448</v>
      </c>
      <c r="BK164" s="178">
        <f>Eylea!BY44+Eylea!BY18</f>
        <v>779.21947861705962</v>
      </c>
      <c r="BP164" s="178">
        <f>Eylea!CD44+Eylea!CD18</f>
        <v>727.706837506488</v>
      </c>
      <c r="BQ164" s="178"/>
      <c r="BR164" s="178"/>
      <c r="BS164" s="178"/>
      <c r="BT164" s="178"/>
      <c r="BU164" s="178">
        <f>Eylea!CI44+Eylea!CI18</f>
        <v>661.60239972391355</v>
      </c>
      <c r="BZ164" s="178">
        <f>Eylea!CN44+Eylea!CN18</f>
        <v>589.50397770996665</v>
      </c>
      <c r="CE164" s="178">
        <f>Eylea!CS44+Eylea!CS18</f>
        <v>504.53862841778476</v>
      </c>
      <c r="CJ164" s="178">
        <f>Eylea!CX44+Eylea!CX18</f>
        <v>551.98837323684847</v>
      </c>
    </row>
    <row r="166" spans="2:88">
      <c r="B166" s="125" t="s">
        <v>727</v>
      </c>
      <c r="C166" s="222">
        <f>IS!AA21+IS!AA23</f>
        <v>512.87499999999989</v>
      </c>
      <c r="D166" s="222"/>
      <c r="E166" s="222"/>
      <c r="F166" s="222"/>
      <c r="G166" s="222"/>
      <c r="H166" s="222">
        <f>IS!AF21+IS!AF23</f>
        <v>853.81700000000001</v>
      </c>
      <c r="I166" s="222"/>
      <c r="J166" s="222"/>
      <c r="K166" s="222"/>
      <c r="L166" s="222"/>
      <c r="M166" s="222">
        <f>IS!AK21+IS!AK23</f>
        <v>1215.3209999999999</v>
      </c>
      <c r="N166" s="222"/>
      <c r="O166" s="222"/>
      <c r="P166" s="222"/>
      <c r="Q166" s="222"/>
      <c r="R166" s="222">
        <f>IS!AP19+IS!AP20+IS!AP23</f>
        <v>1532.8779999999999</v>
      </c>
      <c r="S166" s="222"/>
      <c r="T166" s="222"/>
      <c r="U166" s="222"/>
      <c r="V166" s="222"/>
      <c r="W166" s="222">
        <f>IS!AU19+IS!AU20+IS!AU23</f>
        <v>1592.2472499999999</v>
      </c>
      <c r="X166" s="222"/>
      <c r="Y166" s="222"/>
      <c r="Z166" s="222"/>
      <c r="AA166" s="222"/>
      <c r="AB166" s="222">
        <f>IS!AZ19+IS!AZ20+IS!AZ23</f>
        <v>2155.9049150000001</v>
      </c>
      <c r="AC166" s="222"/>
      <c r="AD166" s="222"/>
      <c r="AE166" s="222"/>
      <c r="AF166" s="222"/>
      <c r="AG166" s="222">
        <f>IS!BE19+IS!BE20+IS!BE23</f>
        <v>2273.1422387250004</v>
      </c>
      <c r="AH166" s="222"/>
      <c r="AI166" s="222"/>
      <c r="AJ166" s="222"/>
      <c r="AK166" s="222"/>
      <c r="AL166" s="222">
        <f>IS!BJ19+IS!BJ20+IS!BJ23</f>
        <v>2381.3558598058753</v>
      </c>
      <c r="AQ166" s="222">
        <f>IS!BO19+IS!BO20+IS!BO23</f>
        <v>2483.7773575779638</v>
      </c>
      <c r="AR166" s="222"/>
      <c r="AS166" s="222"/>
      <c r="AT166" s="222"/>
      <c r="AU166" s="222"/>
      <c r="AV166" s="222">
        <f>IS!BT19+IS!BT20+IS!BT23</f>
        <v>2583.8290973904636</v>
      </c>
      <c r="AW166" s="222"/>
      <c r="AX166" s="222"/>
      <c r="AY166" s="222"/>
      <c r="AZ166" s="222"/>
      <c r="BA166" s="222">
        <f>IS!BY19+IS!BY20+IS!BY23</f>
        <v>2688.8834241935888</v>
      </c>
      <c r="BB166" s="222"/>
      <c r="BC166" s="222"/>
      <c r="BD166" s="222"/>
      <c r="BE166" s="222"/>
      <c r="BF166" s="222">
        <f>IS!CD19+IS!CD20+IS!CD23</f>
        <v>2794.3630417235909</v>
      </c>
      <c r="BG166" s="222"/>
      <c r="BH166" s="222"/>
      <c r="BI166" s="222"/>
      <c r="BJ166" s="222"/>
      <c r="BK166" s="222">
        <f>IS!CI19+IS!CI20+IS!CI23</f>
        <v>2898.2375586311691</v>
      </c>
      <c r="BL166" s="222"/>
      <c r="BM166" s="222"/>
      <c r="BN166" s="222"/>
      <c r="BO166" s="222"/>
      <c r="BP166" s="222">
        <f>IS!CN19+IS!CN20+IS!CN23</f>
        <v>2961.967418482991</v>
      </c>
      <c r="BQ166" s="222"/>
      <c r="BR166" s="222"/>
      <c r="BS166" s="222"/>
      <c r="BT166" s="222"/>
      <c r="BU166" s="222">
        <f>IS!CS19+IS!CS20+IS!CS23</f>
        <v>3028.6015980903676</v>
      </c>
      <c r="BV166" s="222"/>
      <c r="BW166" s="222"/>
      <c r="BX166" s="222"/>
      <c r="BY166" s="222"/>
      <c r="BZ166" s="222">
        <f>IS!CX19+IS!CX20+IS!CX23</f>
        <v>3098.2345746797764</v>
      </c>
      <c r="CA166" s="222"/>
      <c r="CB166" s="222"/>
      <c r="CC166" s="222"/>
      <c r="CD166" s="222"/>
      <c r="CE166" s="222">
        <f>IS!DC19+IS!DC20+IS!DC23</f>
        <v>3151.0495844342922</v>
      </c>
      <c r="CJ166" s="222">
        <f>IS!DH19+IS!DH20+IS!DH23</f>
        <v>3206.2695522545164</v>
      </c>
    </row>
    <row r="167" spans="2:88">
      <c r="B167" s="125" t="s">
        <v>728</v>
      </c>
      <c r="C167" s="222">
        <f>Eylea!Q13+Eylea!Q14</f>
        <v>352.99689999999987</v>
      </c>
      <c r="H167" s="222">
        <f>Eylea!V13+Eylea!V14</f>
        <v>575.36424999999997</v>
      </c>
      <c r="M167" s="222">
        <f>Eylea!AA13+Eylea!AA14</f>
        <v>578.05999999999995</v>
      </c>
      <c r="R167" s="222">
        <f>Eylea!AF13+Eylea!AF14</f>
        <v>838.62149999999997</v>
      </c>
      <c r="W167" s="222">
        <f>Eylea!AK13+Eylea!AK14</f>
        <v>668.68245000000002</v>
      </c>
      <c r="AB167" s="222">
        <f>Eylea!AP13+Eylea!AP14</f>
        <v>653.65491500000007</v>
      </c>
      <c r="AG167" s="222">
        <f>Eylea!AU13+Eylea!AU14</f>
        <v>650.97973872499995</v>
      </c>
      <c r="AL167" s="222">
        <f>Eylea!AZ13+Eylea!AZ14</f>
        <v>648.88843480587491</v>
      </c>
      <c r="AQ167" s="222">
        <f>Eylea!BE13+Eylea!BE14</f>
        <v>647.358561327963</v>
      </c>
      <c r="AV167" s="222">
        <f>Eylea!BJ13+Eylea!BJ14</f>
        <v>639.12776132796296</v>
      </c>
      <c r="BA167" s="222">
        <f>Eylea!BO13+Eylea!BO14</f>
        <v>631.30850132796297</v>
      </c>
      <c r="BF167" s="222">
        <f>Eylea!BT13+Eylea!BT14</f>
        <v>619.05277871468331</v>
      </c>
      <c r="BK167" s="222">
        <f>Eylea!BY13+Eylea!BY14</f>
        <v>600.04801817181624</v>
      </c>
      <c r="BP167" s="222">
        <f>Eylea!CD13+Eylea!CD14</f>
        <v>581.69479869627071</v>
      </c>
      <c r="BU167" s="222">
        <f>Eylea!CI13+Eylea!CI14</f>
        <v>569.06307957097647</v>
      </c>
      <c r="BZ167" s="222">
        <f>Eylea!CN13+Eylea!CN14</f>
        <v>556.72804691539341</v>
      </c>
      <c r="CE167" s="222">
        <f>Eylea!CS13+Eylea!CS14</f>
        <v>544.68247463286309</v>
      </c>
      <c r="CJ167" s="222">
        <f>Eylea!CX13+Eylea!CX14</f>
        <v>532.91931536849245</v>
      </c>
    </row>
    <row r="168" spans="2:88">
      <c r="B168" s="125" t="s">
        <v>729</v>
      </c>
      <c r="C168" s="222">
        <f>C166-C167</f>
        <v>159.87810000000002</v>
      </c>
      <c r="H168" s="222">
        <f>H166-H167</f>
        <v>278.45275000000004</v>
      </c>
      <c r="M168" s="222">
        <f>M166-M167</f>
        <v>637.26099999999997</v>
      </c>
      <c r="R168" s="222">
        <f>R166-R167</f>
        <v>694.25649999999996</v>
      </c>
      <c r="W168" s="222">
        <f>W166-W167</f>
        <v>923.56479999999988</v>
      </c>
      <c r="AB168" s="222">
        <f>AB166-AB167</f>
        <v>1502.25</v>
      </c>
      <c r="AG168" s="222">
        <f>AG166-AG167</f>
        <v>1622.1625000000004</v>
      </c>
      <c r="AL168" s="222">
        <f>AL166-AL167</f>
        <v>1732.4674250000003</v>
      </c>
      <c r="AQ168" s="222">
        <f t="shared" ref="AQ168:CJ168" si="116">AQ166-AQ167</f>
        <v>1836.4187962500009</v>
      </c>
      <c r="AR168" s="125">
        <f t="shared" si="116"/>
        <v>0</v>
      </c>
      <c r="AS168" s="125">
        <f t="shared" si="116"/>
        <v>0</v>
      </c>
      <c r="AT168" s="125">
        <f t="shared" si="116"/>
        <v>0</v>
      </c>
      <c r="AU168" s="125">
        <f t="shared" si="116"/>
        <v>0</v>
      </c>
      <c r="AV168" s="222">
        <f t="shared" si="116"/>
        <v>1944.7013360625006</v>
      </c>
      <c r="AW168" s="125">
        <f t="shared" si="116"/>
        <v>0</v>
      </c>
      <c r="AX168" s="125">
        <f t="shared" si="116"/>
        <v>0</v>
      </c>
      <c r="AY168" s="125">
        <f t="shared" si="116"/>
        <v>0</v>
      </c>
      <c r="AZ168" s="125">
        <f t="shared" si="116"/>
        <v>0</v>
      </c>
      <c r="BA168" s="222">
        <f t="shared" si="116"/>
        <v>2057.5749228656259</v>
      </c>
      <c r="BB168" s="125">
        <f t="shared" si="116"/>
        <v>0</v>
      </c>
      <c r="BC168" s="125">
        <f t="shared" si="116"/>
        <v>0</v>
      </c>
      <c r="BD168" s="125">
        <f t="shared" si="116"/>
        <v>0</v>
      </c>
      <c r="BE168" s="125">
        <f t="shared" si="116"/>
        <v>0</v>
      </c>
      <c r="BF168" s="222">
        <f t="shared" si="116"/>
        <v>2175.3102630089074</v>
      </c>
      <c r="BG168" s="125">
        <f t="shared" si="116"/>
        <v>0</v>
      </c>
      <c r="BH168" s="125">
        <f t="shared" si="116"/>
        <v>0</v>
      </c>
      <c r="BI168" s="125">
        <f t="shared" si="116"/>
        <v>0</v>
      </c>
      <c r="BJ168" s="125">
        <f t="shared" si="116"/>
        <v>0</v>
      </c>
      <c r="BK168" s="222">
        <f t="shared" si="116"/>
        <v>2298.1895404593529</v>
      </c>
      <c r="BL168" s="125">
        <f t="shared" si="116"/>
        <v>0</v>
      </c>
      <c r="BM168" s="125">
        <f t="shared" si="116"/>
        <v>0</v>
      </c>
      <c r="BN168" s="125">
        <f t="shared" si="116"/>
        <v>0</v>
      </c>
      <c r="BO168" s="125">
        <f t="shared" si="116"/>
        <v>0</v>
      </c>
      <c r="BP168" s="222">
        <f t="shared" si="116"/>
        <v>2380.2726197867205</v>
      </c>
      <c r="BQ168" s="125">
        <f t="shared" si="116"/>
        <v>0</v>
      </c>
      <c r="BR168" s="125">
        <f t="shared" si="116"/>
        <v>0</v>
      </c>
      <c r="BS168" s="125">
        <f t="shared" si="116"/>
        <v>0</v>
      </c>
      <c r="BT168" s="125">
        <f t="shared" si="116"/>
        <v>0</v>
      </c>
      <c r="BU168" s="222">
        <f t="shared" si="116"/>
        <v>2459.5385185193909</v>
      </c>
      <c r="BV168" s="125">
        <f t="shared" si="116"/>
        <v>0</v>
      </c>
      <c r="BW168" s="125">
        <f t="shared" si="116"/>
        <v>0</v>
      </c>
      <c r="BX168" s="125">
        <f t="shared" si="116"/>
        <v>0</v>
      </c>
      <c r="BY168" s="125">
        <f t="shared" si="116"/>
        <v>0</v>
      </c>
      <c r="BZ168" s="222">
        <f t="shared" si="116"/>
        <v>2541.506527764383</v>
      </c>
      <c r="CA168" s="125">
        <f t="shared" si="116"/>
        <v>0</v>
      </c>
      <c r="CB168" s="125">
        <f t="shared" si="116"/>
        <v>0</v>
      </c>
      <c r="CC168" s="125">
        <f t="shared" si="116"/>
        <v>0</v>
      </c>
      <c r="CD168" s="125">
        <f t="shared" si="116"/>
        <v>0</v>
      </c>
      <c r="CE168" s="222">
        <f t="shared" si="116"/>
        <v>2606.3671098014293</v>
      </c>
      <c r="CF168" s="125">
        <f t="shared" si="116"/>
        <v>0</v>
      </c>
      <c r="CG168" s="125">
        <f t="shared" si="116"/>
        <v>0</v>
      </c>
      <c r="CH168" s="125">
        <f t="shared" si="116"/>
        <v>0</v>
      </c>
      <c r="CI168" s="125">
        <f t="shared" si="116"/>
        <v>0</v>
      </c>
      <c r="CJ168" s="222">
        <f t="shared" si="116"/>
        <v>2673.350236886024</v>
      </c>
    </row>
    <row r="169" spans="2:88">
      <c r="B169" s="125" t="s">
        <v>730</v>
      </c>
      <c r="C169" s="187">
        <f>Eylea!Q19</f>
        <v>0.38</v>
      </c>
      <c r="H169" s="187">
        <f>Eylea!V19</f>
        <v>0.38</v>
      </c>
      <c r="M169" s="187">
        <f>Eylea!AA19</f>
        <v>0.38</v>
      </c>
      <c r="R169" s="187">
        <f>Eylea!AF19</f>
        <v>0.38</v>
      </c>
      <c r="W169" s="187">
        <f>Eylea!AK19</f>
        <v>0.38</v>
      </c>
      <c r="AB169" s="187">
        <f>Eylea!AP19</f>
        <v>0.21</v>
      </c>
      <c r="AG169" s="187">
        <f>Eylea!AU19</f>
        <v>0.21</v>
      </c>
      <c r="AL169" s="187">
        <f>Eylea!AZ19</f>
        <v>0.21</v>
      </c>
      <c r="AQ169" s="187">
        <f>Eylea!BE19</f>
        <v>0.21</v>
      </c>
      <c r="AR169" s="125">
        <f>Eylea!BF19</f>
        <v>0</v>
      </c>
      <c r="AS169" s="125">
        <f>Eylea!BG19</f>
        <v>0</v>
      </c>
      <c r="AT169" s="125">
        <f>Eylea!BH19</f>
        <v>0</v>
      </c>
      <c r="AU169" s="125">
        <f>Eylea!BI19</f>
        <v>0</v>
      </c>
      <c r="AV169" s="187">
        <f>Eylea!BJ19</f>
        <v>0.21</v>
      </c>
      <c r="AW169" s="125">
        <f>Eylea!BK19</f>
        <v>0</v>
      </c>
      <c r="AX169" s="125">
        <f>Eylea!BL19</f>
        <v>0</v>
      </c>
      <c r="AY169" s="125">
        <f>Eylea!BM19</f>
        <v>0</v>
      </c>
      <c r="AZ169" s="125">
        <f>Eylea!BN19</f>
        <v>0</v>
      </c>
      <c r="BA169" s="187">
        <f>Eylea!BO19</f>
        <v>0.21</v>
      </c>
      <c r="BB169" s="125">
        <f>Eylea!BP19</f>
        <v>0</v>
      </c>
      <c r="BC169" s="125">
        <f>Eylea!BQ19</f>
        <v>0</v>
      </c>
      <c r="BD169" s="125">
        <f>Eylea!BR19</f>
        <v>0</v>
      </c>
      <c r="BE169" s="125">
        <f>Eylea!BS19</f>
        <v>0</v>
      </c>
      <c r="BF169" s="187">
        <f>Eylea!BT19</f>
        <v>0.21</v>
      </c>
      <c r="BG169" s="125">
        <f>Eylea!BU19</f>
        <v>0</v>
      </c>
      <c r="BH169" s="125">
        <f>Eylea!BV19</f>
        <v>0</v>
      </c>
      <c r="BI169" s="125">
        <f>Eylea!BW19</f>
        <v>0</v>
      </c>
      <c r="BJ169" s="125">
        <f>Eylea!BX19</f>
        <v>0</v>
      </c>
      <c r="BK169" s="187">
        <f>Eylea!BY19</f>
        <v>0.21</v>
      </c>
      <c r="BL169" s="125">
        <f>Eylea!BZ19</f>
        <v>0</v>
      </c>
      <c r="BM169" s="125">
        <f>Eylea!CA19</f>
        <v>0</v>
      </c>
      <c r="BN169" s="125">
        <f>Eylea!CB19</f>
        <v>0</v>
      </c>
      <c r="BO169" s="125">
        <f>Eylea!CC19</f>
        <v>0</v>
      </c>
      <c r="BP169" s="187">
        <f>Eylea!CD19</f>
        <v>0.21</v>
      </c>
      <c r="BQ169" s="125">
        <f>Eylea!CE19</f>
        <v>0</v>
      </c>
      <c r="BR169" s="125">
        <f>Eylea!CF19</f>
        <v>0</v>
      </c>
      <c r="BS169" s="125">
        <f>Eylea!CG19</f>
        <v>0</v>
      </c>
      <c r="BT169" s="125">
        <f>Eylea!CH19</f>
        <v>0</v>
      </c>
      <c r="BU169" s="187">
        <f>Eylea!CI19</f>
        <v>0.21</v>
      </c>
      <c r="BV169" s="125">
        <f>Eylea!CJ19</f>
        <v>0</v>
      </c>
      <c r="BW169" s="125">
        <f>Eylea!CK19</f>
        <v>0</v>
      </c>
      <c r="BX169" s="125">
        <f>Eylea!CL19</f>
        <v>0</v>
      </c>
      <c r="BY169" s="125">
        <f>Eylea!CM19</f>
        <v>0</v>
      </c>
      <c r="BZ169" s="187">
        <f>Eylea!CN19</f>
        <v>0.21</v>
      </c>
      <c r="CA169" s="125">
        <f>Eylea!CO19</f>
        <v>0</v>
      </c>
      <c r="CB169" s="125">
        <f>Eylea!CP19</f>
        <v>0</v>
      </c>
      <c r="CC169" s="125">
        <f>Eylea!CQ19</f>
        <v>0</v>
      </c>
      <c r="CD169" s="125">
        <f>Eylea!CR19</f>
        <v>0</v>
      </c>
      <c r="CE169" s="187">
        <f>Eylea!CS19</f>
        <v>0.21</v>
      </c>
      <c r="CF169" s="125">
        <f>Eylea!CT19</f>
        <v>0</v>
      </c>
      <c r="CG169" s="125">
        <f>Eylea!CU19</f>
        <v>0</v>
      </c>
      <c r="CH169" s="125">
        <f>Eylea!CV19</f>
        <v>0</v>
      </c>
      <c r="CI169" s="125">
        <f>Eylea!CW19</f>
        <v>0</v>
      </c>
      <c r="CJ169" s="187">
        <f>Eylea!CX19</f>
        <v>0.21</v>
      </c>
    </row>
    <row r="170" spans="2:88">
      <c r="B170" s="125" t="s">
        <v>731</v>
      </c>
      <c r="C170" s="178">
        <f>C169*C168</f>
        <v>60.753678000000008</v>
      </c>
      <c r="H170" s="178">
        <f>H169*H168</f>
        <v>105.81204500000001</v>
      </c>
      <c r="M170" s="178">
        <f>M169*M168</f>
        <v>242.15917999999999</v>
      </c>
      <c r="R170" s="178">
        <f>R169*R168</f>
        <v>263.81747000000001</v>
      </c>
      <c r="W170" s="178">
        <f>W169*W168*2/3</f>
        <v>233.96974933333331</v>
      </c>
      <c r="AB170" s="178">
        <f>AB169*AB168*2/3</f>
        <v>210.31499999999997</v>
      </c>
      <c r="AG170" s="178">
        <f>AG169*AG168*2/3</f>
        <v>227.10275000000004</v>
      </c>
      <c r="AL170" s="178">
        <f>AL169*AL168*2/3</f>
        <v>242.54543950000004</v>
      </c>
      <c r="AQ170" s="178">
        <f t="shared" ref="AQ170:CI170" si="117">AQ169*AQ168*2/3</f>
        <v>257.0986314750001</v>
      </c>
      <c r="AR170" s="125">
        <f t="shared" si="117"/>
        <v>0</v>
      </c>
      <c r="AS170" s="125">
        <f t="shared" si="117"/>
        <v>0</v>
      </c>
      <c r="AT170" s="125">
        <f t="shared" si="117"/>
        <v>0</v>
      </c>
      <c r="AU170" s="125">
        <f t="shared" si="117"/>
        <v>0</v>
      </c>
      <c r="AV170" s="178">
        <f t="shared" si="117"/>
        <v>272.25818704875007</v>
      </c>
      <c r="AW170" s="125">
        <f t="shared" si="117"/>
        <v>0</v>
      </c>
      <c r="AX170" s="125">
        <f t="shared" si="117"/>
        <v>0</v>
      </c>
      <c r="AY170" s="125">
        <f t="shared" si="117"/>
        <v>0</v>
      </c>
      <c r="AZ170" s="125">
        <f t="shared" si="117"/>
        <v>0</v>
      </c>
      <c r="BA170" s="178">
        <f t="shared" si="117"/>
        <v>288.06048920118764</v>
      </c>
      <c r="BB170" s="125">
        <f t="shared" si="117"/>
        <v>0</v>
      </c>
      <c r="BC170" s="125">
        <f t="shared" si="117"/>
        <v>0</v>
      </c>
      <c r="BD170" s="125">
        <f t="shared" si="117"/>
        <v>0</v>
      </c>
      <c r="BE170" s="125">
        <f t="shared" si="117"/>
        <v>0</v>
      </c>
      <c r="BF170" s="178">
        <f t="shared" si="117"/>
        <v>304.54343682124704</v>
      </c>
      <c r="BG170" s="125">
        <f t="shared" si="117"/>
        <v>0</v>
      </c>
      <c r="BH170" s="125">
        <f t="shared" si="117"/>
        <v>0</v>
      </c>
      <c r="BI170" s="125">
        <f t="shared" si="117"/>
        <v>0</v>
      </c>
      <c r="BJ170" s="125">
        <f t="shared" si="117"/>
        <v>0</v>
      </c>
      <c r="BK170" s="178">
        <f t="shared" si="117"/>
        <v>321.74653566430942</v>
      </c>
      <c r="BL170" s="125">
        <f t="shared" si="117"/>
        <v>0</v>
      </c>
      <c r="BM170" s="125">
        <f t="shared" si="117"/>
        <v>0</v>
      </c>
      <c r="BN170" s="125">
        <f t="shared" si="117"/>
        <v>0</v>
      </c>
      <c r="BO170" s="125">
        <f t="shared" si="117"/>
        <v>0</v>
      </c>
      <c r="BP170" s="178">
        <f t="shared" si="117"/>
        <v>333.23816677014082</v>
      </c>
      <c r="BQ170" s="125">
        <f t="shared" si="117"/>
        <v>0</v>
      </c>
      <c r="BR170" s="125">
        <f t="shared" si="117"/>
        <v>0</v>
      </c>
      <c r="BS170" s="125">
        <f t="shared" si="117"/>
        <v>0</v>
      </c>
      <c r="BT170" s="125">
        <f t="shared" si="117"/>
        <v>0</v>
      </c>
      <c r="BU170" s="178">
        <f t="shared" si="117"/>
        <v>344.3353925927147</v>
      </c>
      <c r="BV170" s="125">
        <f t="shared" si="117"/>
        <v>0</v>
      </c>
      <c r="BW170" s="125">
        <f t="shared" si="117"/>
        <v>0</v>
      </c>
      <c r="BX170" s="125">
        <f t="shared" si="117"/>
        <v>0</v>
      </c>
      <c r="BY170" s="125">
        <f t="shared" si="117"/>
        <v>0</v>
      </c>
      <c r="BZ170" s="178">
        <f>BZ169*BZ168*0.5</f>
        <v>266.85818541526021</v>
      </c>
      <c r="CA170" s="125">
        <f t="shared" si="117"/>
        <v>0</v>
      </c>
      <c r="CB170" s="125">
        <f t="shared" si="117"/>
        <v>0</v>
      </c>
      <c r="CC170" s="125">
        <f t="shared" si="117"/>
        <v>0</v>
      </c>
      <c r="CD170" s="125">
        <f t="shared" si="117"/>
        <v>0</v>
      </c>
      <c r="CE170" s="178">
        <f>CE169*CE168*0.5</f>
        <v>273.66854652915003</v>
      </c>
      <c r="CF170" s="125">
        <f t="shared" si="117"/>
        <v>0</v>
      </c>
      <c r="CG170" s="125">
        <f t="shared" si="117"/>
        <v>0</v>
      </c>
      <c r="CH170" s="125">
        <f t="shared" si="117"/>
        <v>0</v>
      </c>
      <c r="CI170" s="125">
        <f t="shared" si="117"/>
        <v>0</v>
      </c>
      <c r="CJ170" s="178">
        <f>CJ169*CJ168*0.5</f>
        <v>280.70177487303249</v>
      </c>
    </row>
    <row r="172" spans="2:88">
      <c r="B172" s="125" t="s">
        <v>732</v>
      </c>
      <c r="C172" s="178">
        <f>C163+C164-C170</f>
        <v>312.02666000000011</v>
      </c>
      <c r="H172" s="178">
        <f>H163+H164-H170</f>
        <v>329.15952742916454</v>
      </c>
      <c r="I172" s="178"/>
      <c r="J172" s="178"/>
      <c r="K172" s="178"/>
      <c r="L172" s="178"/>
      <c r="M172" s="178">
        <f>M163+M164-M170</f>
        <v>551.31443080354347</v>
      </c>
      <c r="R172" s="178">
        <f>R163+R164-R170</f>
        <v>709.97623360586613</v>
      </c>
      <c r="W172" s="178">
        <f>W163+W164-W170</f>
        <v>977.83928561449261</v>
      </c>
      <c r="AB172" s="178">
        <f>AB163+AB164-AB170-150</f>
        <v>435.07224128572909</v>
      </c>
      <c r="AG172" s="178">
        <f>AG163+AG164-AG170-75</f>
        <v>533.44242517751036</v>
      </c>
      <c r="AL172" s="178">
        <f>AL163+AL164-AL170</f>
        <v>649.86227586660186</v>
      </c>
      <c r="AQ172" s="178">
        <f t="shared" ref="AQ172:CJ172" si="118">AQ163+AQ164-AQ170</f>
        <v>735.75547725119873</v>
      </c>
      <c r="AR172" s="125">
        <f t="shared" si="118"/>
        <v>0</v>
      </c>
      <c r="AS172" s="125">
        <f t="shared" si="118"/>
        <v>0</v>
      </c>
      <c r="AT172" s="125">
        <f t="shared" si="118"/>
        <v>0</v>
      </c>
      <c r="AU172" s="125">
        <f t="shared" si="118"/>
        <v>0</v>
      </c>
      <c r="AV172" s="178">
        <f t="shared" si="118"/>
        <v>832.51231970828974</v>
      </c>
      <c r="AW172" s="125">
        <f t="shared" si="118"/>
        <v>0</v>
      </c>
      <c r="AX172" s="125">
        <f t="shared" si="118"/>
        <v>0</v>
      </c>
      <c r="AY172" s="125">
        <f t="shared" si="118"/>
        <v>0</v>
      </c>
      <c r="AZ172" s="125">
        <f t="shared" si="118"/>
        <v>0</v>
      </c>
      <c r="BA172" s="178">
        <f t="shared" si="118"/>
        <v>900.14722920118675</v>
      </c>
      <c r="BB172" s="125">
        <f t="shared" si="118"/>
        <v>0</v>
      </c>
      <c r="BC172" s="125">
        <f t="shared" si="118"/>
        <v>0</v>
      </c>
      <c r="BD172" s="125">
        <f t="shared" si="118"/>
        <v>0</v>
      </c>
      <c r="BE172" s="125">
        <f t="shared" si="118"/>
        <v>0</v>
      </c>
      <c r="BF172" s="178">
        <f t="shared" si="118"/>
        <v>973.52933040025096</v>
      </c>
      <c r="BG172" s="125">
        <f t="shared" si="118"/>
        <v>0</v>
      </c>
      <c r="BH172" s="125">
        <f t="shared" si="118"/>
        <v>0</v>
      </c>
      <c r="BI172" s="125">
        <f t="shared" si="118"/>
        <v>0</v>
      </c>
      <c r="BJ172" s="125">
        <f t="shared" si="118"/>
        <v>0</v>
      </c>
      <c r="BK172" s="178">
        <f t="shared" si="118"/>
        <v>1038.3930819772897</v>
      </c>
      <c r="BL172" s="125">
        <f t="shared" si="118"/>
        <v>0</v>
      </c>
      <c r="BM172" s="125">
        <f t="shared" si="118"/>
        <v>0</v>
      </c>
      <c r="BN172" s="125">
        <f t="shared" si="118"/>
        <v>0</v>
      </c>
      <c r="BO172" s="125">
        <f t="shared" si="118"/>
        <v>0</v>
      </c>
      <c r="BP172" s="178">
        <f t="shared" si="118"/>
        <v>1021.975889785351</v>
      </c>
      <c r="BQ172" s="125">
        <f t="shared" si="118"/>
        <v>0</v>
      </c>
      <c r="BR172" s="125">
        <f t="shared" si="118"/>
        <v>0</v>
      </c>
      <c r="BS172" s="125">
        <f t="shared" si="118"/>
        <v>0</v>
      </c>
      <c r="BT172" s="125">
        <f t="shared" si="118"/>
        <v>0</v>
      </c>
      <c r="BU172" s="178">
        <f t="shared" si="118"/>
        <v>972.18964333292047</v>
      </c>
      <c r="BV172" s="125">
        <f t="shared" si="118"/>
        <v>0</v>
      </c>
      <c r="BW172" s="125">
        <f t="shared" si="118"/>
        <v>0</v>
      </c>
      <c r="BX172" s="125">
        <f t="shared" si="118"/>
        <v>0</v>
      </c>
      <c r="BY172" s="125">
        <f t="shared" si="118"/>
        <v>0</v>
      </c>
      <c r="BZ172" s="178">
        <f t="shared" si="118"/>
        <v>989.38224841918429</v>
      </c>
      <c r="CA172" s="125">
        <f t="shared" si="118"/>
        <v>0</v>
      </c>
      <c r="CB172" s="125">
        <f t="shared" si="118"/>
        <v>0</v>
      </c>
      <c r="CC172" s="125">
        <f t="shared" si="118"/>
        <v>0</v>
      </c>
      <c r="CD172" s="125">
        <f t="shared" si="118"/>
        <v>0</v>
      </c>
      <c r="CE172" s="178">
        <f t="shared" si="118"/>
        <v>901.15213294462683</v>
      </c>
      <c r="CF172" s="125">
        <f t="shared" si="118"/>
        <v>0</v>
      </c>
      <c r="CG172" s="125">
        <f t="shared" si="118"/>
        <v>0</v>
      </c>
      <c r="CH172" s="125">
        <f t="shared" si="118"/>
        <v>0</v>
      </c>
      <c r="CI172" s="125">
        <f t="shared" si="118"/>
        <v>0</v>
      </c>
      <c r="CJ172" s="178">
        <f t="shared" si="118"/>
        <v>930.87257812344592</v>
      </c>
    </row>
  </sheetData>
  <phoneticPr fontId="9" type="noConversion"/>
  <pageMargins left="0.75" right="0.75" top="1" bottom="1" header="0.5" footer="0.5"/>
  <pageSetup orientation="portrait" r:id="rId1"/>
  <headerFooter alignWithMargins="0"/>
  <ignoredErrors>
    <ignoredError sqref="R72 CJ54 W14:W15 W20 W32 W88:W89 W99:W100 W65" formula="1"/>
    <ignoredError sqref="W85 W24 W7" formulaRange="1"/>
  </ignoredErrors>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CA45"/>
  <sheetViews>
    <sheetView zoomScale="85" zoomScaleNormal="85" workbookViewId="0">
      <pane xSplit="2" ySplit="2" topLeftCell="G3" activePane="bottomRight" state="frozen"/>
      <selection pane="topRight" activeCell="H1" sqref="H1"/>
      <selection pane="bottomLeft" activeCell="A3" sqref="A3"/>
      <selection pane="bottomRight" activeCell="CA45" sqref="CA45"/>
    </sheetView>
  </sheetViews>
  <sheetFormatPr defaultRowHeight="12.75" outlineLevelCol="1"/>
  <cols>
    <col min="1" max="1" width="2.375" style="125" customWidth="1"/>
    <col min="2" max="2" width="40.75" style="125" bestFit="1" customWidth="1"/>
    <col min="3" max="6" width="9" style="125" hidden="1" customWidth="1" outlineLevel="1"/>
    <col min="7" max="7" width="9.5" style="125" bestFit="1" customWidth="1" collapsed="1"/>
    <col min="8" max="11" width="9" style="125" hidden="1" customWidth="1" outlineLevel="1"/>
    <col min="12" max="12" width="9.5" style="125" bestFit="1" customWidth="1" collapsed="1"/>
    <col min="13" max="16" width="9" style="125" customWidth="1" outlineLevel="1"/>
    <col min="17" max="17" width="9.5" style="125" bestFit="1" customWidth="1"/>
    <col min="18" max="21" width="0" style="125" hidden="1" customWidth="1" outlineLevel="1"/>
    <col min="22" max="22" width="9.5" style="125" bestFit="1" customWidth="1" collapsed="1"/>
    <col min="23" max="26" width="0" style="125" hidden="1" customWidth="1" outlineLevel="1"/>
    <col min="27" max="27" width="11" style="125" bestFit="1" customWidth="1" collapsed="1"/>
    <col min="28" max="31" width="0" style="125" hidden="1" customWidth="1" outlineLevel="1"/>
    <col min="32" max="32" width="9" style="125" collapsed="1"/>
    <col min="33" max="36" width="0" style="125" hidden="1" customWidth="1" outlineLevel="1"/>
    <col min="37" max="37" width="9" style="125" collapsed="1"/>
    <col min="38" max="41" width="0" style="125" hidden="1" customWidth="1" outlineLevel="1"/>
    <col min="42" max="42" width="9" style="125" collapsed="1"/>
    <col min="43" max="46" width="0" style="125" hidden="1" customWidth="1" outlineLevel="1"/>
    <col min="47" max="47" width="9" style="125" collapsed="1"/>
    <col min="48" max="51" width="0" style="125" hidden="1" customWidth="1" outlineLevel="1"/>
    <col min="52" max="52" width="9" style="125" collapsed="1"/>
    <col min="53" max="56" width="9" style="125" hidden="1" customWidth="1" outlineLevel="1"/>
    <col min="57" max="57" width="9" style="125" collapsed="1"/>
    <col min="58" max="61" width="0" style="125" hidden="1" customWidth="1" outlineLevel="1"/>
    <col min="62" max="62" width="9" style="125" collapsed="1"/>
    <col min="63" max="66" width="0" style="125" hidden="1" customWidth="1" outlineLevel="1"/>
    <col min="67" max="67" width="9" style="125" collapsed="1"/>
    <col min="68" max="71" width="0" style="125" hidden="1" customWidth="1" outlineLevel="1"/>
    <col min="72" max="72" width="9" style="125" collapsed="1"/>
    <col min="73" max="76" width="0" style="125" hidden="1" customWidth="1" outlineLevel="1"/>
    <col min="77" max="77" width="9" style="125" collapsed="1"/>
    <col min="78" max="16384" width="9" style="125"/>
  </cols>
  <sheetData>
    <row r="1" spans="1:78">
      <c r="C1" s="500"/>
      <c r="D1" s="500"/>
      <c r="E1" s="500"/>
      <c r="F1" s="500"/>
      <c r="G1" s="500"/>
      <c r="H1" s="500"/>
      <c r="I1" s="500"/>
      <c r="J1" s="500"/>
      <c r="K1" s="500"/>
      <c r="L1" s="500"/>
      <c r="M1" s="500"/>
      <c r="N1" s="500"/>
      <c r="O1" s="500"/>
      <c r="P1" s="500"/>
      <c r="Q1" s="500"/>
      <c r="R1" s="500"/>
      <c r="S1" s="500"/>
      <c r="T1" s="500"/>
      <c r="U1" s="500"/>
      <c r="V1" s="500"/>
      <c r="W1" s="500"/>
      <c r="X1" s="500"/>
      <c r="Y1" s="500"/>
      <c r="Z1" s="500"/>
      <c r="AA1" s="500"/>
      <c r="AB1" s="500"/>
      <c r="AC1" s="500"/>
      <c r="AD1" s="500"/>
      <c r="AE1" s="500"/>
      <c r="AF1" s="500"/>
      <c r="AG1" s="500"/>
      <c r="AH1" s="500"/>
      <c r="AI1" s="500"/>
      <c r="AJ1" s="500"/>
      <c r="AK1" s="500"/>
      <c r="AL1" s="500"/>
      <c r="AM1" s="500"/>
      <c r="AN1" s="500"/>
      <c r="AO1" s="500"/>
      <c r="AP1" s="500"/>
      <c r="AQ1" s="500"/>
      <c r="AR1" s="500"/>
      <c r="AS1" s="500"/>
      <c r="AT1" s="500"/>
      <c r="AU1" s="500"/>
      <c r="AV1" s="500"/>
      <c r="AW1" s="500"/>
      <c r="AX1" s="500"/>
      <c r="AY1" s="500"/>
      <c r="AZ1" s="500"/>
      <c r="BA1" s="500"/>
      <c r="BB1" s="500"/>
      <c r="BC1" s="500"/>
      <c r="BD1" s="500"/>
      <c r="BE1" s="500"/>
      <c r="BF1" s="500"/>
      <c r="BG1" s="500"/>
      <c r="BH1" s="500"/>
      <c r="BI1" s="500"/>
      <c r="BJ1" s="500"/>
      <c r="BK1" s="500"/>
      <c r="BL1" s="500"/>
      <c r="BM1" s="500"/>
      <c r="BN1" s="500"/>
      <c r="BO1" s="501"/>
      <c r="BP1" s="501"/>
      <c r="BQ1" s="501"/>
      <c r="BR1" s="501"/>
      <c r="BS1" s="501"/>
      <c r="BT1" s="501"/>
      <c r="BU1" s="501"/>
      <c r="BV1" s="501"/>
      <c r="BW1" s="501"/>
      <c r="BX1" s="501"/>
      <c r="BY1" s="501"/>
      <c r="BZ1" s="501"/>
    </row>
    <row r="2" spans="1:78" s="147" customFormat="1" ht="12.75" customHeight="1" thickBot="1">
      <c r="A2" s="144"/>
      <c r="B2" s="213"/>
      <c r="C2" s="502" t="s">
        <v>813</v>
      </c>
      <c r="D2" s="502" t="s">
        <v>814</v>
      </c>
      <c r="E2" s="502" t="s">
        <v>816</v>
      </c>
      <c r="F2" s="502" t="s">
        <v>820</v>
      </c>
      <c r="G2" s="214" t="s">
        <v>821</v>
      </c>
      <c r="H2" s="897" t="s">
        <v>823</v>
      </c>
      <c r="I2" s="897" t="s">
        <v>851</v>
      </c>
      <c r="J2" s="897" t="s">
        <v>123</v>
      </c>
      <c r="K2" s="897" t="s">
        <v>124</v>
      </c>
      <c r="L2" s="214" t="s">
        <v>125</v>
      </c>
      <c r="M2" s="897" t="s">
        <v>126</v>
      </c>
      <c r="N2" s="897" t="s">
        <v>127</v>
      </c>
      <c r="O2" s="897" t="s">
        <v>128</v>
      </c>
      <c r="P2" s="897" t="s">
        <v>129</v>
      </c>
      <c r="Q2" s="214" t="s">
        <v>130</v>
      </c>
      <c r="R2" s="216" t="s">
        <v>131</v>
      </c>
      <c r="S2" s="216" t="s">
        <v>132</v>
      </c>
      <c r="T2" s="216" t="s">
        <v>133</v>
      </c>
      <c r="U2" s="216" t="s">
        <v>134</v>
      </c>
      <c r="V2" s="214" t="s">
        <v>135</v>
      </c>
      <c r="W2" s="216" t="s">
        <v>136</v>
      </c>
      <c r="X2" s="216" t="s">
        <v>137</v>
      </c>
      <c r="Y2" s="216" t="s">
        <v>138</v>
      </c>
      <c r="Z2" s="216" t="s">
        <v>139</v>
      </c>
      <c r="AA2" s="215" t="s">
        <v>140</v>
      </c>
      <c r="AB2" s="216" t="s">
        <v>141</v>
      </c>
      <c r="AC2" s="216" t="s">
        <v>142</v>
      </c>
      <c r="AD2" s="216" t="s">
        <v>143</v>
      </c>
      <c r="AE2" s="216" t="s">
        <v>144</v>
      </c>
      <c r="AF2" s="215" t="s">
        <v>145</v>
      </c>
      <c r="AG2" s="216" t="s">
        <v>146</v>
      </c>
      <c r="AH2" s="216" t="s">
        <v>147</v>
      </c>
      <c r="AI2" s="216" t="s">
        <v>148</v>
      </c>
      <c r="AJ2" s="216" t="s">
        <v>149</v>
      </c>
      <c r="AK2" s="215" t="s">
        <v>150</v>
      </c>
      <c r="AL2" s="216" t="s">
        <v>151</v>
      </c>
      <c r="AM2" s="216" t="s">
        <v>152</v>
      </c>
      <c r="AN2" s="216" t="s">
        <v>153</v>
      </c>
      <c r="AO2" s="216" t="s">
        <v>154</v>
      </c>
      <c r="AP2" s="215" t="s">
        <v>155</v>
      </c>
      <c r="AQ2" s="216" t="s">
        <v>156</v>
      </c>
      <c r="AR2" s="216" t="s">
        <v>157</v>
      </c>
      <c r="AS2" s="216" t="s">
        <v>158</v>
      </c>
      <c r="AT2" s="216" t="s">
        <v>159</v>
      </c>
      <c r="AU2" s="215" t="s">
        <v>160</v>
      </c>
      <c r="AV2" s="216" t="s">
        <v>161</v>
      </c>
      <c r="AW2" s="216" t="s">
        <v>162</v>
      </c>
      <c r="AX2" s="216" t="s">
        <v>163</v>
      </c>
      <c r="AY2" s="216" t="s">
        <v>164</v>
      </c>
      <c r="AZ2" s="215" t="s">
        <v>165</v>
      </c>
      <c r="BA2" s="216" t="s">
        <v>166</v>
      </c>
      <c r="BB2" s="216" t="s">
        <v>167</v>
      </c>
      <c r="BC2" s="216" t="s">
        <v>168</v>
      </c>
      <c r="BD2" s="216" t="s">
        <v>169</v>
      </c>
      <c r="BE2" s="215" t="s">
        <v>170</v>
      </c>
      <c r="BF2" s="215"/>
      <c r="BG2" s="215"/>
      <c r="BH2" s="215"/>
      <c r="BI2" s="215"/>
      <c r="BJ2" s="217" t="s">
        <v>171</v>
      </c>
      <c r="BK2" s="217"/>
      <c r="BL2" s="217"/>
      <c r="BM2" s="217"/>
      <c r="BN2" s="217"/>
      <c r="BO2" s="217" t="s">
        <v>172</v>
      </c>
      <c r="BP2" s="217"/>
      <c r="BQ2" s="217"/>
      <c r="BR2" s="217"/>
      <c r="BS2" s="217"/>
      <c r="BT2" s="217" t="s">
        <v>173</v>
      </c>
      <c r="BU2" s="217"/>
      <c r="BV2" s="217"/>
      <c r="BW2" s="217"/>
      <c r="BX2" s="217"/>
      <c r="BY2" s="217" t="s">
        <v>671</v>
      </c>
      <c r="BZ2" s="217" t="s">
        <v>230</v>
      </c>
    </row>
    <row r="3" spans="1:78" s="147" customFormat="1" ht="12.75" customHeight="1">
      <c r="A3" s="144"/>
      <c r="B3" s="209" t="s">
        <v>873</v>
      </c>
      <c r="C3" s="349"/>
      <c r="D3" s="349"/>
      <c r="E3" s="349"/>
      <c r="F3" s="349"/>
      <c r="G3" s="210"/>
      <c r="H3" s="898"/>
      <c r="I3" s="898"/>
      <c r="J3" s="898"/>
      <c r="K3" s="898"/>
      <c r="L3" s="210"/>
      <c r="M3" s="898"/>
      <c r="N3" s="898"/>
      <c r="O3" s="898"/>
      <c r="P3" s="898"/>
      <c r="Q3" s="210"/>
      <c r="R3" s="212"/>
      <c r="S3" s="212"/>
      <c r="T3" s="212"/>
      <c r="U3" s="212"/>
      <c r="V3" s="210"/>
      <c r="W3" s="212"/>
      <c r="X3" s="212"/>
      <c r="Y3" s="212"/>
      <c r="Z3" s="212"/>
      <c r="AA3" s="211"/>
      <c r="AB3" s="212"/>
      <c r="AC3" s="212"/>
      <c r="AD3" s="212"/>
      <c r="AE3" s="212"/>
      <c r="AF3" s="211"/>
      <c r="AG3" s="212"/>
      <c r="AH3" s="212"/>
      <c r="AI3" s="212"/>
      <c r="AJ3" s="212"/>
      <c r="AK3" s="211"/>
      <c r="AL3" s="212"/>
      <c r="AM3" s="212"/>
      <c r="AN3" s="212"/>
      <c r="AO3" s="212"/>
      <c r="AP3" s="211"/>
      <c r="AQ3" s="212"/>
      <c r="AR3" s="212"/>
      <c r="AS3" s="212"/>
      <c r="AT3" s="212"/>
      <c r="AU3" s="211"/>
      <c r="AV3" s="212"/>
      <c r="AW3" s="212"/>
      <c r="AX3" s="212"/>
      <c r="AY3" s="212"/>
      <c r="AZ3" s="211"/>
      <c r="BA3" s="212"/>
      <c r="BB3" s="212"/>
      <c r="BC3" s="212"/>
      <c r="BD3" s="212"/>
      <c r="BE3" s="211"/>
      <c r="BF3" s="211"/>
      <c r="BG3" s="211"/>
      <c r="BH3" s="211"/>
      <c r="BI3" s="211"/>
      <c r="BJ3" s="146"/>
      <c r="BK3" s="146"/>
      <c r="BL3" s="146"/>
      <c r="BM3" s="146"/>
      <c r="BN3" s="146"/>
    </row>
    <row r="4" spans="1:78">
      <c r="C4" s="888"/>
      <c r="D4" s="432"/>
      <c r="E4" s="427"/>
      <c r="F4" s="432"/>
      <c r="G4" s="177"/>
      <c r="H4" s="899"/>
      <c r="I4" s="899"/>
      <c r="J4" s="899"/>
      <c r="K4" s="899"/>
      <c r="M4" s="899"/>
      <c r="N4" s="899"/>
      <c r="O4" s="899"/>
      <c r="P4" s="899"/>
    </row>
    <row r="5" spans="1:78">
      <c r="B5" s="243" t="s">
        <v>874</v>
      </c>
      <c r="M5" s="899"/>
      <c r="N5" s="899"/>
      <c r="O5" s="899"/>
      <c r="P5" s="899"/>
      <c r="Q5" s="125">
        <v>5000</v>
      </c>
      <c r="V5" s="125">
        <v>7500</v>
      </c>
      <c r="AA5" s="125">
        <v>10000</v>
      </c>
      <c r="AF5" s="125">
        <f>AA5</f>
        <v>10000</v>
      </c>
      <c r="AK5" s="125">
        <f>AF5</f>
        <v>10000</v>
      </c>
      <c r="AP5" s="125">
        <f>AK5</f>
        <v>10000</v>
      </c>
      <c r="AU5" s="125">
        <f>AP5</f>
        <v>10000</v>
      </c>
      <c r="AZ5" s="125">
        <f>AU5</f>
        <v>10000</v>
      </c>
      <c r="BE5" s="125">
        <f>AZ5</f>
        <v>10000</v>
      </c>
      <c r="BJ5" s="125">
        <f>BE5</f>
        <v>10000</v>
      </c>
      <c r="BO5" s="125">
        <f>BJ5</f>
        <v>10000</v>
      </c>
      <c r="BT5" s="125">
        <f>BO5</f>
        <v>10000</v>
      </c>
      <c r="BY5" s="125">
        <f>BT5</f>
        <v>10000</v>
      </c>
    </row>
    <row r="6" spans="1:78">
      <c r="B6" s="243" t="s">
        <v>875</v>
      </c>
      <c r="C6" s="219"/>
      <c r="D6" s="219"/>
      <c r="E6" s="219"/>
      <c r="F6" s="219"/>
      <c r="G6" s="219"/>
      <c r="H6" s="219"/>
      <c r="I6" s="219"/>
      <c r="J6" s="219"/>
      <c r="K6" s="219"/>
      <c r="L6" s="219"/>
      <c r="M6" s="899"/>
      <c r="N6" s="899"/>
      <c r="O6" s="899"/>
      <c r="P6" s="899"/>
      <c r="Q6" s="219">
        <v>0.15</v>
      </c>
      <c r="R6" s="219"/>
      <c r="S6" s="219"/>
      <c r="T6" s="219"/>
      <c r="U6" s="219"/>
      <c r="V6" s="219">
        <v>0.25</v>
      </c>
      <c r="W6" s="219"/>
      <c r="X6" s="219"/>
      <c r="Y6" s="219"/>
      <c r="Z6" s="219"/>
      <c r="AA6" s="219">
        <v>0.45</v>
      </c>
      <c r="AB6" s="219"/>
      <c r="AC6" s="219"/>
      <c r="AD6" s="219"/>
      <c r="AE6" s="219"/>
      <c r="AF6" s="219">
        <v>0.5</v>
      </c>
      <c r="AG6" s="219"/>
      <c r="AH6" s="219"/>
      <c r="AI6" s="219"/>
      <c r="AJ6" s="219"/>
      <c r="AK6" s="219">
        <f>AF6</f>
        <v>0.5</v>
      </c>
      <c r="AL6" s="219"/>
      <c r="AM6" s="219"/>
      <c r="AN6" s="219"/>
      <c r="AO6" s="219"/>
      <c r="AP6" s="219">
        <f>AK6</f>
        <v>0.5</v>
      </c>
      <c r="AQ6" s="219"/>
      <c r="AR6" s="219"/>
      <c r="AS6" s="219"/>
      <c r="AT6" s="219"/>
      <c r="AU6" s="219">
        <f>AP6</f>
        <v>0.5</v>
      </c>
      <c r="AV6" s="219"/>
      <c r="AW6" s="219"/>
      <c r="AX6" s="219"/>
      <c r="AY6" s="219"/>
      <c r="AZ6" s="219">
        <f>AU6</f>
        <v>0.5</v>
      </c>
      <c r="BA6" s="219"/>
      <c r="BB6" s="219"/>
      <c r="BC6" s="219"/>
      <c r="BD6" s="219"/>
      <c r="BE6" s="219">
        <f>AZ6</f>
        <v>0.5</v>
      </c>
      <c r="BF6" s="219"/>
      <c r="BG6" s="219"/>
      <c r="BH6" s="219"/>
      <c r="BI6" s="219"/>
      <c r="BJ6" s="219">
        <f>BE6</f>
        <v>0.5</v>
      </c>
      <c r="BK6" s="219"/>
      <c r="BL6" s="219"/>
      <c r="BM6" s="219"/>
      <c r="BN6" s="219"/>
      <c r="BO6" s="219">
        <f>BJ6</f>
        <v>0.5</v>
      </c>
      <c r="BP6" s="219"/>
      <c r="BQ6" s="219"/>
      <c r="BR6" s="219"/>
      <c r="BS6" s="219"/>
      <c r="BT6" s="219">
        <f>BO6</f>
        <v>0.5</v>
      </c>
      <c r="BU6" s="219"/>
      <c r="BV6" s="219"/>
      <c r="BW6" s="219"/>
      <c r="BX6" s="219"/>
      <c r="BY6" s="219">
        <f>BT6</f>
        <v>0.5</v>
      </c>
      <c r="BZ6" s="219"/>
    </row>
    <row r="7" spans="1:78">
      <c r="B7" s="243" t="s">
        <v>876</v>
      </c>
      <c r="G7" s="223"/>
      <c r="L7" s="223"/>
      <c r="M7" s="899"/>
      <c r="N7" s="899"/>
      <c r="O7" s="899"/>
      <c r="P7" s="899"/>
      <c r="Q7" s="223">
        <v>125000</v>
      </c>
      <c r="V7" s="223">
        <f>Q7*1.02</f>
        <v>127500</v>
      </c>
      <c r="AA7" s="223">
        <f>V7*1.02</f>
        <v>130050</v>
      </c>
      <c r="AF7" s="223">
        <f>AA7*1.02</f>
        <v>132651</v>
      </c>
      <c r="AK7" s="223">
        <f>AF7*1.02</f>
        <v>135304.01999999999</v>
      </c>
      <c r="AP7" s="223">
        <f>AK7*1.02</f>
        <v>138010.1004</v>
      </c>
      <c r="AU7" s="223">
        <f>AP7*1.02</f>
        <v>140770.30240799999</v>
      </c>
      <c r="AZ7" s="223">
        <f>AU7*1.02</f>
        <v>143585.70845615998</v>
      </c>
      <c r="BE7" s="223">
        <f>AZ7*1.02</f>
        <v>146457.42262528319</v>
      </c>
      <c r="BF7" s="223"/>
      <c r="BG7" s="223"/>
      <c r="BH7" s="223"/>
      <c r="BI7" s="223"/>
      <c r="BJ7" s="223">
        <f>BE7*1.02</f>
        <v>149386.57107778886</v>
      </c>
      <c r="BK7" s="223"/>
      <c r="BL7" s="223"/>
      <c r="BM7" s="223"/>
      <c r="BN7" s="223"/>
      <c r="BO7" s="223">
        <f>BJ7*1.02</f>
        <v>152374.30249934463</v>
      </c>
      <c r="BP7" s="223"/>
      <c r="BQ7" s="223"/>
      <c r="BR7" s="223"/>
      <c r="BS7" s="223"/>
      <c r="BT7" s="223">
        <f>BO7*1.02</f>
        <v>155421.78854933151</v>
      </c>
      <c r="BU7" s="223"/>
      <c r="BV7" s="223"/>
      <c r="BW7" s="223"/>
      <c r="BX7" s="223"/>
      <c r="BY7" s="223">
        <f>BT7*1.02</f>
        <v>158530.22432031814</v>
      </c>
      <c r="BZ7" s="223"/>
    </row>
    <row r="8" spans="1:78">
      <c r="B8" s="243" t="s">
        <v>877</v>
      </c>
      <c r="M8" s="899">
        <v>0</v>
      </c>
      <c r="N8" s="899">
        <v>0</v>
      </c>
      <c r="O8" s="899">
        <v>10</v>
      </c>
      <c r="P8" s="904">
        <f>Q8-SUM(M8:O8)</f>
        <v>83.75</v>
      </c>
      <c r="Q8" s="223">
        <f>Q5*Q6*Q7/1000000</f>
        <v>93.75</v>
      </c>
      <c r="R8" s="223"/>
      <c r="S8" s="223"/>
      <c r="T8" s="223"/>
      <c r="U8" s="223"/>
      <c r="V8" s="223">
        <f>V5*V6*V7/1000000</f>
        <v>239.0625</v>
      </c>
      <c r="W8" s="223"/>
      <c r="X8" s="223"/>
      <c r="Y8" s="223"/>
      <c r="Z8" s="223"/>
      <c r="AA8" s="223">
        <f>AA5*AA6*AA7/1000000</f>
        <v>585.22500000000002</v>
      </c>
      <c r="AB8" s="223"/>
      <c r="AC8" s="223"/>
      <c r="AD8" s="223"/>
      <c r="AE8" s="223"/>
      <c r="AF8" s="223">
        <f>AF5*AF6*AF7/1000000</f>
        <v>663.255</v>
      </c>
      <c r="AG8" s="223"/>
      <c r="AH8" s="223"/>
      <c r="AI8" s="223"/>
      <c r="AJ8" s="223"/>
      <c r="AK8" s="223">
        <f>AK5*AK6*AK7/1000000</f>
        <v>676.52009999999996</v>
      </c>
      <c r="AL8" s="223"/>
      <c r="AM8" s="223"/>
      <c r="AN8" s="223"/>
      <c r="AO8" s="223"/>
      <c r="AP8" s="223">
        <f>AP5*AP6*AP7/1000000</f>
        <v>690.05050200000005</v>
      </c>
      <c r="AQ8" s="223"/>
      <c r="AR8" s="223"/>
      <c r="AS8" s="223"/>
      <c r="AT8" s="223"/>
      <c r="AU8" s="223">
        <f>AU5*AU6*AU7/1000000</f>
        <v>703.85151203999999</v>
      </c>
      <c r="AV8" s="223"/>
      <c r="AW8" s="223"/>
      <c r="AX8" s="223"/>
      <c r="AY8" s="223"/>
      <c r="AZ8" s="223">
        <f>AZ5*AZ6*AZ7/1000000</f>
        <v>717.92854228079989</v>
      </c>
      <c r="BA8" s="223"/>
      <c r="BB8" s="223"/>
      <c r="BC8" s="223"/>
      <c r="BD8" s="223"/>
      <c r="BE8" s="223">
        <f>BE5*BE6*BE7/1000000</f>
        <v>732.28711312641599</v>
      </c>
      <c r="BF8" s="223"/>
      <c r="BG8" s="223"/>
      <c r="BH8" s="223"/>
      <c r="BI8" s="223"/>
      <c r="BJ8" s="223">
        <f>BJ5*BJ6*BJ7/1000000</f>
        <v>746.93285538894429</v>
      </c>
      <c r="BK8" s="223"/>
      <c r="BL8" s="223"/>
      <c r="BM8" s="223"/>
      <c r="BN8" s="223"/>
      <c r="BO8" s="223">
        <f>BO5*BO6*BO7/1000000</f>
        <v>761.8715124967232</v>
      </c>
      <c r="BP8" s="223"/>
      <c r="BQ8" s="223"/>
      <c r="BR8" s="223"/>
      <c r="BS8" s="223"/>
      <c r="BT8" s="223">
        <f>BT5*BT6*BT7/1000000</f>
        <v>777.10894274665759</v>
      </c>
      <c r="BU8" s="223"/>
      <c r="BV8" s="223"/>
      <c r="BW8" s="223"/>
      <c r="BX8" s="223"/>
      <c r="BY8" s="223">
        <f>BY5*BY6*BY7/1000000</f>
        <v>792.65112160159072</v>
      </c>
    </row>
    <row r="9" spans="1:78">
      <c r="B9" s="243"/>
      <c r="M9" s="899"/>
      <c r="N9" s="899"/>
      <c r="O9" s="899"/>
      <c r="P9" s="899"/>
    </row>
    <row r="10" spans="1:78">
      <c r="B10" s="243" t="s">
        <v>6</v>
      </c>
      <c r="M10" s="899">
        <f>0.1*M8</f>
        <v>0</v>
      </c>
      <c r="N10" s="899">
        <f t="shared" ref="N10:P10" si="0">0.1*N8</f>
        <v>0</v>
      </c>
      <c r="O10" s="899">
        <f t="shared" si="0"/>
        <v>1</v>
      </c>
      <c r="P10" s="905">
        <f t="shared" si="0"/>
        <v>8.375</v>
      </c>
      <c r="Q10" s="222">
        <f>Q8*0.1</f>
        <v>9.375</v>
      </c>
      <c r="V10" s="222">
        <f>V8*0.1</f>
        <v>23.90625</v>
      </c>
      <c r="AA10" s="222">
        <f>AA8*0.1</f>
        <v>58.522500000000008</v>
      </c>
      <c r="AF10" s="222">
        <f>AF8*0.1</f>
        <v>66.325500000000005</v>
      </c>
      <c r="AK10" s="222">
        <f>AK8*0.1</f>
        <v>67.652010000000004</v>
      </c>
      <c r="AP10" s="222">
        <f>AP8*0.1</f>
        <v>69.005050200000014</v>
      </c>
      <c r="AU10" s="222">
        <f>AU8*0.1</f>
        <v>70.385151203999996</v>
      </c>
      <c r="AZ10" s="222">
        <f>AZ8*0.1</f>
        <v>71.792854228079989</v>
      </c>
      <c r="BE10" s="222">
        <f>BE8*0.1</f>
        <v>73.228711312641607</v>
      </c>
      <c r="BJ10" s="222">
        <f>BJ8*0.1</f>
        <v>74.693285538894429</v>
      </c>
      <c r="BO10" s="222">
        <f>BO8*0.1</f>
        <v>76.187151249672326</v>
      </c>
      <c r="BT10" s="222">
        <f>BT8*0.1</f>
        <v>77.710894274665762</v>
      </c>
      <c r="BY10" s="222">
        <f>BY8*0.1</f>
        <v>79.265112160159077</v>
      </c>
    </row>
    <row r="11" spans="1:78">
      <c r="B11" s="243" t="s">
        <v>878</v>
      </c>
      <c r="M11" s="899">
        <v>0</v>
      </c>
      <c r="N11" s="899">
        <v>5</v>
      </c>
      <c r="O11" s="899">
        <v>30</v>
      </c>
      <c r="P11" s="899">
        <f>Q11-SUM(M11:O11)</f>
        <v>65</v>
      </c>
      <c r="Q11" s="125">
        <v>100</v>
      </c>
      <c r="V11" s="125">
        <v>125</v>
      </c>
      <c r="AA11" s="125">
        <v>150</v>
      </c>
      <c r="AF11" s="125">
        <f>AA11*1.02</f>
        <v>153</v>
      </c>
      <c r="AK11" s="222">
        <f>AF11*1.02</f>
        <v>156.06</v>
      </c>
      <c r="AL11" s="222"/>
      <c r="AM11" s="222"/>
      <c r="AN11" s="222"/>
      <c r="AO11" s="222"/>
      <c r="AP11" s="222">
        <f>AK11*1.02</f>
        <v>159.18120000000002</v>
      </c>
      <c r="AQ11" s="222"/>
      <c r="AR11" s="222"/>
      <c r="AS11" s="222"/>
      <c r="AT11" s="222"/>
      <c r="AU11" s="222">
        <f>AP11*1.02</f>
        <v>162.36482400000003</v>
      </c>
      <c r="AV11" s="222"/>
      <c r="AW11" s="222"/>
      <c r="AX11" s="222"/>
      <c r="AY11" s="222"/>
      <c r="AZ11" s="222">
        <f>AU11*1.02</f>
        <v>165.61212048000004</v>
      </c>
      <c r="BA11" s="222"/>
      <c r="BB11" s="222"/>
      <c r="BC11" s="222"/>
      <c r="BD11" s="222"/>
      <c r="BE11" s="222">
        <f>AZ11*1.02</f>
        <v>168.92436288960005</v>
      </c>
      <c r="BF11" s="222"/>
      <c r="BG11" s="222"/>
      <c r="BH11" s="222"/>
      <c r="BI11" s="222"/>
      <c r="BJ11" s="222">
        <f>BE11*1.02</f>
        <v>172.30285014739206</v>
      </c>
      <c r="BK11" s="222"/>
      <c r="BL11" s="222"/>
      <c r="BM11" s="222"/>
      <c r="BN11" s="222"/>
      <c r="BO11" s="222">
        <f>BJ11*1.02</f>
        <v>175.7489071503399</v>
      </c>
      <c r="BP11" s="222"/>
      <c r="BQ11" s="222"/>
      <c r="BR11" s="222"/>
      <c r="BS11" s="222"/>
      <c r="BT11" s="222">
        <f>BO11*1.02</f>
        <v>179.2638852933467</v>
      </c>
      <c r="BU11" s="222"/>
      <c r="BV11" s="222"/>
      <c r="BW11" s="222"/>
      <c r="BX11" s="222"/>
      <c r="BY11" s="222">
        <f>BT11*1.02</f>
        <v>182.84916299921363</v>
      </c>
    </row>
    <row r="12" spans="1:78">
      <c r="B12" s="1084" t="s">
        <v>8</v>
      </c>
      <c r="C12" s="272"/>
      <c r="D12" s="272"/>
      <c r="E12" s="272"/>
      <c r="F12" s="272"/>
      <c r="G12" s="272"/>
      <c r="H12" s="272"/>
      <c r="I12" s="272"/>
      <c r="J12" s="272"/>
      <c r="K12" s="272"/>
      <c r="L12" s="272"/>
      <c r="M12" s="1085">
        <f t="shared" ref="M12:P12" si="1">M8-M10-M11</f>
        <v>0</v>
      </c>
      <c r="N12" s="1085">
        <f t="shared" si="1"/>
        <v>-5</v>
      </c>
      <c r="O12" s="1085">
        <f t="shared" si="1"/>
        <v>-21</v>
      </c>
      <c r="P12" s="1090">
        <f t="shared" si="1"/>
        <v>10.375</v>
      </c>
      <c r="Q12" s="1086">
        <f>Q8-Q10-Q11</f>
        <v>-15.625</v>
      </c>
      <c r="R12" s="272"/>
      <c r="S12" s="272"/>
      <c r="T12" s="272"/>
      <c r="U12" s="272"/>
      <c r="V12" s="1086">
        <f>V8-V10-V11</f>
        <v>90.15625</v>
      </c>
      <c r="W12" s="272"/>
      <c r="X12" s="272"/>
      <c r="Y12" s="272"/>
      <c r="Z12" s="272"/>
      <c r="AA12" s="1086">
        <f>AA8-AA10-AA11</f>
        <v>376.70249999999999</v>
      </c>
      <c r="AB12" s="272"/>
      <c r="AC12" s="272"/>
      <c r="AD12" s="272"/>
      <c r="AE12" s="272"/>
      <c r="AF12" s="1086">
        <f>AF8-AF10-AF11</f>
        <v>443.92949999999996</v>
      </c>
      <c r="AG12" s="272"/>
      <c r="AH12" s="272"/>
      <c r="AI12" s="272"/>
      <c r="AJ12" s="272"/>
      <c r="AK12" s="1086">
        <f>AK8-AK10-AK11</f>
        <v>452.80808999999994</v>
      </c>
      <c r="AL12" s="272"/>
      <c r="AM12" s="272"/>
      <c r="AN12" s="272"/>
      <c r="AO12" s="272"/>
      <c r="AP12" s="1086">
        <f>AP8-AP10-AP11</f>
        <v>461.86425180000003</v>
      </c>
      <c r="AQ12" s="272"/>
      <c r="AR12" s="272"/>
      <c r="AS12" s="272"/>
      <c r="AT12" s="272"/>
      <c r="AU12" s="1086">
        <f>AU8-AU10-AU11</f>
        <v>471.10153683600004</v>
      </c>
      <c r="AV12" s="272"/>
      <c r="AW12" s="272"/>
      <c r="AX12" s="272"/>
      <c r="AY12" s="272"/>
      <c r="AZ12" s="1086">
        <f>AZ8-AZ10-AZ11</f>
        <v>480.5235675727198</v>
      </c>
      <c r="BA12" s="272"/>
      <c r="BB12" s="272"/>
      <c r="BC12" s="272"/>
      <c r="BD12" s="272"/>
      <c r="BE12" s="1086">
        <f>BE8-BE10-BE11</f>
        <v>490.13403892417432</v>
      </c>
      <c r="BF12" s="272"/>
      <c r="BG12" s="272"/>
      <c r="BH12" s="272"/>
      <c r="BI12" s="272"/>
      <c r="BJ12" s="1086">
        <f>BJ8-BJ10-BJ11</f>
        <v>499.9367197026578</v>
      </c>
      <c r="BK12" s="272"/>
      <c r="BL12" s="272"/>
      <c r="BM12" s="272"/>
      <c r="BN12" s="272"/>
      <c r="BO12" s="1086">
        <f>BO8-BO10-BO11</f>
        <v>509.935454096711</v>
      </c>
      <c r="BP12" s="272"/>
      <c r="BQ12" s="272"/>
      <c r="BR12" s="272"/>
      <c r="BS12" s="272"/>
      <c r="BT12" s="1086">
        <f>BT8-BT10-BT11</f>
        <v>520.13416317864517</v>
      </c>
      <c r="BU12" s="272"/>
      <c r="BV12" s="272"/>
      <c r="BW12" s="272"/>
      <c r="BX12" s="272"/>
      <c r="BY12" s="1086">
        <f>BY8-BY10-BY11</f>
        <v>530.53684644221801</v>
      </c>
    </row>
    <row r="13" spans="1:78">
      <c r="B13" s="243"/>
      <c r="M13" s="899"/>
      <c r="N13" s="899"/>
      <c r="O13" s="899"/>
      <c r="P13" s="899"/>
    </row>
    <row r="14" spans="1:78">
      <c r="B14" s="1057" t="s">
        <v>879</v>
      </c>
      <c r="M14" s="907">
        <f>Q14</f>
        <v>0.5</v>
      </c>
      <c r="N14" s="907">
        <f>M14</f>
        <v>0.5</v>
      </c>
      <c r="O14" s="910">
        <f t="shared" ref="O14:P14" si="2">N14</f>
        <v>0.5</v>
      </c>
      <c r="P14" s="910">
        <f t="shared" si="2"/>
        <v>0.5</v>
      </c>
      <c r="Q14" s="187">
        <v>0.5</v>
      </c>
      <c r="V14" s="187">
        <f>Q14</f>
        <v>0.5</v>
      </c>
      <c r="AA14" s="187">
        <f>V14</f>
        <v>0.5</v>
      </c>
      <c r="AF14" s="187">
        <f>AA14</f>
        <v>0.5</v>
      </c>
      <c r="AK14" s="187">
        <f>AF14</f>
        <v>0.5</v>
      </c>
      <c r="AP14" s="187">
        <f>AK14</f>
        <v>0.5</v>
      </c>
      <c r="AU14" s="187">
        <f>AP14</f>
        <v>0.5</v>
      </c>
      <c r="AZ14" s="187">
        <f>AU14</f>
        <v>0.5</v>
      </c>
      <c r="BE14" s="187">
        <f>AZ14</f>
        <v>0.5</v>
      </c>
      <c r="BJ14" s="187">
        <f>BE14</f>
        <v>0.5</v>
      </c>
      <c r="BO14" s="187">
        <f>BJ14</f>
        <v>0.5</v>
      </c>
      <c r="BT14" s="187">
        <f>BO14</f>
        <v>0.5</v>
      </c>
      <c r="BY14" s="187">
        <f>BT14</f>
        <v>0.5</v>
      </c>
    </row>
    <row r="15" spans="1:78">
      <c r="B15" s="1084" t="s">
        <v>880</v>
      </c>
      <c r="C15" s="272"/>
      <c r="D15" s="272"/>
      <c r="E15" s="272"/>
      <c r="F15" s="272"/>
      <c r="G15" s="272"/>
      <c r="H15" s="272"/>
      <c r="I15" s="272"/>
      <c r="J15" s="272"/>
      <c r="K15" s="272"/>
      <c r="L15" s="272"/>
      <c r="M15" s="1085">
        <f t="shared" ref="M15:P15" si="3">M14*M12</f>
        <v>0</v>
      </c>
      <c r="N15" s="1090">
        <f t="shared" si="3"/>
        <v>-2.5</v>
      </c>
      <c r="O15" s="1090">
        <f t="shared" si="3"/>
        <v>-10.5</v>
      </c>
      <c r="P15" s="1090">
        <f t="shared" si="3"/>
        <v>5.1875</v>
      </c>
      <c r="Q15" s="1087">
        <f>Q14*Q12</f>
        <v>-7.8125</v>
      </c>
      <c r="R15" s="272"/>
      <c r="S15" s="272"/>
      <c r="T15" s="272"/>
      <c r="U15" s="272"/>
      <c r="V15" s="1087">
        <f>V14*V12</f>
        <v>45.078125</v>
      </c>
      <c r="W15" s="272"/>
      <c r="X15" s="272"/>
      <c r="Y15" s="272"/>
      <c r="Z15" s="272"/>
      <c r="AA15" s="1087">
        <f>AA14*AA12</f>
        <v>188.35124999999999</v>
      </c>
      <c r="AB15" s="272"/>
      <c r="AC15" s="272"/>
      <c r="AD15" s="272"/>
      <c r="AE15" s="272"/>
      <c r="AF15" s="1087">
        <f>AF14*AF12</f>
        <v>221.96474999999998</v>
      </c>
      <c r="AG15" s="272"/>
      <c r="AH15" s="272"/>
      <c r="AI15" s="272"/>
      <c r="AJ15" s="272"/>
      <c r="AK15" s="1087">
        <f>AK14*AK12</f>
        <v>226.40404499999997</v>
      </c>
      <c r="AL15" s="272"/>
      <c r="AM15" s="272"/>
      <c r="AN15" s="272"/>
      <c r="AO15" s="272"/>
      <c r="AP15" s="1087">
        <f>AP14*AP12</f>
        <v>230.93212590000002</v>
      </c>
      <c r="AQ15" s="272"/>
      <c r="AR15" s="272"/>
      <c r="AS15" s="272"/>
      <c r="AT15" s="272"/>
      <c r="AU15" s="1087">
        <f>AU14*AU12</f>
        <v>235.55076841800002</v>
      </c>
      <c r="AV15" s="272"/>
      <c r="AW15" s="272"/>
      <c r="AX15" s="272"/>
      <c r="AY15" s="272"/>
      <c r="AZ15" s="1087">
        <f>AZ14*AZ12</f>
        <v>240.2617837863599</v>
      </c>
      <c r="BA15" s="272"/>
      <c r="BB15" s="272"/>
      <c r="BC15" s="272"/>
      <c r="BD15" s="272"/>
      <c r="BE15" s="1087">
        <f>BE14*BE12</f>
        <v>245.06701946208716</v>
      </c>
      <c r="BF15" s="272"/>
      <c r="BG15" s="272"/>
      <c r="BH15" s="272"/>
      <c r="BI15" s="272"/>
      <c r="BJ15" s="1087">
        <f>BJ14*BJ12</f>
        <v>249.9683598513289</v>
      </c>
      <c r="BK15" s="272"/>
      <c r="BL15" s="272"/>
      <c r="BM15" s="272"/>
      <c r="BN15" s="272"/>
      <c r="BO15" s="1087">
        <f>BO14*BO12</f>
        <v>254.9677270483555</v>
      </c>
      <c r="BP15" s="272"/>
      <c r="BQ15" s="272"/>
      <c r="BR15" s="272"/>
      <c r="BS15" s="272"/>
      <c r="BT15" s="1087">
        <f>BT14*BT12</f>
        <v>260.06708158932258</v>
      </c>
      <c r="BU15" s="272"/>
      <c r="BV15" s="272"/>
      <c r="BW15" s="272"/>
      <c r="BX15" s="272"/>
      <c r="BY15" s="1087">
        <f>BY14*BY12</f>
        <v>265.268423221109</v>
      </c>
    </row>
    <row r="16" spans="1:78">
      <c r="M16" s="899"/>
      <c r="N16" s="899"/>
      <c r="O16" s="899"/>
      <c r="P16" s="899"/>
    </row>
    <row r="17" spans="2:77">
      <c r="M17" s="899"/>
      <c r="N17" s="899"/>
      <c r="O17" s="899"/>
      <c r="P17" s="899"/>
    </row>
    <row r="18" spans="2:77">
      <c r="B18" s="125" t="s">
        <v>897</v>
      </c>
      <c r="M18" s="899"/>
      <c r="N18" s="899"/>
      <c r="O18" s="899"/>
      <c r="P18" s="899"/>
      <c r="V18" s="223">
        <f>Q8*0.2</f>
        <v>18.75</v>
      </c>
      <c r="W18" s="223"/>
      <c r="X18" s="223"/>
      <c r="Y18" s="223"/>
      <c r="Z18" s="223"/>
      <c r="AA18" s="223">
        <f>V8*0.4</f>
        <v>95.625</v>
      </c>
      <c r="AB18" s="223"/>
      <c r="AC18" s="223"/>
      <c r="AD18" s="223"/>
      <c r="AE18" s="223"/>
      <c r="AF18" s="223">
        <f>AA8*0.5</f>
        <v>292.61250000000001</v>
      </c>
      <c r="AG18" s="223"/>
      <c r="AH18" s="223"/>
      <c r="AI18" s="223"/>
      <c r="AJ18" s="223"/>
      <c r="AK18" s="223">
        <f>AF8*0.5</f>
        <v>331.6275</v>
      </c>
      <c r="AL18" s="223"/>
      <c r="AM18" s="223"/>
      <c r="AN18" s="223"/>
      <c r="AO18" s="223"/>
      <c r="AP18" s="223">
        <f>AK8*0.55</f>
        <v>372.08605499999999</v>
      </c>
      <c r="AQ18" s="223"/>
      <c r="AR18" s="223"/>
      <c r="AS18" s="223"/>
      <c r="AT18" s="223"/>
      <c r="AU18" s="223">
        <f>AP8*0.6</f>
        <v>414.0303012</v>
      </c>
      <c r="AV18" s="223"/>
      <c r="AW18" s="223"/>
      <c r="AX18" s="223"/>
      <c r="AY18" s="223"/>
      <c r="AZ18" s="223">
        <f>AU8*0.65</f>
        <v>457.50348282599998</v>
      </c>
      <c r="BA18" s="223">
        <f t="shared" ref="BA18:BY18" si="4">AV8*0.65</f>
        <v>0</v>
      </c>
      <c r="BB18" s="223">
        <f t="shared" si="4"/>
        <v>0</v>
      </c>
      <c r="BC18" s="223">
        <f t="shared" si="4"/>
        <v>0</v>
      </c>
      <c r="BD18" s="223">
        <f t="shared" si="4"/>
        <v>0</v>
      </c>
      <c r="BE18" s="223">
        <f t="shared" si="4"/>
        <v>466.65355248251996</v>
      </c>
      <c r="BF18" s="223">
        <f t="shared" si="4"/>
        <v>0</v>
      </c>
      <c r="BG18" s="223">
        <f t="shared" si="4"/>
        <v>0</v>
      </c>
      <c r="BH18" s="223">
        <f t="shared" si="4"/>
        <v>0</v>
      </c>
      <c r="BI18" s="223">
        <f t="shared" si="4"/>
        <v>0</v>
      </c>
      <c r="BJ18" s="223">
        <f t="shared" si="4"/>
        <v>475.98662353217043</v>
      </c>
      <c r="BK18" s="223">
        <f t="shared" si="4"/>
        <v>0</v>
      </c>
      <c r="BL18" s="223">
        <f t="shared" si="4"/>
        <v>0</v>
      </c>
      <c r="BM18" s="223">
        <f t="shared" si="4"/>
        <v>0</v>
      </c>
      <c r="BN18" s="223">
        <f t="shared" si="4"/>
        <v>0</v>
      </c>
      <c r="BO18" s="223">
        <f t="shared" si="4"/>
        <v>485.50635600281379</v>
      </c>
      <c r="BP18" s="223">
        <f t="shared" si="4"/>
        <v>0</v>
      </c>
      <c r="BQ18" s="223">
        <f t="shared" si="4"/>
        <v>0</v>
      </c>
      <c r="BR18" s="223">
        <f t="shared" si="4"/>
        <v>0</v>
      </c>
      <c r="BS18" s="223">
        <f t="shared" si="4"/>
        <v>0</v>
      </c>
      <c r="BT18" s="223">
        <f t="shared" si="4"/>
        <v>495.2164831228701</v>
      </c>
      <c r="BU18" s="223">
        <f t="shared" si="4"/>
        <v>0</v>
      </c>
      <c r="BV18" s="223">
        <f t="shared" si="4"/>
        <v>0</v>
      </c>
      <c r="BW18" s="223">
        <f t="shared" si="4"/>
        <v>0</v>
      </c>
      <c r="BX18" s="223">
        <f t="shared" si="4"/>
        <v>0</v>
      </c>
      <c r="BY18" s="223">
        <f t="shared" si="4"/>
        <v>505.12081278532747</v>
      </c>
    </row>
    <row r="19" spans="2:77">
      <c r="B19" s="125" t="s">
        <v>6</v>
      </c>
      <c r="M19" s="899"/>
      <c r="N19" s="899"/>
      <c r="O19" s="899"/>
      <c r="P19" s="899"/>
      <c r="V19" s="222">
        <f>V18*0.1</f>
        <v>1.875</v>
      </c>
      <c r="W19" s="222">
        <f t="shared" ref="W19:BY19" si="5">W18*0.1</f>
        <v>0</v>
      </c>
      <c r="X19" s="222">
        <f t="shared" si="5"/>
        <v>0</v>
      </c>
      <c r="Y19" s="222">
        <f t="shared" si="5"/>
        <v>0</v>
      </c>
      <c r="Z19" s="222">
        <f t="shared" si="5"/>
        <v>0</v>
      </c>
      <c r="AA19" s="222">
        <f t="shared" si="5"/>
        <v>9.5625</v>
      </c>
      <c r="AB19" s="222">
        <f t="shared" si="5"/>
        <v>0</v>
      </c>
      <c r="AC19" s="222">
        <f t="shared" si="5"/>
        <v>0</v>
      </c>
      <c r="AD19" s="222">
        <f t="shared" si="5"/>
        <v>0</v>
      </c>
      <c r="AE19" s="222">
        <f t="shared" si="5"/>
        <v>0</v>
      </c>
      <c r="AF19" s="222">
        <f t="shared" si="5"/>
        <v>29.261250000000004</v>
      </c>
      <c r="AG19" s="222">
        <f t="shared" si="5"/>
        <v>0</v>
      </c>
      <c r="AH19" s="222">
        <f t="shared" si="5"/>
        <v>0</v>
      </c>
      <c r="AI19" s="222">
        <f t="shared" si="5"/>
        <v>0</v>
      </c>
      <c r="AJ19" s="222">
        <f t="shared" si="5"/>
        <v>0</v>
      </c>
      <c r="AK19" s="222">
        <f t="shared" si="5"/>
        <v>33.162750000000003</v>
      </c>
      <c r="AL19" s="222">
        <f t="shared" si="5"/>
        <v>0</v>
      </c>
      <c r="AM19" s="222">
        <f t="shared" si="5"/>
        <v>0</v>
      </c>
      <c r="AN19" s="222">
        <f t="shared" si="5"/>
        <v>0</v>
      </c>
      <c r="AO19" s="222">
        <f t="shared" si="5"/>
        <v>0</v>
      </c>
      <c r="AP19" s="222">
        <f t="shared" si="5"/>
        <v>37.208605499999997</v>
      </c>
      <c r="AQ19" s="222">
        <f t="shared" si="5"/>
        <v>0</v>
      </c>
      <c r="AR19" s="222">
        <f t="shared" si="5"/>
        <v>0</v>
      </c>
      <c r="AS19" s="222">
        <f t="shared" si="5"/>
        <v>0</v>
      </c>
      <c r="AT19" s="222">
        <f t="shared" si="5"/>
        <v>0</v>
      </c>
      <c r="AU19" s="222">
        <f t="shared" si="5"/>
        <v>41.403030120000004</v>
      </c>
      <c r="AV19" s="222">
        <f t="shared" si="5"/>
        <v>0</v>
      </c>
      <c r="AW19" s="222">
        <f t="shared" si="5"/>
        <v>0</v>
      </c>
      <c r="AX19" s="222">
        <f t="shared" si="5"/>
        <v>0</v>
      </c>
      <c r="AY19" s="222">
        <f t="shared" si="5"/>
        <v>0</v>
      </c>
      <c r="AZ19" s="222">
        <f t="shared" si="5"/>
        <v>45.750348282600001</v>
      </c>
      <c r="BA19" s="222">
        <f t="shared" si="5"/>
        <v>0</v>
      </c>
      <c r="BB19" s="222">
        <f t="shared" si="5"/>
        <v>0</v>
      </c>
      <c r="BC19" s="222">
        <f t="shared" si="5"/>
        <v>0</v>
      </c>
      <c r="BD19" s="222">
        <f t="shared" si="5"/>
        <v>0</v>
      </c>
      <c r="BE19" s="222">
        <f t="shared" si="5"/>
        <v>46.665355248251998</v>
      </c>
      <c r="BF19" s="222">
        <f t="shared" si="5"/>
        <v>0</v>
      </c>
      <c r="BG19" s="222">
        <f t="shared" si="5"/>
        <v>0</v>
      </c>
      <c r="BH19" s="222">
        <f t="shared" si="5"/>
        <v>0</v>
      </c>
      <c r="BI19" s="222">
        <f t="shared" si="5"/>
        <v>0</v>
      </c>
      <c r="BJ19" s="222">
        <f t="shared" si="5"/>
        <v>47.598662353217044</v>
      </c>
      <c r="BK19" s="222">
        <f t="shared" si="5"/>
        <v>0</v>
      </c>
      <c r="BL19" s="222">
        <f t="shared" si="5"/>
        <v>0</v>
      </c>
      <c r="BM19" s="222">
        <f t="shared" si="5"/>
        <v>0</v>
      </c>
      <c r="BN19" s="222">
        <f t="shared" si="5"/>
        <v>0</v>
      </c>
      <c r="BO19" s="222">
        <f t="shared" si="5"/>
        <v>48.550635600281382</v>
      </c>
      <c r="BP19" s="222">
        <f t="shared" si="5"/>
        <v>0</v>
      </c>
      <c r="BQ19" s="222">
        <f t="shared" si="5"/>
        <v>0</v>
      </c>
      <c r="BR19" s="222">
        <f t="shared" si="5"/>
        <v>0</v>
      </c>
      <c r="BS19" s="222">
        <f t="shared" si="5"/>
        <v>0</v>
      </c>
      <c r="BT19" s="222">
        <f t="shared" si="5"/>
        <v>49.521648312287013</v>
      </c>
      <c r="BU19" s="222">
        <f t="shared" si="5"/>
        <v>0</v>
      </c>
      <c r="BV19" s="222">
        <f t="shared" si="5"/>
        <v>0</v>
      </c>
      <c r="BW19" s="222">
        <f t="shared" si="5"/>
        <v>0</v>
      </c>
      <c r="BX19" s="222">
        <f t="shared" si="5"/>
        <v>0</v>
      </c>
      <c r="BY19" s="222">
        <f t="shared" si="5"/>
        <v>50.512081278532747</v>
      </c>
    </row>
    <row r="20" spans="2:77">
      <c r="B20" s="125" t="s">
        <v>878</v>
      </c>
      <c r="M20" s="899"/>
      <c r="N20" s="899"/>
      <c r="O20" s="899"/>
      <c r="P20" s="899"/>
      <c r="V20" s="125">
        <f>Q11*0.5</f>
        <v>50</v>
      </c>
      <c r="AA20" s="125">
        <f>V11*0.7</f>
        <v>87.5</v>
      </c>
      <c r="AF20" s="125">
        <f>AA11*1</f>
        <v>150</v>
      </c>
      <c r="AK20" s="222">
        <f>AF11*1.2</f>
        <v>183.6</v>
      </c>
      <c r="AL20" s="222">
        <f t="shared" ref="AL20:BY20" si="6">AG11*1.2</f>
        <v>0</v>
      </c>
      <c r="AM20" s="222">
        <f t="shared" si="6"/>
        <v>0</v>
      </c>
      <c r="AN20" s="222">
        <f t="shared" si="6"/>
        <v>0</v>
      </c>
      <c r="AO20" s="222">
        <f t="shared" si="6"/>
        <v>0</v>
      </c>
      <c r="AP20" s="222">
        <f t="shared" si="6"/>
        <v>187.27199999999999</v>
      </c>
      <c r="AQ20" s="222">
        <f t="shared" si="6"/>
        <v>0</v>
      </c>
      <c r="AR20" s="222">
        <f t="shared" si="6"/>
        <v>0</v>
      </c>
      <c r="AS20" s="222">
        <f t="shared" si="6"/>
        <v>0</v>
      </c>
      <c r="AT20" s="222">
        <f t="shared" si="6"/>
        <v>0</v>
      </c>
      <c r="AU20" s="222">
        <f t="shared" si="6"/>
        <v>191.01744000000002</v>
      </c>
      <c r="AV20" s="222">
        <f t="shared" si="6"/>
        <v>0</v>
      </c>
      <c r="AW20" s="222">
        <f t="shared" si="6"/>
        <v>0</v>
      </c>
      <c r="AX20" s="222">
        <f t="shared" si="6"/>
        <v>0</v>
      </c>
      <c r="AY20" s="222">
        <f t="shared" si="6"/>
        <v>0</v>
      </c>
      <c r="AZ20" s="222">
        <f t="shared" si="6"/>
        <v>194.83778880000003</v>
      </c>
      <c r="BA20" s="222">
        <f t="shared" si="6"/>
        <v>0</v>
      </c>
      <c r="BB20" s="222">
        <f t="shared" si="6"/>
        <v>0</v>
      </c>
      <c r="BC20" s="222">
        <f t="shared" si="6"/>
        <v>0</v>
      </c>
      <c r="BD20" s="222">
        <f t="shared" si="6"/>
        <v>0</v>
      </c>
      <c r="BE20" s="222">
        <f t="shared" si="6"/>
        <v>198.73454457600005</v>
      </c>
      <c r="BF20" s="222">
        <f t="shared" si="6"/>
        <v>0</v>
      </c>
      <c r="BG20" s="222">
        <f t="shared" si="6"/>
        <v>0</v>
      </c>
      <c r="BH20" s="222">
        <f t="shared" si="6"/>
        <v>0</v>
      </c>
      <c r="BI20" s="222">
        <f t="shared" si="6"/>
        <v>0</v>
      </c>
      <c r="BJ20" s="222">
        <f t="shared" si="6"/>
        <v>202.70923546752005</v>
      </c>
      <c r="BK20" s="222">
        <f t="shared" si="6"/>
        <v>0</v>
      </c>
      <c r="BL20" s="222">
        <f t="shared" si="6"/>
        <v>0</v>
      </c>
      <c r="BM20" s="222">
        <f t="shared" si="6"/>
        <v>0</v>
      </c>
      <c r="BN20" s="222">
        <f t="shared" si="6"/>
        <v>0</v>
      </c>
      <c r="BO20" s="222">
        <f t="shared" si="6"/>
        <v>206.76342017687048</v>
      </c>
      <c r="BP20" s="222">
        <f t="shared" si="6"/>
        <v>0</v>
      </c>
      <c r="BQ20" s="222">
        <f t="shared" si="6"/>
        <v>0</v>
      </c>
      <c r="BR20" s="222">
        <f t="shared" si="6"/>
        <v>0</v>
      </c>
      <c r="BS20" s="222">
        <f t="shared" si="6"/>
        <v>0</v>
      </c>
      <c r="BT20" s="222">
        <f t="shared" si="6"/>
        <v>210.89868858040788</v>
      </c>
      <c r="BU20" s="222">
        <f t="shared" si="6"/>
        <v>0</v>
      </c>
      <c r="BV20" s="222">
        <f t="shared" si="6"/>
        <v>0</v>
      </c>
      <c r="BW20" s="222">
        <f t="shared" si="6"/>
        <v>0</v>
      </c>
      <c r="BX20" s="222">
        <f t="shared" si="6"/>
        <v>0</v>
      </c>
      <c r="BY20" s="222">
        <f t="shared" si="6"/>
        <v>215.11666235201605</v>
      </c>
    </row>
    <row r="21" spans="2:77">
      <c r="B21" s="1057" t="s">
        <v>879</v>
      </c>
      <c r="M21" s="907">
        <f>Q21</f>
        <v>0.5</v>
      </c>
      <c r="N21" s="907">
        <f>M21</f>
        <v>0.5</v>
      </c>
      <c r="O21" s="910">
        <f t="shared" ref="O21" si="7">N21</f>
        <v>0.5</v>
      </c>
      <c r="P21" s="910">
        <f t="shared" ref="P21" si="8">O21</f>
        <v>0.5</v>
      </c>
      <c r="Q21" s="187">
        <v>0.5</v>
      </c>
      <c r="V21" s="187">
        <f>Q21</f>
        <v>0.5</v>
      </c>
      <c r="AA21" s="187">
        <f>V21</f>
        <v>0.5</v>
      </c>
      <c r="AF21" s="187">
        <f>AA21</f>
        <v>0.5</v>
      </c>
      <c r="AK21" s="187">
        <f>AF21</f>
        <v>0.5</v>
      </c>
      <c r="AP21" s="187">
        <f>AK21</f>
        <v>0.5</v>
      </c>
      <c r="AU21" s="187">
        <f>AP21</f>
        <v>0.5</v>
      </c>
      <c r="AZ21" s="187">
        <f>AU21</f>
        <v>0.5</v>
      </c>
      <c r="BE21" s="187">
        <f>AZ21</f>
        <v>0.5</v>
      </c>
      <c r="BJ21" s="187">
        <f>BE21</f>
        <v>0.5</v>
      </c>
      <c r="BO21" s="187">
        <f>BJ21</f>
        <v>0.5</v>
      </c>
      <c r="BT21" s="187">
        <f>BO21</f>
        <v>0.5</v>
      </c>
      <c r="BY21" s="187">
        <f>BT21</f>
        <v>0.5</v>
      </c>
    </row>
    <row r="22" spans="2:77">
      <c r="B22" s="1084" t="s">
        <v>881</v>
      </c>
      <c r="C22" s="272"/>
      <c r="D22" s="272"/>
      <c r="E22" s="272"/>
      <c r="F22" s="272"/>
      <c r="G22" s="272"/>
      <c r="H22" s="272"/>
      <c r="I22" s="272"/>
      <c r="J22" s="272"/>
      <c r="K22" s="272"/>
      <c r="L22" s="272"/>
      <c r="M22" s="1085"/>
      <c r="N22" s="1085"/>
      <c r="O22" s="1085"/>
      <c r="P22" s="1085"/>
      <c r="Q22" s="272"/>
      <c r="R22" s="272"/>
      <c r="S22" s="272"/>
      <c r="T22" s="272"/>
      <c r="U22" s="272"/>
      <c r="V22" s="1087">
        <f>(V18-V19-V20)*V21</f>
        <v>-16.5625</v>
      </c>
      <c r="W22" s="1087">
        <f t="shared" ref="W22:BY22" si="9">(W18-W19-W20)*W21</f>
        <v>0</v>
      </c>
      <c r="X22" s="1087">
        <f t="shared" si="9"/>
        <v>0</v>
      </c>
      <c r="Y22" s="1087">
        <f t="shared" si="9"/>
        <v>0</v>
      </c>
      <c r="Z22" s="1087">
        <f t="shared" si="9"/>
        <v>0</v>
      </c>
      <c r="AA22" s="1087">
        <f t="shared" si="9"/>
        <v>-0.71875</v>
      </c>
      <c r="AB22" s="1087">
        <f t="shared" si="9"/>
        <v>0</v>
      </c>
      <c r="AC22" s="1087">
        <f t="shared" si="9"/>
        <v>0</v>
      </c>
      <c r="AD22" s="1087">
        <f t="shared" si="9"/>
        <v>0</v>
      </c>
      <c r="AE22" s="1087">
        <f t="shared" si="9"/>
        <v>0</v>
      </c>
      <c r="AF22" s="1087">
        <f t="shared" si="9"/>
        <v>56.675624999999997</v>
      </c>
      <c r="AG22" s="1087">
        <f t="shared" si="9"/>
        <v>0</v>
      </c>
      <c r="AH22" s="1087">
        <f t="shared" si="9"/>
        <v>0</v>
      </c>
      <c r="AI22" s="1087">
        <f t="shared" si="9"/>
        <v>0</v>
      </c>
      <c r="AJ22" s="1087">
        <f t="shared" si="9"/>
        <v>0</v>
      </c>
      <c r="AK22" s="1087">
        <f t="shared" si="9"/>
        <v>57.432374999999993</v>
      </c>
      <c r="AL22" s="1087">
        <f t="shared" si="9"/>
        <v>0</v>
      </c>
      <c r="AM22" s="1087">
        <f t="shared" si="9"/>
        <v>0</v>
      </c>
      <c r="AN22" s="1087">
        <f t="shared" si="9"/>
        <v>0</v>
      </c>
      <c r="AO22" s="1087">
        <f t="shared" si="9"/>
        <v>0</v>
      </c>
      <c r="AP22" s="1087">
        <f t="shared" si="9"/>
        <v>73.80272475000001</v>
      </c>
      <c r="AQ22" s="1087">
        <f t="shared" si="9"/>
        <v>0</v>
      </c>
      <c r="AR22" s="1087">
        <f t="shared" si="9"/>
        <v>0</v>
      </c>
      <c r="AS22" s="1087">
        <f t="shared" si="9"/>
        <v>0</v>
      </c>
      <c r="AT22" s="1087">
        <f t="shared" si="9"/>
        <v>0</v>
      </c>
      <c r="AU22" s="1087">
        <f t="shared" si="9"/>
        <v>90.804915539999996</v>
      </c>
      <c r="AV22" s="1087">
        <f t="shared" si="9"/>
        <v>0</v>
      </c>
      <c r="AW22" s="1087">
        <f t="shared" si="9"/>
        <v>0</v>
      </c>
      <c r="AX22" s="1087">
        <f t="shared" si="9"/>
        <v>0</v>
      </c>
      <c r="AY22" s="1087">
        <f t="shared" si="9"/>
        <v>0</v>
      </c>
      <c r="AZ22" s="1087">
        <f t="shared" si="9"/>
        <v>108.45767287169998</v>
      </c>
      <c r="BA22" s="1087">
        <f t="shared" si="9"/>
        <v>0</v>
      </c>
      <c r="BB22" s="1087">
        <f t="shared" si="9"/>
        <v>0</v>
      </c>
      <c r="BC22" s="1087">
        <f t="shared" si="9"/>
        <v>0</v>
      </c>
      <c r="BD22" s="1087">
        <f t="shared" si="9"/>
        <v>0</v>
      </c>
      <c r="BE22" s="1087">
        <f t="shared" si="9"/>
        <v>110.62682632913395</v>
      </c>
      <c r="BF22" s="1087">
        <f t="shared" si="9"/>
        <v>0</v>
      </c>
      <c r="BG22" s="1087">
        <f t="shared" si="9"/>
        <v>0</v>
      </c>
      <c r="BH22" s="1087">
        <f t="shared" si="9"/>
        <v>0</v>
      </c>
      <c r="BI22" s="1087">
        <f t="shared" si="9"/>
        <v>0</v>
      </c>
      <c r="BJ22" s="1087">
        <f t="shared" si="9"/>
        <v>112.83936285571667</v>
      </c>
      <c r="BK22" s="1087">
        <f t="shared" si="9"/>
        <v>0</v>
      </c>
      <c r="BL22" s="1087">
        <f t="shared" si="9"/>
        <v>0</v>
      </c>
      <c r="BM22" s="1087">
        <f t="shared" si="9"/>
        <v>0</v>
      </c>
      <c r="BN22" s="1087">
        <f t="shared" si="9"/>
        <v>0</v>
      </c>
      <c r="BO22" s="1087">
        <f t="shared" si="9"/>
        <v>115.09615011283095</v>
      </c>
      <c r="BP22" s="1087">
        <f t="shared" si="9"/>
        <v>0</v>
      </c>
      <c r="BQ22" s="1087">
        <f t="shared" si="9"/>
        <v>0</v>
      </c>
      <c r="BR22" s="1087">
        <f t="shared" si="9"/>
        <v>0</v>
      </c>
      <c r="BS22" s="1087">
        <f t="shared" si="9"/>
        <v>0</v>
      </c>
      <c r="BT22" s="1087">
        <f t="shared" si="9"/>
        <v>117.3980731150876</v>
      </c>
      <c r="BU22" s="1087">
        <f t="shared" si="9"/>
        <v>0</v>
      </c>
      <c r="BV22" s="1087">
        <f t="shared" si="9"/>
        <v>0</v>
      </c>
      <c r="BW22" s="1087">
        <f t="shared" si="9"/>
        <v>0</v>
      </c>
      <c r="BX22" s="1087">
        <f t="shared" si="9"/>
        <v>0</v>
      </c>
      <c r="BY22" s="1087">
        <f t="shared" si="9"/>
        <v>119.74603457738932</v>
      </c>
    </row>
    <row r="23" spans="2:77">
      <c r="M23" s="899"/>
      <c r="N23" s="899"/>
      <c r="O23" s="899"/>
      <c r="P23" s="899"/>
    </row>
    <row r="24" spans="2:77" s="132" customFormat="1">
      <c r="B24" s="173" t="s">
        <v>882</v>
      </c>
      <c r="C24" s="173"/>
      <c r="D24" s="173"/>
      <c r="E24" s="173"/>
      <c r="F24" s="173"/>
      <c r="G24" s="173"/>
      <c r="H24" s="173"/>
      <c r="I24" s="173"/>
      <c r="J24" s="173"/>
      <c r="K24" s="173"/>
      <c r="L24" s="173"/>
      <c r="M24" s="1088">
        <f t="shared" ref="M24:AR24" si="10">M22+M15</f>
        <v>0</v>
      </c>
      <c r="N24" s="1091">
        <f t="shared" si="10"/>
        <v>-2.5</v>
      </c>
      <c r="O24" s="1091">
        <f t="shared" si="10"/>
        <v>-10.5</v>
      </c>
      <c r="P24" s="1091">
        <f t="shared" si="10"/>
        <v>5.1875</v>
      </c>
      <c r="Q24" s="225">
        <f t="shared" si="10"/>
        <v>-7.8125</v>
      </c>
      <c r="R24" s="225">
        <f t="shared" si="10"/>
        <v>0</v>
      </c>
      <c r="S24" s="225">
        <f t="shared" si="10"/>
        <v>0</v>
      </c>
      <c r="T24" s="225">
        <f t="shared" si="10"/>
        <v>0</v>
      </c>
      <c r="U24" s="225">
        <f t="shared" si="10"/>
        <v>0</v>
      </c>
      <c r="V24" s="225">
        <f t="shared" si="10"/>
        <v>28.515625</v>
      </c>
      <c r="W24" s="225">
        <f t="shared" si="10"/>
        <v>0</v>
      </c>
      <c r="X24" s="225">
        <f t="shared" si="10"/>
        <v>0</v>
      </c>
      <c r="Y24" s="225">
        <f t="shared" si="10"/>
        <v>0</v>
      </c>
      <c r="Z24" s="225">
        <f t="shared" si="10"/>
        <v>0</v>
      </c>
      <c r="AA24" s="225">
        <f t="shared" si="10"/>
        <v>187.63249999999999</v>
      </c>
      <c r="AB24" s="225">
        <f t="shared" si="10"/>
        <v>0</v>
      </c>
      <c r="AC24" s="225">
        <f t="shared" si="10"/>
        <v>0</v>
      </c>
      <c r="AD24" s="225">
        <f t="shared" si="10"/>
        <v>0</v>
      </c>
      <c r="AE24" s="225">
        <f t="shared" si="10"/>
        <v>0</v>
      </c>
      <c r="AF24" s="225">
        <f t="shared" si="10"/>
        <v>278.64037499999995</v>
      </c>
      <c r="AG24" s="225">
        <f t="shared" si="10"/>
        <v>0</v>
      </c>
      <c r="AH24" s="225">
        <f t="shared" si="10"/>
        <v>0</v>
      </c>
      <c r="AI24" s="225">
        <f t="shared" si="10"/>
        <v>0</v>
      </c>
      <c r="AJ24" s="225">
        <f t="shared" si="10"/>
        <v>0</v>
      </c>
      <c r="AK24" s="225">
        <f t="shared" si="10"/>
        <v>283.83641999999998</v>
      </c>
      <c r="AL24" s="225">
        <f t="shared" si="10"/>
        <v>0</v>
      </c>
      <c r="AM24" s="225">
        <f t="shared" si="10"/>
        <v>0</v>
      </c>
      <c r="AN24" s="225">
        <f t="shared" si="10"/>
        <v>0</v>
      </c>
      <c r="AO24" s="225">
        <f t="shared" si="10"/>
        <v>0</v>
      </c>
      <c r="AP24" s="225">
        <f t="shared" si="10"/>
        <v>304.73485065</v>
      </c>
      <c r="AQ24" s="225">
        <f t="shared" si="10"/>
        <v>0</v>
      </c>
      <c r="AR24" s="225">
        <f t="shared" si="10"/>
        <v>0</v>
      </c>
      <c r="AS24" s="225">
        <f t="shared" ref="AS24:BY24" si="11">AS22+AS15</f>
        <v>0</v>
      </c>
      <c r="AT24" s="225">
        <f t="shared" si="11"/>
        <v>0</v>
      </c>
      <c r="AU24" s="225">
        <f t="shared" si="11"/>
        <v>326.35568395799999</v>
      </c>
      <c r="AV24" s="225">
        <f t="shared" si="11"/>
        <v>0</v>
      </c>
      <c r="AW24" s="225">
        <f t="shared" si="11"/>
        <v>0</v>
      </c>
      <c r="AX24" s="225">
        <f t="shared" si="11"/>
        <v>0</v>
      </c>
      <c r="AY24" s="225">
        <f t="shared" si="11"/>
        <v>0</v>
      </c>
      <c r="AZ24" s="225">
        <f t="shared" si="11"/>
        <v>348.71945665805987</v>
      </c>
      <c r="BA24" s="225">
        <f t="shared" si="11"/>
        <v>0</v>
      </c>
      <c r="BB24" s="225">
        <f t="shared" si="11"/>
        <v>0</v>
      </c>
      <c r="BC24" s="225">
        <f t="shared" si="11"/>
        <v>0</v>
      </c>
      <c r="BD24" s="225">
        <f t="shared" si="11"/>
        <v>0</v>
      </c>
      <c r="BE24" s="225">
        <f t="shared" si="11"/>
        <v>355.69384579122112</v>
      </c>
      <c r="BF24" s="225">
        <f t="shared" si="11"/>
        <v>0</v>
      </c>
      <c r="BG24" s="225">
        <f t="shared" si="11"/>
        <v>0</v>
      </c>
      <c r="BH24" s="225">
        <f t="shared" si="11"/>
        <v>0</v>
      </c>
      <c r="BI24" s="225">
        <f t="shared" si="11"/>
        <v>0</v>
      </c>
      <c r="BJ24" s="225">
        <f t="shared" si="11"/>
        <v>362.80772270704557</v>
      </c>
      <c r="BK24" s="225">
        <f t="shared" si="11"/>
        <v>0</v>
      </c>
      <c r="BL24" s="225">
        <f t="shared" si="11"/>
        <v>0</v>
      </c>
      <c r="BM24" s="225">
        <f t="shared" si="11"/>
        <v>0</v>
      </c>
      <c r="BN24" s="225">
        <f t="shared" si="11"/>
        <v>0</v>
      </c>
      <c r="BO24" s="225">
        <f t="shared" si="11"/>
        <v>370.06387716118644</v>
      </c>
      <c r="BP24" s="225">
        <f t="shared" si="11"/>
        <v>0</v>
      </c>
      <c r="BQ24" s="225">
        <f t="shared" si="11"/>
        <v>0</v>
      </c>
      <c r="BR24" s="225">
        <f t="shared" si="11"/>
        <v>0</v>
      </c>
      <c r="BS24" s="225">
        <f t="shared" si="11"/>
        <v>0</v>
      </c>
      <c r="BT24" s="225">
        <f t="shared" si="11"/>
        <v>377.46515470441017</v>
      </c>
      <c r="BU24" s="225">
        <f t="shared" si="11"/>
        <v>0</v>
      </c>
      <c r="BV24" s="225">
        <f t="shared" si="11"/>
        <v>0</v>
      </c>
      <c r="BW24" s="225">
        <f t="shared" si="11"/>
        <v>0</v>
      </c>
      <c r="BX24" s="225">
        <f t="shared" si="11"/>
        <v>0</v>
      </c>
      <c r="BY24" s="225">
        <f t="shared" si="11"/>
        <v>385.01445779849831</v>
      </c>
    </row>
    <row r="25" spans="2:77">
      <c r="M25" s="899"/>
      <c r="N25" s="899"/>
      <c r="O25" s="899"/>
      <c r="P25" s="899"/>
    </row>
    <row r="26" spans="2:77">
      <c r="M26" s="899"/>
      <c r="N26" s="899"/>
      <c r="O26" s="899"/>
      <c r="P26" s="899"/>
    </row>
    <row r="27" spans="2:77">
      <c r="M27" s="899"/>
      <c r="N27" s="899"/>
      <c r="O27" s="899"/>
      <c r="P27" s="899"/>
    </row>
    <row r="28" spans="2:77">
      <c r="M28" s="899"/>
      <c r="N28" s="899"/>
      <c r="O28" s="899"/>
      <c r="P28" s="899"/>
    </row>
    <row r="29" spans="2:77">
      <c r="B29" s="125" t="s">
        <v>898</v>
      </c>
      <c r="M29" s="899"/>
      <c r="N29" s="899"/>
      <c r="O29" s="899"/>
      <c r="P29" s="899"/>
    </row>
    <row r="30" spans="2:77">
      <c r="M30" s="899"/>
      <c r="N30" s="899"/>
      <c r="O30" s="899"/>
      <c r="P30" s="899"/>
    </row>
    <row r="31" spans="2:77">
      <c r="B31" s="125" t="s">
        <v>899</v>
      </c>
      <c r="M31" s="904">
        <f>M8</f>
        <v>0</v>
      </c>
      <c r="N31" s="904">
        <f t="shared" ref="N31:BY31" si="12">N8</f>
        <v>0</v>
      </c>
      <c r="O31" s="904">
        <f t="shared" si="12"/>
        <v>10</v>
      </c>
      <c r="P31" s="904">
        <f t="shared" si="12"/>
        <v>83.75</v>
      </c>
      <c r="Q31" s="1098">
        <f t="shared" si="12"/>
        <v>93.75</v>
      </c>
      <c r="R31" s="1098">
        <f t="shared" si="12"/>
        <v>0</v>
      </c>
      <c r="S31" s="1098">
        <f t="shared" si="12"/>
        <v>0</v>
      </c>
      <c r="T31" s="1098">
        <f t="shared" si="12"/>
        <v>0</v>
      </c>
      <c r="U31" s="1098">
        <f t="shared" si="12"/>
        <v>0</v>
      </c>
      <c r="V31" s="1098">
        <f t="shared" si="12"/>
        <v>239.0625</v>
      </c>
      <c r="W31" s="1098">
        <f t="shared" si="12"/>
        <v>0</v>
      </c>
      <c r="X31" s="1098">
        <f t="shared" si="12"/>
        <v>0</v>
      </c>
      <c r="Y31" s="1098">
        <f t="shared" si="12"/>
        <v>0</v>
      </c>
      <c r="Z31" s="1098">
        <f t="shared" si="12"/>
        <v>0</v>
      </c>
      <c r="AA31" s="1098">
        <f t="shared" si="12"/>
        <v>585.22500000000002</v>
      </c>
      <c r="AB31" s="1098">
        <f t="shared" si="12"/>
        <v>0</v>
      </c>
      <c r="AC31" s="1098">
        <f t="shared" si="12"/>
        <v>0</v>
      </c>
      <c r="AD31" s="1098">
        <f t="shared" si="12"/>
        <v>0</v>
      </c>
      <c r="AE31" s="1098">
        <f t="shared" si="12"/>
        <v>0</v>
      </c>
      <c r="AF31" s="1098">
        <f t="shared" si="12"/>
        <v>663.255</v>
      </c>
      <c r="AG31" s="1098">
        <f t="shared" si="12"/>
        <v>0</v>
      </c>
      <c r="AH31" s="1098">
        <f t="shared" si="12"/>
        <v>0</v>
      </c>
      <c r="AI31" s="1098">
        <f t="shared" si="12"/>
        <v>0</v>
      </c>
      <c r="AJ31" s="1098">
        <f t="shared" si="12"/>
        <v>0</v>
      </c>
      <c r="AK31" s="1098">
        <f t="shared" si="12"/>
        <v>676.52009999999996</v>
      </c>
      <c r="AL31" s="1098">
        <f t="shared" si="12"/>
        <v>0</v>
      </c>
      <c r="AM31" s="1098">
        <f t="shared" si="12"/>
        <v>0</v>
      </c>
      <c r="AN31" s="1098">
        <f t="shared" si="12"/>
        <v>0</v>
      </c>
      <c r="AO31" s="1098">
        <f t="shared" si="12"/>
        <v>0</v>
      </c>
      <c r="AP31" s="1098">
        <f t="shared" si="12"/>
        <v>690.05050200000005</v>
      </c>
      <c r="AQ31" s="1098">
        <f t="shared" si="12"/>
        <v>0</v>
      </c>
      <c r="AR31" s="1098">
        <f t="shared" si="12"/>
        <v>0</v>
      </c>
      <c r="AS31" s="1098">
        <f t="shared" si="12"/>
        <v>0</v>
      </c>
      <c r="AT31" s="1098">
        <f t="shared" si="12"/>
        <v>0</v>
      </c>
      <c r="AU31" s="1098">
        <f t="shared" si="12"/>
        <v>703.85151203999999</v>
      </c>
      <c r="AV31" s="1098">
        <f t="shared" si="12"/>
        <v>0</v>
      </c>
      <c r="AW31" s="1098">
        <f t="shared" si="12"/>
        <v>0</v>
      </c>
      <c r="AX31" s="1098">
        <f t="shared" si="12"/>
        <v>0</v>
      </c>
      <c r="AY31" s="1098">
        <f t="shared" si="12"/>
        <v>0</v>
      </c>
      <c r="AZ31" s="1098">
        <f t="shared" si="12"/>
        <v>717.92854228079989</v>
      </c>
      <c r="BA31" s="1098">
        <f t="shared" si="12"/>
        <v>0</v>
      </c>
      <c r="BB31" s="1098">
        <f t="shared" si="12"/>
        <v>0</v>
      </c>
      <c r="BC31" s="1098">
        <f t="shared" si="12"/>
        <v>0</v>
      </c>
      <c r="BD31" s="1098">
        <f t="shared" si="12"/>
        <v>0</v>
      </c>
      <c r="BE31" s="1098">
        <f t="shared" si="12"/>
        <v>732.28711312641599</v>
      </c>
      <c r="BF31" s="1098">
        <f t="shared" si="12"/>
        <v>0</v>
      </c>
      <c r="BG31" s="1098">
        <f t="shared" si="12"/>
        <v>0</v>
      </c>
      <c r="BH31" s="1098">
        <f t="shared" si="12"/>
        <v>0</v>
      </c>
      <c r="BI31" s="1098">
        <f t="shared" si="12"/>
        <v>0</v>
      </c>
      <c r="BJ31" s="1098">
        <f t="shared" si="12"/>
        <v>746.93285538894429</v>
      </c>
      <c r="BK31" s="1098">
        <f t="shared" si="12"/>
        <v>0</v>
      </c>
      <c r="BL31" s="1098">
        <f t="shared" si="12"/>
        <v>0</v>
      </c>
      <c r="BM31" s="1098">
        <f t="shared" si="12"/>
        <v>0</v>
      </c>
      <c r="BN31" s="1098">
        <f t="shared" si="12"/>
        <v>0</v>
      </c>
      <c r="BO31" s="1098">
        <f t="shared" si="12"/>
        <v>761.8715124967232</v>
      </c>
      <c r="BP31" s="1098">
        <f t="shared" si="12"/>
        <v>0</v>
      </c>
      <c r="BQ31" s="1098">
        <f t="shared" si="12"/>
        <v>0</v>
      </c>
      <c r="BR31" s="1098">
        <f t="shared" si="12"/>
        <v>0</v>
      </c>
      <c r="BS31" s="1098">
        <f t="shared" si="12"/>
        <v>0</v>
      </c>
      <c r="BT31" s="1098">
        <f t="shared" si="12"/>
        <v>777.10894274665759</v>
      </c>
      <c r="BU31" s="1098">
        <f t="shared" si="12"/>
        <v>0</v>
      </c>
      <c r="BV31" s="1098">
        <f t="shared" si="12"/>
        <v>0</v>
      </c>
      <c r="BW31" s="1098">
        <f t="shared" si="12"/>
        <v>0</v>
      </c>
      <c r="BX31" s="1098">
        <f t="shared" si="12"/>
        <v>0</v>
      </c>
      <c r="BY31" s="1098">
        <f t="shared" si="12"/>
        <v>792.65112160159072</v>
      </c>
    </row>
    <row r="32" spans="2:77">
      <c r="B32" s="125" t="s">
        <v>900</v>
      </c>
      <c r="M32" s="904">
        <f t="shared" ref="M32:P32" si="13">M10+(M8-M10)*0.5</f>
        <v>0</v>
      </c>
      <c r="N32" s="904">
        <f t="shared" si="13"/>
        <v>0</v>
      </c>
      <c r="O32" s="904">
        <f t="shared" si="13"/>
        <v>5.5</v>
      </c>
      <c r="P32" s="904">
        <f t="shared" si="13"/>
        <v>46.0625</v>
      </c>
      <c r="Q32" s="223">
        <f>Q10+(Q8-Q10)*0.5</f>
        <v>51.5625</v>
      </c>
      <c r="R32" s="223">
        <f t="shared" ref="R32:BY32" si="14">R10+(R8-R10)*0.5</f>
        <v>0</v>
      </c>
      <c r="S32" s="223">
        <f t="shared" si="14"/>
        <v>0</v>
      </c>
      <c r="T32" s="223">
        <f t="shared" si="14"/>
        <v>0</v>
      </c>
      <c r="U32" s="223">
        <f t="shared" si="14"/>
        <v>0</v>
      </c>
      <c r="V32" s="223">
        <f t="shared" si="14"/>
        <v>131.484375</v>
      </c>
      <c r="W32" s="223">
        <f t="shared" si="14"/>
        <v>0</v>
      </c>
      <c r="X32" s="223">
        <f t="shared" si="14"/>
        <v>0</v>
      </c>
      <c r="Y32" s="223">
        <f t="shared" si="14"/>
        <v>0</v>
      </c>
      <c r="Z32" s="223">
        <f t="shared" si="14"/>
        <v>0</v>
      </c>
      <c r="AA32" s="223">
        <f t="shared" si="14"/>
        <v>321.87374999999997</v>
      </c>
      <c r="AB32" s="223">
        <f t="shared" si="14"/>
        <v>0</v>
      </c>
      <c r="AC32" s="223">
        <f t="shared" si="14"/>
        <v>0</v>
      </c>
      <c r="AD32" s="223">
        <f t="shared" si="14"/>
        <v>0</v>
      </c>
      <c r="AE32" s="223">
        <f t="shared" si="14"/>
        <v>0</v>
      </c>
      <c r="AF32" s="223">
        <f t="shared" si="14"/>
        <v>364.79025000000001</v>
      </c>
      <c r="AG32" s="223">
        <f t="shared" si="14"/>
        <v>0</v>
      </c>
      <c r="AH32" s="223">
        <f t="shared" si="14"/>
        <v>0</v>
      </c>
      <c r="AI32" s="223">
        <f t="shared" si="14"/>
        <v>0</v>
      </c>
      <c r="AJ32" s="223">
        <f t="shared" si="14"/>
        <v>0</v>
      </c>
      <c r="AK32" s="223">
        <f t="shared" si="14"/>
        <v>372.08605499999999</v>
      </c>
      <c r="AL32" s="223">
        <f t="shared" si="14"/>
        <v>0</v>
      </c>
      <c r="AM32" s="223">
        <f t="shared" si="14"/>
        <v>0</v>
      </c>
      <c r="AN32" s="223">
        <f t="shared" si="14"/>
        <v>0</v>
      </c>
      <c r="AO32" s="223">
        <f t="shared" si="14"/>
        <v>0</v>
      </c>
      <c r="AP32" s="223">
        <f t="shared" si="14"/>
        <v>379.52777610000004</v>
      </c>
      <c r="AQ32" s="223">
        <f t="shared" si="14"/>
        <v>0</v>
      </c>
      <c r="AR32" s="223">
        <f t="shared" si="14"/>
        <v>0</v>
      </c>
      <c r="AS32" s="223">
        <f t="shared" si="14"/>
        <v>0</v>
      </c>
      <c r="AT32" s="223">
        <f t="shared" si="14"/>
        <v>0</v>
      </c>
      <c r="AU32" s="223">
        <f t="shared" si="14"/>
        <v>387.11833162200003</v>
      </c>
      <c r="AV32" s="223">
        <f t="shared" si="14"/>
        <v>0</v>
      </c>
      <c r="AW32" s="223">
        <f t="shared" si="14"/>
        <v>0</v>
      </c>
      <c r="AX32" s="223">
        <f t="shared" si="14"/>
        <v>0</v>
      </c>
      <c r="AY32" s="223">
        <f t="shared" si="14"/>
        <v>0</v>
      </c>
      <c r="AZ32" s="223">
        <f t="shared" si="14"/>
        <v>394.86069825443991</v>
      </c>
      <c r="BA32" s="223">
        <f t="shared" si="14"/>
        <v>0</v>
      </c>
      <c r="BB32" s="223">
        <f t="shared" si="14"/>
        <v>0</v>
      </c>
      <c r="BC32" s="223">
        <f t="shared" si="14"/>
        <v>0</v>
      </c>
      <c r="BD32" s="223">
        <f t="shared" si="14"/>
        <v>0</v>
      </c>
      <c r="BE32" s="223">
        <f t="shared" si="14"/>
        <v>402.75791221952881</v>
      </c>
      <c r="BF32" s="223">
        <f t="shared" si="14"/>
        <v>0</v>
      </c>
      <c r="BG32" s="223">
        <f t="shared" si="14"/>
        <v>0</v>
      </c>
      <c r="BH32" s="223">
        <f t="shared" si="14"/>
        <v>0</v>
      </c>
      <c r="BI32" s="223">
        <f t="shared" si="14"/>
        <v>0</v>
      </c>
      <c r="BJ32" s="223">
        <f t="shared" si="14"/>
        <v>410.81307046391936</v>
      </c>
      <c r="BK32" s="223">
        <f t="shared" si="14"/>
        <v>0</v>
      </c>
      <c r="BL32" s="223">
        <f t="shared" si="14"/>
        <v>0</v>
      </c>
      <c r="BM32" s="223">
        <f t="shared" si="14"/>
        <v>0</v>
      </c>
      <c r="BN32" s="223">
        <f t="shared" si="14"/>
        <v>0</v>
      </c>
      <c r="BO32" s="223">
        <f t="shared" si="14"/>
        <v>419.02933187319775</v>
      </c>
      <c r="BP32" s="223">
        <f t="shared" si="14"/>
        <v>0</v>
      </c>
      <c r="BQ32" s="223">
        <f t="shared" si="14"/>
        <v>0</v>
      </c>
      <c r="BR32" s="223">
        <f t="shared" si="14"/>
        <v>0</v>
      </c>
      <c r="BS32" s="223">
        <f t="shared" si="14"/>
        <v>0</v>
      </c>
      <c r="BT32" s="223">
        <f t="shared" si="14"/>
        <v>427.40991851066167</v>
      </c>
      <c r="BU32" s="223">
        <f t="shared" si="14"/>
        <v>0</v>
      </c>
      <c r="BV32" s="223">
        <f t="shared" si="14"/>
        <v>0</v>
      </c>
      <c r="BW32" s="223">
        <f t="shared" si="14"/>
        <v>0</v>
      </c>
      <c r="BX32" s="223">
        <f t="shared" si="14"/>
        <v>0</v>
      </c>
      <c r="BY32" s="223">
        <f t="shared" si="14"/>
        <v>435.95811688087485</v>
      </c>
    </row>
    <row r="33" spans="2:79">
      <c r="B33" s="125" t="s">
        <v>901</v>
      </c>
      <c r="M33" s="904">
        <f>M11*0.5</f>
        <v>0</v>
      </c>
      <c r="N33" s="904">
        <f t="shared" ref="N33:BY33" si="15">N11*0.5</f>
        <v>2.5</v>
      </c>
      <c r="O33" s="904">
        <f t="shared" si="15"/>
        <v>15</v>
      </c>
      <c r="P33" s="904">
        <f t="shared" si="15"/>
        <v>32.5</v>
      </c>
      <c r="Q33" s="223">
        <f t="shared" si="15"/>
        <v>50</v>
      </c>
      <c r="R33" s="223">
        <f t="shared" si="15"/>
        <v>0</v>
      </c>
      <c r="S33" s="223">
        <f t="shared" si="15"/>
        <v>0</v>
      </c>
      <c r="T33" s="223">
        <f t="shared" si="15"/>
        <v>0</v>
      </c>
      <c r="U33" s="223">
        <f t="shared" si="15"/>
        <v>0</v>
      </c>
      <c r="V33" s="223">
        <f t="shared" si="15"/>
        <v>62.5</v>
      </c>
      <c r="W33" s="223">
        <f t="shared" si="15"/>
        <v>0</v>
      </c>
      <c r="X33" s="223">
        <f t="shared" si="15"/>
        <v>0</v>
      </c>
      <c r="Y33" s="223">
        <f t="shared" si="15"/>
        <v>0</v>
      </c>
      <c r="Z33" s="223">
        <f t="shared" si="15"/>
        <v>0</v>
      </c>
      <c r="AA33" s="223">
        <f t="shared" si="15"/>
        <v>75</v>
      </c>
      <c r="AB33" s="223">
        <f t="shared" si="15"/>
        <v>0</v>
      </c>
      <c r="AC33" s="223">
        <f t="shared" si="15"/>
        <v>0</v>
      </c>
      <c r="AD33" s="223">
        <f t="shared" si="15"/>
        <v>0</v>
      </c>
      <c r="AE33" s="223">
        <f t="shared" si="15"/>
        <v>0</v>
      </c>
      <c r="AF33" s="223">
        <f t="shared" si="15"/>
        <v>76.5</v>
      </c>
      <c r="AG33" s="223">
        <f t="shared" si="15"/>
        <v>0</v>
      </c>
      <c r="AH33" s="223">
        <f t="shared" si="15"/>
        <v>0</v>
      </c>
      <c r="AI33" s="223">
        <f t="shared" si="15"/>
        <v>0</v>
      </c>
      <c r="AJ33" s="223">
        <f t="shared" si="15"/>
        <v>0</v>
      </c>
      <c r="AK33" s="223">
        <f t="shared" si="15"/>
        <v>78.03</v>
      </c>
      <c r="AL33" s="223">
        <f t="shared" si="15"/>
        <v>0</v>
      </c>
      <c r="AM33" s="223">
        <f t="shared" si="15"/>
        <v>0</v>
      </c>
      <c r="AN33" s="223">
        <f t="shared" si="15"/>
        <v>0</v>
      </c>
      <c r="AO33" s="223">
        <f t="shared" si="15"/>
        <v>0</v>
      </c>
      <c r="AP33" s="223">
        <f t="shared" si="15"/>
        <v>79.590600000000009</v>
      </c>
      <c r="AQ33" s="223">
        <f t="shared" si="15"/>
        <v>0</v>
      </c>
      <c r="AR33" s="223">
        <f t="shared" si="15"/>
        <v>0</v>
      </c>
      <c r="AS33" s="223">
        <f t="shared" si="15"/>
        <v>0</v>
      </c>
      <c r="AT33" s="223">
        <f t="shared" si="15"/>
        <v>0</v>
      </c>
      <c r="AU33" s="223">
        <f t="shared" si="15"/>
        <v>81.182412000000014</v>
      </c>
      <c r="AV33" s="223">
        <f t="shared" si="15"/>
        <v>0</v>
      </c>
      <c r="AW33" s="223">
        <f t="shared" si="15"/>
        <v>0</v>
      </c>
      <c r="AX33" s="223">
        <f t="shared" si="15"/>
        <v>0</v>
      </c>
      <c r="AY33" s="223">
        <f t="shared" si="15"/>
        <v>0</v>
      </c>
      <c r="AZ33" s="223">
        <f t="shared" si="15"/>
        <v>82.806060240000022</v>
      </c>
      <c r="BA33" s="223">
        <f t="shared" si="15"/>
        <v>0</v>
      </c>
      <c r="BB33" s="223">
        <f t="shared" si="15"/>
        <v>0</v>
      </c>
      <c r="BC33" s="223">
        <f t="shared" si="15"/>
        <v>0</v>
      </c>
      <c r="BD33" s="223">
        <f t="shared" si="15"/>
        <v>0</v>
      </c>
      <c r="BE33" s="223">
        <f t="shared" si="15"/>
        <v>84.462181444800024</v>
      </c>
      <c r="BF33" s="223">
        <f t="shared" si="15"/>
        <v>0</v>
      </c>
      <c r="BG33" s="223">
        <f t="shared" si="15"/>
        <v>0</v>
      </c>
      <c r="BH33" s="223">
        <f t="shared" si="15"/>
        <v>0</v>
      </c>
      <c r="BI33" s="223">
        <f t="shared" si="15"/>
        <v>0</v>
      </c>
      <c r="BJ33" s="223">
        <f t="shared" si="15"/>
        <v>86.151425073696032</v>
      </c>
      <c r="BK33" s="223">
        <f t="shared" si="15"/>
        <v>0</v>
      </c>
      <c r="BL33" s="223">
        <f t="shared" si="15"/>
        <v>0</v>
      </c>
      <c r="BM33" s="223">
        <f t="shared" si="15"/>
        <v>0</v>
      </c>
      <c r="BN33" s="223">
        <f t="shared" si="15"/>
        <v>0</v>
      </c>
      <c r="BO33" s="223">
        <f t="shared" si="15"/>
        <v>87.874453575169952</v>
      </c>
      <c r="BP33" s="223">
        <f t="shared" si="15"/>
        <v>0</v>
      </c>
      <c r="BQ33" s="223">
        <f t="shared" si="15"/>
        <v>0</v>
      </c>
      <c r="BR33" s="223">
        <f t="shared" si="15"/>
        <v>0</v>
      </c>
      <c r="BS33" s="223">
        <f t="shared" si="15"/>
        <v>0</v>
      </c>
      <c r="BT33" s="223">
        <f t="shared" si="15"/>
        <v>89.631942646673352</v>
      </c>
      <c r="BU33" s="223">
        <f t="shared" si="15"/>
        <v>0</v>
      </c>
      <c r="BV33" s="223">
        <f t="shared" si="15"/>
        <v>0</v>
      </c>
      <c r="BW33" s="223">
        <f t="shared" si="15"/>
        <v>0</v>
      </c>
      <c r="BX33" s="223">
        <f t="shared" si="15"/>
        <v>0</v>
      </c>
      <c r="BY33" s="223">
        <f t="shared" si="15"/>
        <v>91.424581499606816</v>
      </c>
      <c r="CA33" s="223"/>
    </row>
    <row r="34" spans="2:79">
      <c r="B34" s="125" t="s">
        <v>902</v>
      </c>
      <c r="M34" s="904">
        <f>M22*0.5</f>
        <v>0</v>
      </c>
      <c r="N34" s="904">
        <f t="shared" ref="N34:BY34" si="16">N22*0.5</f>
        <v>0</v>
      </c>
      <c r="O34" s="904">
        <f t="shared" si="16"/>
        <v>0</v>
      </c>
      <c r="P34" s="904">
        <f t="shared" si="16"/>
        <v>0</v>
      </c>
      <c r="Q34" s="223">
        <f t="shared" si="16"/>
        <v>0</v>
      </c>
      <c r="R34" s="223">
        <f t="shared" si="16"/>
        <v>0</v>
      </c>
      <c r="S34" s="223">
        <f t="shared" si="16"/>
        <v>0</v>
      </c>
      <c r="T34" s="223">
        <f t="shared" si="16"/>
        <v>0</v>
      </c>
      <c r="U34" s="223">
        <f t="shared" si="16"/>
        <v>0</v>
      </c>
      <c r="V34" s="223">
        <f t="shared" si="16"/>
        <v>-8.28125</v>
      </c>
      <c r="W34" s="223">
        <f t="shared" si="16"/>
        <v>0</v>
      </c>
      <c r="X34" s="223">
        <f t="shared" si="16"/>
        <v>0</v>
      </c>
      <c r="Y34" s="223">
        <f t="shared" si="16"/>
        <v>0</v>
      </c>
      <c r="Z34" s="223">
        <f t="shared" si="16"/>
        <v>0</v>
      </c>
      <c r="AA34" s="223">
        <f t="shared" si="16"/>
        <v>-0.359375</v>
      </c>
      <c r="AB34" s="223">
        <f t="shared" si="16"/>
        <v>0</v>
      </c>
      <c r="AC34" s="223">
        <f t="shared" si="16"/>
        <v>0</v>
      </c>
      <c r="AD34" s="223">
        <f t="shared" si="16"/>
        <v>0</v>
      </c>
      <c r="AE34" s="223">
        <f t="shared" si="16"/>
        <v>0</v>
      </c>
      <c r="AF34" s="223">
        <f t="shared" si="16"/>
        <v>28.337812499999998</v>
      </c>
      <c r="AG34" s="223">
        <f t="shared" si="16"/>
        <v>0</v>
      </c>
      <c r="AH34" s="223">
        <f t="shared" si="16"/>
        <v>0</v>
      </c>
      <c r="AI34" s="223">
        <f t="shared" si="16"/>
        <v>0</v>
      </c>
      <c r="AJ34" s="223">
        <f t="shared" si="16"/>
        <v>0</v>
      </c>
      <c r="AK34" s="223">
        <f t="shared" si="16"/>
        <v>28.716187499999997</v>
      </c>
      <c r="AL34" s="223">
        <f t="shared" si="16"/>
        <v>0</v>
      </c>
      <c r="AM34" s="223">
        <f t="shared" si="16"/>
        <v>0</v>
      </c>
      <c r="AN34" s="223">
        <f t="shared" si="16"/>
        <v>0</v>
      </c>
      <c r="AO34" s="223">
        <f t="shared" si="16"/>
        <v>0</v>
      </c>
      <c r="AP34" s="223">
        <f t="shared" si="16"/>
        <v>36.901362375000005</v>
      </c>
      <c r="AQ34" s="223">
        <f t="shared" si="16"/>
        <v>0</v>
      </c>
      <c r="AR34" s="223">
        <f t="shared" si="16"/>
        <v>0</v>
      </c>
      <c r="AS34" s="223">
        <f t="shared" si="16"/>
        <v>0</v>
      </c>
      <c r="AT34" s="223">
        <f t="shared" si="16"/>
        <v>0</v>
      </c>
      <c r="AU34" s="223">
        <f t="shared" si="16"/>
        <v>45.402457769999998</v>
      </c>
      <c r="AV34" s="223">
        <f t="shared" si="16"/>
        <v>0</v>
      </c>
      <c r="AW34" s="223">
        <f t="shared" si="16"/>
        <v>0</v>
      </c>
      <c r="AX34" s="223">
        <f t="shared" si="16"/>
        <v>0</v>
      </c>
      <c r="AY34" s="223">
        <f t="shared" si="16"/>
        <v>0</v>
      </c>
      <c r="AZ34" s="223">
        <f t="shared" si="16"/>
        <v>54.228836435849992</v>
      </c>
      <c r="BA34" s="223">
        <f t="shared" si="16"/>
        <v>0</v>
      </c>
      <c r="BB34" s="223">
        <f t="shared" si="16"/>
        <v>0</v>
      </c>
      <c r="BC34" s="223">
        <f t="shared" si="16"/>
        <v>0</v>
      </c>
      <c r="BD34" s="223">
        <f t="shared" si="16"/>
        <v>0</v>
      </c>
      <c r="BE34" s="223">
        <f t="shared" si="16"/>
        <v>55.313413164566974</v>
      </c>
      <c r="BF34" s="223">
        <f t="shared" si="16"/>
        <v>0</v>
      </c>
      <c r="BG34" s="223">
        <f t="shared" si="16"/>
        <v>0</v>
      </c>
      <c r="BH34" s="223">
        <f t="shared" si="16"/>
        <v>0</v>
      </c>
      <c r="BI34" s="223">
        <f t="shared" si="16"/>
        <v>0</v>
      </c>
      <c r="BJ34" s="223">
        <f t="shared" si="16"/>
        <v>56.419681427858336</v>
      </c>
      <c r="BK34" s="223">
        <f t="shared" si="16"/>
        <v>0</v>
      </c>
      <c r="BL34" s="223">
        <f t="shared" si="16"/>
        <v>0</v>
      </c>
      <c r="BM34" s="223">
        <f t="shared" si="16"/>
        <v>0</v>
      </c>
      <c r="BN34" s="223">
        <f t="shared" si="16"/>
        <v>0</v>
      </c>
      <c r="BO34" s="223">
        <f t="shared" si="16"/>
        <v>57.548075056415477</v>
      </c>
      <c r="BP34" s="223">
        <f t="shared" si="16"/>
        <v>0</v>
      </c>
      <c r="BQ34" s="223">
        <f t="shared" si="16"/>
        <v>0</v>
      </c>
      <c r="BR34" s="223">
        <f t="shared" si="16"/>
        <v>0</v>
      </c>
      <c r="BS34" s="223">
        <f t="shared" si="16"/>
        <v>0</v>
      </c>
      <c r="BT34" s="223">
        <f t="shared" si="16"/>
        <v>58.699036557543799</v>
      </c>
      <c r="BU34" s="223">
        <f t="shared" si="16"/>
        <v>0</v>
      </c>
      <c r="BV34" s="223">
        <f t="shared" si="16"/>
        <v>0</v>
      </c>
      <c r="BW34" s="223">
        <f t="shared" si="16"/>
        <v>0</v>
      </c>
      <c r="BX34" s="223">
        <f t="shared" si="16"/>
        <v>0</v>
      </c>
      <c r="BY34" s="223">
        <f t="shared" si="16"/>
        <v>59.873017288694662</v>
      </c>
    </row>
    <row r="35" spans="2:79">
      <c r="M35" s="899"/>
      <c r="N35" s="899"/>
      <c r="O35" s="899"/>
      <c r="P35" s="899"/>
    </row>
    <row r="36" spans="2:79">
      <c r="M36" s="899"/>
      <c r="N36" s="904"/>
      <c r="O36" s="904"/>
      <c r="P36" s="904"/>
      <c r="Q36" s="177"/>
    </row>
    <row r="37" spans="2:79">
      <c r="M37" s="899"/>
      <c r="N37" s="899"/>
      <c r="O37" s="899"/>
      <c r="P37" s="899"/>
    </row>
    <row r="38" spans="2:79">
      <c r="M38" s="899"/>
      <c r="N38" s="899"/>
      <c r="O38" s="899"/>
      <c r="P38" s="899"/>
      <c r="Q38" s="223"/>
      <c r="BY38" s="223"/>
    </row>
    <row r="39" spans="2:79">
      <c r="M39" s="899"/>
      <c r="N39" s="899"/>
      <c r="O39" s="899"/>
      <c r="P39" s="899"/>
    </row>
    <row r="40" spans="2:79">
      <c r="M40" s="899"/>
      <c r="N40" s="899"/>
      <c r="O40" s="899"/>
      <c r="P40" s="899"/>
    </row>
    <row r="41" spans="2:79">
      <c r="M41" s="899"/>
      <c r="N41" s="899"/>
      <c r="O41" s="899"/>
      <c r="P41" s="899"/>
    </row>
    <row r="42" spans="2:79">
      <c r="Q42" s="177"/>
    </row>
    <row r="43" spans="2:79">
      <c r="Q43" s="223"/>
    </row>
    <row r="44" spans="2:79">
      <c r="Q44" s="223"/>
    </row>
    <row r="45" spans="2:79">
      <c r="Q45" s="177"/>
    </row>
  </sheetData>
  <pageMargins left="0.25" right="0.25" top="0.25" bottom="0.25" header="0" footer="0"/>
  <pageSetup scale="36" orientation="landscape" r:id="rId1"/>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2:Z20"/>
  <sheetViews>
    <sheetView topLeftCell="B1" zoomScaleNormal="100" workbookViewId="0">
      <pane xSplit="1" ySplit="2" topLeftCell="C3" activePane="bottomRight" state="frozen"/>
      <selection activeCell="B1" sqref="B1"/>
      <selection pane="topRight" activeCell="C1" sqref="C1"/>
      <selection pane="bottomLeft" activeCell="B3" sqref="B3"/>
      <selection pane="bottomRight" activeCell="M16" sqref="M16"/>
    </sheetView>
  </sheetViews>
  <sheetFormatPr defaultRowHeight="13.5" outlineLevelRow="1" outlineLevelCol="1"/>
  <cols>
    <col min="1" max="1" width="9" style="1063"/>
    <col min="2" max="2" width="40.625" style="1063" customWidth="1"/>
    <col min="3" max="4" width="9" style="1063"/>
    <col min="5" max="8" width="9" style="1063" customWidth="1" outlineLevel="1"/>
    <col min="9" max="9" width="9" style="1063"/>
    <col min="10" max="13" width="9" style="1063" outlineLevel="1"/>
    <col min="14" max="16384" width="9" style="1063"/>
  </cols>
  <sheetData>
    <row r="2" spans="1:26" s="1064" customFormat="1">
      <c r="B2" s="1065"/>
      <c r="C2" s="1066">
        <v>2015</v>
      </c>
      <c r="D2" s="1066">
        <v>2016</v>
      </c>
      <c r="E2" s="1066" t="s">
        <v>823</v>
      </c>
      <c r="F2" s="1066" t="s">
        <v>851</v>
      </c>
      <c r="G2" s="1065" t="s">
        <v>871</v>
      </c>
      <c r="H2" s="1065" t="s">
        <v>124</v>
      </c>
      <c r="I2" s="1067">
        <v>2017</v>
      </c>
      <c r="J2" s="1066" t="s">
        <v>126</v>
      </c>
      <c r="K2" s="1066" t="s">
        <v>127</v>
      </c>
      <c r="L2" s="1065" t="s">
        <v>128</v>
      </c>
      <c r="M2" s="1065" t="s">
        <v>129</v>
      </c>
      <c r="N2" s="1067">
        <f>I2+1</f>
        <v>2018</v>
      </c>
      <c r="O2" s="1067">
        <f t="shared" ref="O2:Z2" si="0">N2+1</f>
        <v>2019</v>
      </c>
      <c r="P2" s="1067">
        <f t="shared" si="0"/>
        <v>2020</v>
      </c>
      <c r="Q2" s="1067">
        <f t="shared" si="0"/>
        <v>2021</v>
      </c>
      <c r="R2" s="1067">
        <f t="shared" si="0"/>
        <v>2022</v>
      </c>
      <c r="S2" s="1067">
        <f t="shared" si="0"/>
        <v>2023</v>
      </c>
      <c r="T2" s="1067">
        <f t="shared" si="0"/>
        <v>2024</v>
      </c>
      <c r="U2" s="1067">
        <f t="shared" si="0"/>
        <v>2025</v>
      </c>
      <c r="V2" s="1067">
        <f t="shared" si="0"/>
        <v>2026</v>
      </c>
      <c r="W2" s="1067">
        <f t="shared" si="0"/>
        <v>2027</v>
      </c>
      <c r="X2" s="1067">
        <f t="shared" si="0"/>
        <v>2028</v>
      </c>
      <c r="Y2" s="1067">
        <f t="shared" si="0"/>
        <v>2029</v>
      </c>
      <c r="Z2" s="1067">
        <f t="shared" si="0"/>
        <v>2030</v>
      </c>
    </row>
    <row r="3" spans="1:26" ht="19.5" customHeight="1">
      <c r="A3" s="1078">
        <v>0.8</v>
      </c>
      <c r="B3" s="1074" t="s">
        <v>856</v>
      </c>
      <c r="C3" s="1068">
        <v>231</v>
      </c>
      <c r="D3" s="1068">
        <v>154.1</v>
      </c>
      <c r="E3" s="1068">
        <v>21.3</v>
      </c>
      <c r="F3" s="1068">
        <v>18.600000000000001</v>
      </c>
      <c r="G3" s="1068">
        <v>21.2</v>
      </c>
      <c r="H3" s="1068">
        <v>20</v>
      </c>
      <c r="I3" s="1068">
        <f t="shared" ref="I3:I6" si="1">SUM(E3:H3)</f>
        <v>81.100000000000009</v>
      </c>
      <c r="J3" s="1068">
        <v>22</v>
      </c>
      <c r="K3" s="1068">
        <f>J3*1.025</f>
        <v>22.549999999999997</v>
      </c>
      <c r="L3" s="1068">
        <f>K3*1.025</f>
        <v>23.113749999999996</v>
      </c>
      <c r="M3" s="1068">
        <f>N3-SUM(J3:L3)</f>
        <v>13.436250000000015</v>
      </c>
      <c r="N3" s="1077">
        <f>I3</f>
        <v>81.100000000000009</v>
      </c>
      <c r="O3" s="1068">
        <f>N3*0.5</f>
        <v>40.550000000000004</v>
      </c>
      <c r="P3" s="1068">
        <f>O3</f>
        <v>40.550000000000004</v>
      </c>
      <c r="Q3" s="1077">
        <f>P3*0.5</f>
        <v>20.275000000000002</v>
      </c>
      <c r="R3" s="1068">
        <f>Q3</f>
        <v>20.275000000000002</v>
      </c>
      <c r="S3" s="1068">
        <f t="shared" ref="S3:Z3" si="2">R3</f>
        <v>20.275000000000002</v>
      </c>
      <c r="T3" s="1068">
        <f t="shared" si="2"/>
        <v>20.275000000000002</v>
      </c>
      <c r="U3" s="1068">
        <f t="shared" si="2"/>
        <v>20.275000000000002</v>
      </c>
      <c r="V3" s="1068">
        <f t="shared" si="2"/>
        <v>20.275000000000002</v>
      </c>
      <c r="W3" s="1068">
        <f t="shared" si="2"/>
        <v>20.275000000000002</v>
      </c>
      <c r="X3" s="1068">
        <f t="shared" si="2"/>
        <v>20.275000000000002</v>
      </c>
      <c r="Y3" s="1068">
        <f t="shared" si="2"/>
        <v>20.275000000000002</v>
      </c>
      <c r="Z3" s="1068">
        <f t="shared" si="2"/>
        <v>20.275000000000002</v>
      </c>
    </row>
    <row r="4" spans="1:26" ht="19.5" customHeight="1">
      <c r="A4" s="1078">
        <v>0.8</v>
      </c>
      <c r="B4" s="1074" t="s">
        <v>857</v>
      </c>
      <c r="C4" s="1068">
        <v>404</v>
      </c>
      <c r="D4" s="1068">
        <v>449.5</v>
      </c>
      <c r="E4" s="1068">
        <v>49.7</v>
      </c>
      <c r="F4" s="1068">
        <v>50.3</v>
      </c>
      <c r="G4" s="1068">
        <v>50</v>
      </c>
      <c r="H4" s="1068">
        <v>50</v>
      </c>
      <c r="I4" s="1068">
        <f t="shared" si="1"/>
        <v>200</v>
      </c>
      <c r="J4" s="1068">
        <v>45</v>
      </c>
      <c r="K4" s="1068">
        <f>J4*1.05</f>
        <v>47.25</v>
      </c>
      <c r="L4" s="1068">
        <f>K4*1.025</f>
        <v>48.431249999999999</v>
      </c>
      <c r="M4" s="1068">
        <f>N4-SUM(J4:L4)</f>
        <v>39.318749999999994</v>
      </c>
      <c r="N4" s="1068">
        <f>I4*0.9</f>
        <v>180</v>
      </c>
      <c r="O4" s="1068">
        <f>N4*0.7</f>
        <v>125.99999999999999</v>
      </c>
      <c r="P4" s="1068">
        <f>O4*0.5</f>
        <v>62.999999999999993</v>
      </c>
      <c r="Q4" s="1068">
        <f>P4</f>
        <v>62.999999999999993</v>
      </c>
      <c r="R4" s="1068">
        <f t="shared" ref="R4:S4" si="3">Q4</f>
        <v>62.999999999999993</v>
      </c>
      <c r="S4" s="1068">
        <f t="shared" si="3"/>
        <v>62.999999999999993</v>
      </c>
      <c r="T4" s="1068">
        <f>S4/2</f>
        <v>31.499999999999996</v>
      </c>
      <c r="U4" s="1068">
        <f t="shared" ref="U4:V4" si="4">T4/2</f>
        <v>15.749999999999998</v>
      </c>
      <c r="V4" s="1068">
        <f t="shared" si="4"/>
        <v>7.8749999999999991</v>
      </c>
      <c r="W4" s="1068">
        <f>V4</f>
        <v>7.8749999999999991</v>
      </c>
      <c r="X4" s="1068">
        <f t="shared" ref="X4:Z4" si="5">W4</f>
        <v>7.8749999999999991</v>
      </c>
      <c r="Y4" s="1068">
        <f t="shared" si="5"/>
        <v>7.8749999999999991</v>
      </c>
      <c r="Z4" s="1068">
        <f t="shared" si="5"/>
        <v>7.8749999999999991</v>
      </c>
    </row>
    <row r="5" spans="1:26" ht="19.5" customHeight="1">
      <c r="A5" s="1078">
        <v>0.8</v>
      </c>
      <c r="B5" s="1074" t="s">
        <v>704</v>
      </c>
      <c r="C5" s="1068">
        <v>84.6</v>
      </c>
      <c r="D5" s="1068">
        <v>59.5</v>
      </c>
      <c r="E5" s="1068">
        <v>4.3</v>
      </c>
      <c r="F5" s="1068">
        <v>0.9</v>
      </c>
      <c r="G5" s="1068">
        <v>2.4</v>
      </c>
      <c r="H5" s="1068">
        <v>5</v>
      </c>
      <c r="I5" s="1068">
        <f t="shared" si="1"/>
        <v>12.6</v>
      </c>
      <c r="J5" s="1068">
        <v>3</v>
      </c>
      <c r="K5" s="1068">
        <f>J5*1.05</f>
        <v>3.1500000000000004</v>
      </c>
      <c r="L5" s="1068">
        <f>K5*1.05</f>
        <v>3.3075000000000006</v>
      </c>
      <c r="M5" s="1068">
        <f>N5-SUM(J5:L5)</f>
        <v>3.1424999999999983</v>
      </c>
      <c r="N5" s="1068">
        <f>I5</f>
        <v>12.6</v>
      </c>
      <c r="O5" s="1068">
        <f t="shared" ref="O5:Q5" si="6">N5</f>
        <v>12.6</v>
      </c>
      <c r="P5" s="1068">
        <f t="shared" si="6"/>
        <v>12.6</v>
      </c>
      <c r="Q5" s="1068">
        <f t="shared" si="6"/>
        <v>12.6</v>
      </c>
      <c r="R5" s="1068">
        <f>Q5/2</f>
        <v>6.3</v>
      </c>
      <c r="S5" s="1068">
        <f t="shared" ref="S5:T5" si="7">R5/2</f>
        <v>3.15</v>
      </c>
      <c r="T5" s="1068">
        <f t="shared" si="7"/>
        <v>1.575</v>
      </c>
      <c r="U5" s="1068">
        <f>T5</f>
        <v>1.575</v>
      </c>
      <c r="V5" s="1068">
        <f t="shared" ref="V5:Z5" si="8">U5</f>
        <v>1.575</v>
      </c>
      <c r="W5" s="1068">
        <f t="shared" si="8"/>
        <v>1.575</v>
      </c>
      <c r="X5" s="1068">
        <f t="shared" si="8"/>
        <v>1.575</v>
      </c>
      <c r="Y5" s="1068">
        <f t="shared" si="8"/>
        <v>1.575</v>
      </c>
      <c r="Z5" s="1068">
        <f t="shared" si="8"/>
        <v>1.575</v>
      </c>
    </row>
    <row r="6" spans="1:26" ht="19.5" customHeight="1">
      <c r="A6" s="1078">
        <v>0.5</v>
      </c>
      <c r="B6" s="1075" t="s">
        <v>858</v>
      </c>
      <c r="C6" s="1068">
        <v>56.1</v>
      </c>
      <c r="D6" s="1068">
        <v>170.8</v>
      </c>
      <c r="E6" s="1068">
        <v>35.9</v>
      </c>
      <c r="F6" s="1068">
        <v>37</v>
      </c>
      <c r="G6" s="1068">
        <v>39.1</v>
      </c>
      <c r="H6" s="1068">
        <v>40</v>
      </c>
      <c r="I6" s="1068">
        <f t="shared" si="1"/>
        <v>152</v>
      </c>
      <c r="J6" s="1068">
        <v>42.5</v>
      </c>
      <c r="K6" s="1068">
        <f>J6*1.05</f>
        <v>44.625</v>
      </c>
      <c r="L6" s="1068">
        <f>K6*1.05</f>
        <v>46.856250000000003</v>
      </c>
      <c r="M6" s="1068">
        <f>N6-SUM(J6:L6)</f>
        <v>48.418750000000017</v>
      </c>
      <c r="N6" s="1077">
        <f>I6*1.2</f>
        <v>182.4</v>
      </c>
      <c r="O6" s="1068">
        <f>N6*0.9</f>
        <v>164.16</v>
      </c>
      <c r="P6" s="1077">
        <f>O6*0.7</f>
        <v>114.91199999999999</v>
      </c>
      <c r="Q6" s="1068">
        <f>P6*0.5</f>
        <v>57.455999999999996</v>
      </c>
      <c r="R6" s="1068">
        <f>Q6</f>
        <v>57.455999999999996</v>
      </c>
      <c r="S6" s="1068">
        <f t="shared" ref="S6:W6" si="9">R6</f>
        <v>57.455999999999996</v>
      </c>
      <c r="T6" s="1068">
        <f t="shared" si="9"/>
        <v>57.455999999999996</v>
      </c>
      <c r="U6" s="1068">
        <f t="shared" si="9"/>
        <v>57.455999999999996</v>
      </c>
      <c r="V6" s="1068">
        <f t="shared" si="9"/>
        <v>57.455999999999996</v>
      </c>
      <c r="W6" s="1068">
        <f t="shared" si="9"/>
        <v>57.455999999999996</v>
      </c>
      <c r="X6" s="1077">
        <f>W6/2</f>
        <v>28.727999999999998</v>
      </c>
      <c r="Y6" s="1077">
        <f t="shared" ref="Y6:Z6" si="10">X6/2</f>
        <v>14.363999999999999</v>
      </c>
      <c r="Z6" s="1077">
        <f t="shared" si="10"/>
        <v>7.1819999999999995</v>
      </c>
    </row>
    <row r="7" spans="1:26" ht="19.5" customHeight="1">
      <c r="B7" s="1063" t="s">
        <v>862</v>
      </c>
      <c r="C7" s="1068">
        <v>42.6</v>
      </c>
      <c r="D7" s="1068">
        <v>60.9</v>
      </c>
      <c r="E7" s="1068">
        <v>7.2</v>
      </c>
      <c r="F7" s="1068">
        <v>7.2</v>
      </c>
      <c r="G7" s="1068">
        <v>17</v>
      </c>
      <c r="H7" s="1068"/>
      <c r="I7" s="1068"/>
      <c r="J7" s="1068"/>
      <c r="K7" s="1068"/>
      <c r="L7" s="1068"/>
      <c r="M7" s="1068"/>
      <c r="N7" s="1068"/>
      <c r="O7" s="1068"/>
      <c r="P7" s="1068"/>
      <c r="Q7" s="1068"/>
      <c r="R7" s="1068"/>
      <c r="S7" s="1068"/>
      <c r="T7" s="1068"/>
      <c r="U7" s="1068"/>
      <c r="V7" s="1068"/>
      <c r="W7" s="1068"/>
      <c r="X7" s="1068"/>
      <c r="Y7" s="1068"/>
      <c r="Z7" s="1068"/>
    </row>
    <row r="8" spans="1:26" ht="19.5" customHeight="1">
      <c r="A8" s="1078">
        <v>0.5</v>
      </c>
      <c r="B8" s="1076" t="s">
        <v>859</v>
      </c>
      <c r="C8" s="1068">
        <v>39.4</v>
      </c>
      <c r="D8" s="1068">
        <v>119.9</v>
      </c>
      <c r="E8" s="1068">
        <v>15</v>
      </c>
      <c r="F8" s="1068">
        <v>29.6</v>
      </c>
      <c r="G8" s="1068">
        <v>33.700000000000003</v>
      </c>
      <c r="H8" s="1068">
        <v>50</v>
      </c>
      <c r="I8" s="1068">
        <f>SUM(E8:H8)</f>
        <v>128.30000000000001</v>
      </c>
      <c r="J8" s="1068">
        <v>45</v>
      </c>
      <c r="K8" s="1068">
        <f>J8*1.025</f>
        <v>46.124999999999993</v>
      </c>
      <c r="L8" s="1068">
        <f>K8*1.025</f>
        <v>47.278124999999989</v>
      </c>
      <c r="M8" s="1068">
        <f>N8-SUM(J8:L8)</f>
        <v>54.046875000000028</v>
      </c>
      <c r="N8" s="1077">
        <f>I8*1.5</f>
        <v>192.45000000000002</v>
      </c>
      <c r="O8" s="1068">
        <f>N8*1.25</f>
        <v>240.56250000000003</v>
      </c>
      <c r="P8" s="1077">
        <f>O8*1.5</f>
        <v>360.84375000000006</v>
      </c>
      <c r="Q8" s="1068">
        <f>P8*0.9</f>
        <v>324.75937500000003</v>
      </c>
      <c r="R8" s="1068">
        <f t="shared" ref="R8:S8" si="11">Q8*0.9</f>
        <v>292.28343750000005</v>
      </c>
      <c r="S8" s="1068">
        <f t="shared" si="11"/>
        <v>263.05509375000003</v>
      </c>
      <c r="T8" s="1077">
        <f>S8*0.7</f>
        <v>184.13856562500001</v>
      </c>
      <c r="U8" s="1068">
        <f>T8*0.85</f>
        <v>156.51778078125</v>
      </c>
      <c r="V8" s="1068">
        <f>U8*0.85</f>
        <v>133.04011366406249</v>
      </c>
      <c r="W8" s="1068">
        <f>V8</f>
        <v>133.04011366406249</v>
      </c>
      <c r="X8" s="1068">
        <f t="shared" ref="X8:Z8" si="12">W8</f>
        <v>133.04011366406249</v>
      </c>
      <c r="Y8" s="1068">
        <f t="shared" si="12"/>
        <v>133.04011366406249</v>
      </c>
      <c r="Z8" s="1068">
        <f t="shared" si="12"/>
        <v>133.04011366406249</v>
      </c>
    </row>
    <row r="9" spans="1:26" ht="19.5" customHeight="1">
      <c r="B9" s="1063" t="s">
        <v>863</v>
      </c>
      <c r="C9" s="1068">
        <f>C10+C11</f>
        <v>762.9</v>
      </c>
      <c r="D9" s="1068">
        <f>D10+D11</f>
        <v>1037.5999999999999</v>
      </c>
      <c r="E9" s="1068">
        <v>57.4</v>
      </c>
      <c r="F9" s="1068">
        <v>55.8</v>
      </c>
      <c r="G9" s="1068">
        <v>55.2</v>
      </c>
      <c r="H9" s="1068"/>
      <c r="I9" s="1068"/>
      <c r="J9" s="1068"/>
      <c r="K9" s="1068"/>
      <c r="L9" s="1068"/>
      <c r="M9" s="1068"/>
      <c r="N9" s="1068"/>
      <c r="O9" s="1068"/>
      <c r="P9" s="1068"/>
      <c r="Q9" s="1068"/>
      <c r="R9" s="1068"/>
      <c r="S9" s="1068"/>
      <c r="T9" s="1068"/>
      <c r="U9" s="1068"/>
      <c r="V9" s="1068"/>
      <c r="W9" s="1068"/>
      <c r="X9" s="1068"/>
      <c r="Y9" s="1068"/>
      <c r="Z9" s="1068"/>
    </row>
    <row r="10" spans="1:26" ht="20.100000000000001" hidden="1" customHeight="1" outlineLevel="1">
      <c r="B10" s="1072" t="s">
        <v>861</v>
      </c>
      <c r="C10" s="1073">
        <v>221.4</v>
      </c>
      <c r="D10" s="1073">
        <v>259.2</v>
      </c>
      <c r="E10" s="1071"/>
      <c r="F10" s="1071"/>
      <c r="G10" s="1071"/>
      <c r="H10" s="1071"/>
      <c r="I10" s="1071"/>
      <c r="J10" s="1071"/>
      <c r="K10" s="1071"/>
      <c r="L10" s="1071"/>
      <c r="M10" s="1071"/>
      <c r="N10" s="1071"/>
      <c r="O10" s="1071"/>
      <c r="P10" s="1071"/>
      <c r="Q10" s="1071"/>
      <c r="R10" s="1071"/>
      <c r="S10" s="1071"/>
      <c r="T10" s="1071"/>
      <c r="U10" s="1071"/>
      <c r="V10" s="1071"/>
      <c r="W10" s="1071"/>
      <c r="X10" s="1071"/>
      <c r="Y10" s="1071"/>
      <c r="Z10" s="1071"/>
    </row>
    <row r="11" spans="1:26" ht="20.100000000000001" hidden="1" customHeight="1" outlineLevel="1">
      <c r="B11" s="1072" t="s">
        <v>860</v>
      </c>
      <c r="C11" s="1073">
        <v>541.5</v>
      </c>
      <c r="D11" s="1073">
        <v>778.4</v>
      </c>
      <c r="E11" s="1071"/>
      <c r="F11" s="1071"/>
      <c r="G11" s="1071"/>
      <c r="H11" s="1071"/>
      <c r="I11" s="1071"/>
      <c r="J11" s="1071"/>
      <c r="K11" s="1071"/>
      <c r="L11" s="1071"/>
      <c r="M11" s="1071"/>
      <c r="N11" s="1071"/>
      <c r="O11" s="1071"/>
      <c r="P11" s="1071"/>
      <c r="Q11" s="1071"/>
      <c r="R11" s="1071"/>
      <c r="S11" s="1071"/>
      <c r="T11" s="1071"/>
      <c r="U11" s="1071"/>
      <c r="V11" s="1071"/>
      <c r="W11" s="1071"/>
      <c r="X11" s="1071"/>
      <c r="Y11" s="1071"/>
      <c r="Z11" s="1071"/>
    </row>
    <row r="12" spans="1:26" collapsed="1">
      <c r="B12" s="1069" t="s">
        <v>864</v>
      </c>
      <c r="C12" s="1070">
        <f>SUM(C3:C9)</f>
        <v>1620.6</v>
      </c>
      <c r="D12" s="1070">
        <f>SUM(D3:D9)</f>
        <v>2052.3000000000002</v>
      </c>
      <c r="E12" s="1070">
        <f t="shared" ref="E12:Z12" si="13">SUM(E3:E9)</f>
        <v>190.79999999999998</v>
      </c>
      <c r="F12" s="1070">
        <f t="shared" si="13"/>
        <v>199.40000000000003</v>
      </c>
      <c r="G12" s="1070">
        <f t="shared" si="13"/>
        <v>218.60000000000002</v>
      </c>
      <c r="H12" s="1070">
        <f t="shared" si="13"/>
        <v>165</v>
      </c>
      <c r="I12" s="1070">
        <f t="shared" si="13"/>
        <v>574</v>
      </c>
      <c r="J12" s="1070">
        <f t="shared" si="13"/>
        <v>157.5</v>
      </c>
      <c r="K12" s="1070">
        <f t="shared" si="13"/>
        <v>163.69999999999999</v>
      </c>
      <c r="L12" s="1070">
        <f t="shared" si="13"/>
        <v>168.986875</v>
      </c>
      <c r="M12" s="1070">
        <f t="shared" si="13"/>
        <v>158.36312500000005</v>
      </c>
      <c r="N12" s="1070">
        <f t="shared" si="13"/>
        <v>648.55000000000007</v>
      </c>
      <c r="O12" s="1070">
        <f t="shared" si="13"/>
        <v>583.87249999999995</v>
      </c>
      <c r="P12" s="1070">
        <f t="shared" si="13"/>
        <v>591.90575000000001</v>
      </c>
      <c r="Q12" s="1070">
        <f t="shared" si="13"/>
        <v>478.09037499999999</v>
      </c>
      <c r="R12" s="1070">
        <f t="shared" si="13"/>
        <v>439.31443750000005</v>
      </c>
      <c r="S12" s="1070">
        <f t="shared" si="13"/>
        <v>406.93609375000005</v>
      </c>
      <c r="T12" s="1070">
        <f t="shared" si="13"/>
        <v>294.944565625</v>
      </c>
      <c r="U12" s="1070">
        <f t="shared" si="13"/>
        <v>251.57378078124998</v>
      </c>
      <c r="V12" s="1070">
        <f t="shared" si="13"/>
        <v>220.2211136640625</v>
      </c>
      <c r="W12" s="1070">
        <f t="shared" si="13"/>
        <v>220.2211136640625</v>
      </c>
      <c r="X12" s="1070">
        <f t="shared" si="13"/>
        <v>191.49311366406249</v>
      </c>
      <c r="Y12" s="1070">
        <f t="shared" si="13"/>
        <v>177.12911366406249</v>
      </c>
      <c r="Z12" s="1070">
        <f t="shared" si="13"/>
        <v>169.9471136640625</v>
      </c>
    </row>
    <row r="14" spans="1:26">
      <c r="B14" s="1063" t="s">
        <v>865</v>
      </c>
      <c r="I14" s="1077">
        <f>SUM(I3:I5)*$A$3/0.7</f>
        <v>335.65714285714296</v>
      </c>
      <c r="J14" s="1077">
        <f t="shared" ref="J14:M14" si="14">SUM(J3:J5)*$A$3/0.7</f>
        <v>80</v>
      </c>
      <c r="K14" s="1077">
        <f t="shared" si="14"/>
        <v>83.371428571428581</v>
      </c>
      <c r="L14" s="1077">
        <f t="shared" si="14"/>
        <v>85.545714285714283</v>
      </c>
      <c r="M14" s="1077">
        <f t="shared" si="14"/>
        <v>63.882857142857162</v>
      </c>
      <c r="N14" s="1077">
        <f t="shared" ref="N14:Z14" si="15">SUM(N3:N5)*$A$3/0.7</f>
        <v>312.80000000000007</v>
      </c>
      <c r="O14" s="1077">
        <f t="shared" si="15"/>
        <v>204.74285714285713</v>
      </c>
      <c r="P14" s="1077">
        <f t="shared" si="15"/>
        <v>132.74285714285716</v>
      </c>
      <c r="Q14" s="1077">
        <f t="shared" si="15"/>
        <v>109.57142857142856</v>
      </c>
      <c r="R14" s="1077">
        <f t="shared" si="15"/>
        <v>102.37142857142857</v>
      </c>
      <c r="S14" s="1077">
        <f t="shared" si="15"/>
        <v>98.771428571428572</v>
      </c>
      <c r="T14" s="1077">
        <f t="shared" si="15"/>
        <v>60.971428571428582</v>
      </c>
      <c r="U14" s="1077">
        <f t="shared" si="15"/>
        <v>42.971428571428575</v>
      </c>
      <c r="V14" s="1077">
        <f t="shared" si="15"/>
        <v>33.971428571428575</v>
      </c>
      <c r="W14" s="1077">
        <f t="shared" si="15"/>
        <v>33.971428571428575</v>
      </c>
      <c r="X14" s="1077">
        <f t="shared" si="15"/>
        <v>33.971428571428575</v>
      </c>
      <c r="Y14" s="1077">
        <f t="shared" si="15"/>
        <v>33.971428571428575</v>
      </c>
      <c r="Z14" s="1077">
        <f t="shared" si="15"/>
        <v>33.971428571428575</v>
      </c>
    </row>
    <row r="15" spans="1:26">
      <c r="B15" s="1063" t="s">
        <v>866</v>
      </c>
      <c r="I15" s="1077">
        <f>I8*$A$8/0.2</f>
        <v>320.75</v>
      </c>
      <c r="J15" s="1077">
        <f t="shared" ref="J15:M15" si="16">J8*$A$8/0.4</f>
        <v>56.25</v>
      </c>
      <c r="K15" s="1077">
        <f t="shared" si="16"/>
        <v>57.656249999999986</v>
      </c>
      <c r="L15" s="1077">
        <f t="shared" si="16"/>
        <v>59.097656249999986</v>
      </c>
      <c r="M15" s="1077">
        <f t="shared" si="16"/>
        <v>67.558593750000028</v>
      </c>
      <c r="N15" s="1077">
        <f>N8*$A$8/0.4</f>
        <v>240.5625</v>
      </c>
      <c r="O15" s="1077">
        <f>O8*$A$8/0.55</f>
        <v>218.69318181818181</v>
      </c>
      <c r="P15" s="1077">
        <f>P8*$A$8/0.7</f>
        <v>257.74553571428578</v>
      </c>
      <c r="Q15" s="1077">
        <f t="shared" ref="Q15:Z15" si="17">Q8*$A$8/0.7</f>
        <v>231.9709821428572</v>
      </c>
      <c r="R15" s="1077">
        <f t="shared" si="17"/>
        <v>208.77388392857148</v>
      </c>
      <c r="S15" s="1077">
        <f t="shared" si="17"/>
        <v>187.89649553571431</v>
      </c>
      <c r="T15" s="1077">
        <f t="shared" si="17"/>
        <v>131.52754687500001</v>
      </c>
      <c r="U15" s="1077">
        <f t="shared" si="17"/>
        <v>111.79841484375001</v>
      </c>
      <c r="V15" s="1077">
        <f t="shared" si="17"/>
        <v>95.028652617187504</v>
      </c>
      <c r="W15" s="1077">
        <f t="shared" si="17"/>
        <v>95.028652617187504</v>
      </c>
      <c r="X15" s="1077">
        <f t="shared" si="17"/>
        <v>95.028652617187504</v>
      </c>
      <c r="Y15" s="1077">
        <f t="shared" si="17"/>
        <v>95.028652617187504</v>
      </c>
      <c r="Z15" s="1077">
        <f t="shared" si="17"/>
        <v>95.028652617187504</v>
      </c>
    </row>
    <row r="16" spans="1:26">
      <c r="B16" s="1063" t="s">
        <v>867</v>
      </c>
      <c r="I16" s="1077">
        <f>I6*$A$6/0.7</f>
        <v>108.57142857142858</v>
      </c>
      <c r="J16" s="1077">
        <f t="shared" ref="J16:M16" si="18">J6*$A$6/0.7</f>
        <v>30.357142857142858</v>
      </c>
      <c r="K16" s="1077">
        <f t="shared" si="18"/>
        <v>31.875000000000004</v>
      </c>
      <c r="L16" s="1077">
        <f t="shared" si="18"/>
        <v>33.468750000000007</v>
      </c>
      <c r="M16" s="1077">
        <f t="shared" si="18"/>
        <v>34.584821428571445</v>
      </c>
      <c r="N16" s="1077">
        <f t="shared" ref="N16:Z16" si="19">N6*$A$6/0.7</f>
        <v>130.28571428571431</v>
      </c>
      <c r="O16" s="1077">
        <f t="shared" si="19"/>
        <v>117.25714285714287</v>
      </c>
      <c r="P16" s="1077">
        <f t="shared" si="19"/>
        <v>82.08</v>
      </c>
      <c r="Q16" s="1077">
        <f t="shared" si="19"/>
        <v>41.04</v>
      </c>
      <c r="R16" s="1077">
        <f t="shared" si="19"/>
        <v>41.04</v>
      </c>
      <c r="S16" s="1077">
        <f t="shared" si="19"/>
        <v>41.04</v>
      </c>
      <c r="T16" s="1077">
        <f t="shared" si="19"/>
        <v>41.04</v>
      </c>
      <c r="U16" s="1077">
        <f t="shared" si="19"/>
        <v>41.04</v>
      </c>
      <c r="V16" s="1077">
        <f t="shared" si="19"/>
        <v>41.04</v>
      </c>
      <c r="W16" s="1077">
        <f t="shared" si="19"/>
        <v>41.04</v>
      </c>
      <c r="X16" s="1077">
        <f t="shared" si="19"/>
        <v>20.52</v>
      </c>
      <c r="Y16" s="1077">
        <f t="shared" si="19"/>
        <v>10.26</v>
      </c>
      <c r="Z16" s="1077">
        <f t="shared" si="19"/>
        <v>5.13</v>
      </c>
    </row>
    <row r="19" spans="9:13">
      <c r="I19" s="1077"/>
      <c r="J19" s="1077"/>
      <c r="K19" s="1077"/>
      <c r="L19" s="1077"/>
      <c r="M19" s="1077"/>
    </row>
    <row r="20" spans="9:13">
      <c r="I20" s="1077"/>
      <c r="J20" s="1077"/>
      <c r="K20" s="1077"/>
      <c r="L20" s="1077"/>
      <c r="M20" s="1077"/>
    </row>
  </sheetData>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C000"/>
  </sheetPr>
  <dimension ref="A1"/>
  <sheetViews>
    <sheetView zoomScaleNormal="100" workbookViewId="0"/>
  </sheetViews>
  <sheetFormatPr defaultRowHeight="13.5"/>
  <sheetData/>
  <phoneticPr fontId="63"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R74"/>
  <sheetViews>
    <sheetView showGridLines="0" zoomScaleNormal="100" workbookViewId="0">
      <pane xSplit="2" ySplit="2" topLeftCell="J3" activePane="bottomRight" state="frozen"/>
      <selection pane="topRight" activeCell="C1" sqref="C1"/>
      <selection pane="bottomLeft" activeCell="A3" sqref="A3"/>
      <selection pane="bottomRight" activeCell="J3" sqref="J3"/>
    </sheetView>
  </sheetViews>
  <sheetFormatPr defaultColWidth="8" defaultRowHeight="12.75" outlineLevelRow="2" outlineLevelCol="1"/>
  <cols>
    <col min="1" max="1" width="1.5" style="607" customWidth="1"/>
    <col min="2" max="2" width="33.75" style="607" customWidth="1"/>
    <col min="3" max="4" width="8.375" style="607" hidden="1" customWidth="1" outlineLevel="1"/>
    <col min="5" max="6" width="8.125" style="607" hidden="1" customWidth="1" outlineLevel="1"/>
    <col min="7" max="9" width="8.375" style="607" hidden="1" customWidth="1" outlineLevel="1"/>
    <col min="10" max="10" width="9.875" style="607" customWidth="1" collapsed="1"/>
    <col min="11" max="14" width="8.5" style="607" hidden="1" customWidth="1" outlineLevel="1"/>
    <col min="15" max="15" width="9.125" style="607" customWidth="1" collapsed="1"/>
    <col min="16" max="19" width="9.125" style="607" hidden="1" customWidth="1" outlineLevel="1"/>
    <col min="20" max="20" width="9.25" style="607" bestFit="1" customWidth="1" collapsed="1"/>
    <col min="21" max="24" width="8.375" style="607" customWidth="1" outlineLevel="1"/>
    <col min="25" max="25" width="8.375" style="607" bestFit="1" customWidth="1"/>
    <col min="26" max="29" width="8.375" style="607" customWidth="1" outlineLevel="1"/>
    <col min="30" max="30" width="8.375" style="607" bestFit="1" customWidth="1"/>
    <col min="31" max="34" width="8.375" style="607" customWidth="1"/>
    <col min="35" max="37" width="8.375" style="607" bestFit="1" customWidth="1"/>
    <col min="38" max="38" width="8.375" style="607" customWidth="1"/>
    <col min="39" max="39" width="8.375" style="607" bestFit="1" customWidth="1"/>
    <col min="40" max="16384" width="8" style="607"/>
  </cols>
  <sheetData>
    <row r="1" spans="2:39" ht="6.75" customHeight="1"/>
    <row r="2" spans="2:39">
      <c r="B2" s="608" t="s">
        <v>485</v>
      </c>
      <c r="C2" s="609" t="s">
        <v>486</v>
      </c>
      <c r="D2" s="609" t="s">
        <v>487</v>
      </c>
      <c r="E2" s="610" t="s">
        <v>488</v>
      </c>
      <c r="F2" s="610" t="s">
        <v>489</v>
      </c>
      <c r="G2" s="610" t="s">
        <v>490</v>
      </c>
      <c r="H2" s="610" t="s">
        <v>491</v>
      </c>
      <c r="I2" s="610" t="s">
        <v>492</v>
      </c>
      <c r="J2" s="610" t="s">
        <v>493</v>
      </c>
      <c r="K2" s="611" t="s">
        <v>181</v>
      </c>
      <c r="L2" s="611" t="s">
        <v>185</v>
      </c>
      <c r="M2" s="611" t="s">
        <v>189</v>
      </c>
      <c r="N2" s="611" t="s">
        <v>220</v>
      </c>
      <c r="O2" s="610" t="s">
        <v>494</v>
      </c>
      <c r="P2" s="611" t="s">
        <v>231</v>
      </c>
      <c r="Q2" s="611" t="s">
        <v>273</v>
      </c>
      <c r="R2" s="611" t="s">
        <v>495</v>
      </c>
      <c r="S2" s="611" t="s">
        <v>496</v>
      </c>
      <c r="T2" s="612">
        <f>O2+1</f>
        <v>2013</v>
      </c>
      <c r="U2" s="611" t="s">
        <v>497</v>
      </c>
      <c r="V2" s="611" t="s">
        <v>498</v>
      </c>
      <c r="W2" s="611" t="s">
        <v>499</v>
      </c>
      <c r="X2" s="611" t="s">
        <v>500</v>
      </c>
      <c r="Y2" s="612">
        <f>T2+1</f>
        <v>2014</v>
      </c>
      <c r="Z2" s="611" t="s">
        <v>501</v>
      </c>
      <c r="AA2" s="611" t="s">
        <v>502</v>
      </c>
      <c r="AB2" s="611" t="s">
        <v>503</v>
      </c>
      <c r="AC2" s="611" t="s">
        <v>504</v>
      </c>
      <c r="AD2" s="612">
        <f>Y2+1</f>
        <v>2015</v>
      </c>
      <c r="AE2" s="611" t="s">
        <v>807</v>
      </c>
      <c r="AF2" s="611" t="s">
        <v>808</v>
      </c>
      <c r="AG2" s="611" t="s">
        <v>809</v>
      </c>
      <c r="AH2" s="611" t="s">
        <v>810</v>
      </c>
      <c r="AI2" s="612">
        <f>AD2+1</f>
        <v>2016</v>
      </c>
      <c r="AJ2" s="612">
        <f>AI2+1</f>
        <v>2017</v>
      </c>
      <c r="AK2" s="612">
        <f>AJ2+1</f>
        <v>2018</v>
      </c>
      <c r="AL2" s="612">
        <f>AK2+1</f>
        <v>2019</v>
      </c>
      <c r="AM2" s="612">
        <f>AL2+1</f>
        <v>2020</v>
      </c>
    </row>
    <row r="3" spans="2:39">
      <c r="B3" s="613"/>
      <c r="C3" s="614"/>
      <c r="D3" s="614"/>
      <c r="E3" s="615"/>
      <c r="F3" s="615"/>
      <c r="G3" s="615"/>
      <c r="H3" s="615"/>
      <c r="I3" s="615"/>
      <c r="J3" s="615"/>
      <c r="K3" s="616"/>
      <c r="L3" s="616"/>
      <c r="M3" s="616"/>
      <c r="N3" s="616"/>
      <c r="O3" s="615"/>
      <c r="P3" s="616"/>
      <c r="Q3" s="616"/>
      <c r="R3" s="616"/>
      <c r="S3" s="616"/>
      <c r="T3" s="617"/>
      <c r="U3" s="616"/>
      <c r="V3" s="616"/>
      <c r="W3" s="616"/>
      <c r="X3" s="616"/>
      <c r="Y3" s="617"/>
      <c r="Z3" s="616"/>
      <c r="AA3" s="616"/>
      <c r="AB3" s="616"/>
      <c r="AC3" s="616"/>
      <c r="AD3" s="617"/>
      <c r="AE3" s="617"/>
      <c r="AF3" s="617"/>
      <c r="AG3" s="617"/>
      <c r="AH3" s="617"/>
      <c r="AI3" s="617"/>
      <c r="AJ3" s="617"/>
      <c r="AK3" s="617"/>
      <c r="AL3" s="617"/>
      <c r="AM3" s="617"/>
    </row>
    <row r="4" spans="2:39">
      <c r="B4" s="618" t="s">
        <v>505</v>
      </c>
      <c r="O4" s="619"/>
    </row>
    <row r="5" spans="2:39" outlineLevel="1">
      <c r="B5" s="620" t="s">
        <v>562</v>
      </c>
      <c r="F5" s="621">
        <f>G5/(1+0.93%)</f>
        <v>300.24501792102154</v>
      </c>
      <c r="G5" s="621">
        <f>H5/(1+0.93%)</f>
        <v>303.03729658768708</v>
      </c>
      <c r="H5" s="621">
        <f>I5/(1+0.93%)</f>
        <v>305.85554344595261</v>
      </c>
      <c r="I5" s="607">
        <f>308.7</f>
        <v>308.7</v>
      </c>
      <c r="J5" s="621">
        <f>I5*(1+J6)</f>
        <v>311.57091000000003</v>
      </c>
      <c r="O5" s="621">
        <f>J5*(1+O6)</f>
        <v>314.46851946300006</v>
      </c>
      <c r="T5" s="621">
        <f>O5*(1+T6)</f>
        <v>317.39307669400597</v>
      </c>
      <c r="Y5" s="621">
        <f>T5*(1+Y6)</f>
        <v>320.34483230726028</v>
      </c>
      <c r="AD5" s="621">
        <f>Y5*(1+AD6)</f>
        <v>323.32403924771785</v>
      </c>
      <c r="AE5" s="621"/>
      <c r="AF5" s="621"/>
      <c r="AG5" s="621"/>
      <c r="AH5" s="621"/>
      <c r="AI5" s="621">
        <f>AD5*(1+AI6)</f>
        <v>326.33095281272165</v>
      </c>
      <c r="AJ5" s="621">
        <f>AI5*(1+AJ6)</f>
        <v>329.36583067388</v>
      </c>
      <c r="AK5" s="621">
        <f>AJ5*(1+AK6)</f>
        <v>332.42893289914713</v>
      </c>
      <c r="AL5" s="621">
        <f>AK5*(1+AL6)</f>
        <v>335.5205219751092</v>
      </c>
      <c r="AM5" s="621">
        <f>AL5*(1+AM6)</f>
        <v>338.64086282947773</v>
      </c>
    </row>
    <row r="6" spans="2:39" outlineLevel="1">
      <c r="B6" s="620" t="s">
        <v>365</v>
      </c>
      <c r="J6" s="622">
        <f>0.93%</f>
        <v>9.300000000000001E-3</v>
      </c>
      <c r="O6" s="622">
        <f>0.93%</f>
        <v>9.300000000000001E-3</v>
      </c>
      <c r="T6" s="622">
        <f>0.93%</f>
        <v>9.300000000000001E-3</v>
      </c>
      <c r="Y6" s="622">
        <f>0.93%</f>
        <v>9.300000000000001E-3</v>
      </c>
      <c r="AD6" s="622">
        <f t="shared" ref="AD6:AM6" si="0">0.93%</f>
        <v>9.300000000000001E-3</v>
      </c>
      <c r="AE6" s="622"/>
      <c r="AF6" s="622"/>
      <c r="AG6" s="622"/>
      <c r="AH6" s="622"/>
      <c r="AI6" s="622">
        <f t="shared" si="0"/>
        <v>9.300000000000001E-3</v>
      </c>
      <c r="AJ6" s="622">
        <f t="shared" si="0"/>
        <v>9.300000000000001E-3</v>
      </c>
      <c r="AK6" s="622">
        <f t="shared" si="0"/>
        <v>9.300000000000001E-3</v>
      </c>
      <c r="AL6" s="622">
        <f t="shared" si="0"/>
        <v>9.300000000000001E-3</v>
      </c>
      <c r="AM6" s="622">
        <f t="shared" si="0"/>
        <v>9.300000000000001E-3</v>
      </c>
    </row>
    <row r="7" spans="2:39" outlineLevel="1">
      <c r="B7" s="620" t="s">
        <v>565</v>
      </c>
      <c r="J7" s="622">
        <f>J8/(J5*10^6)</f>
        <v>5.8782766337203956E-3</v>
      </c>
      <c r="O7" s="622">
        <f>O8/(O5*10^6)</f>
        <v>5.9260343553061545E-3</v>
      </c>
      <c r="T7" s="622">
        <f>T8/(T5*10^6)</f>
        <v>5.9741800817636106E-3</v>
      </c>
      <c r="Y7" s="622">
        <f>Y8/(Y5*10^6)</f>
        <v>6.0227169654161038E-3</v>
      </c>
      <c r="AD7" s="622">
        <f t="shared" ref="AD7:AM7" si="1">AD8/(AD5*10^6)</f>
        <v>6.0716481841978451E-3</v>
      </c>
      <c r="AE7" s="622"/>
      <c r="AF7" s="622"/>
      <c r="AG7" s="622"/>
      <c r="AH7" s="622"/>
      <c r="AI7" s="622">
        <f t="shared" si="1"/>
        <v>6.1209769418619905E-3</v>
      </c>
      <c r="AJ7" s="622">
        <f t="shared" si="1"/>
        <v>6.1707064681904055E-3</v>
      </c>
      <c r="AK7" s="622">
        <f t="shared" si="1"/>
        <v>6.2208400192051289E-3</v>
      </c>
      <c r="AL7" s="622">
        <f t="shared" si="1"/>
        <v>6.2713808773815702E-3</v>
      </c>
      <c r="AM7" s="622">
        <f t="shared" si="1"/>
        <v>6.3223323518634186E-3</v>
      </c>
    </row>
    <row r="8" spans="2:39">
      <c r="B8" s="623" t="s">
        <v>565</v>
      </c>
      <c r="C8" s="624">
        <f t="shared" ref="C8:H8" si="2">D8/(1+C9)</f>
        <v>1622056.5750510185</v>
      </c>
      <c r="D8" s="624">
        <f t="shared" si="2"/>
        <v>1650442.5651144115</v>
      </c>
      <c r="E8" s="624">
        <f t="shared" si="2"/>
        <v>1679325.3100039139</v>
      </c>
      <c r="F8" s="624">
        <f t="shared" si="2"/>
        <v>1708713.5029289825</v>
      </c>
      <c r="G8" s="624">
        <f t="shared" si="2"/>
        <v>1738615.9892302398</v>
      </c>
      <c r="H8" s="624">
        <f t="shared" si="2"/>
        <v>1769041.769041769</v>
      </c>
      <c r="I8" s="624">
        <v>1800000</v>
      </c>
      <c r="J8" s="624">
        <f>I8*(1+I9)</f>
        <v>1831500.0000000002</v>
      </c>
      <c r="K8" s="624">
        <f>J8+(O8-J8)/4</f>
        <v>1839512.8125000002</v>
      </c>
      <c r="L8" s="624">
        <f>K8+(O8-J8)/4</f>
        <v>1847525.6250000002</v>
      </c>
      <c r="M8" s="624">
        <f>L8+(O8-J8)/4</f>
        <v>1855538.4375000002</v>
      </c>
      <c r="N8" s="624">
        <f>M8+(O8-J8)/4</f>
        <v>1863551.2500000002</v>
      </c>
      <c r="O8" s="624">
        <f>J8*(1+J9)</f>
        <v>1863551.2500000005</v>
      </c>
      <c r="P8" s="624">
        <f>O8+(T8-O8)/4</f>
        <v>1871704.2867187504</v>
      </c>
      <c r="Q8" s="624">
        <f>P8+(T8-O8)/4</f>
        <v>1879857.3234375003</v>
      </c>
      <c r="R8" s="624">
        <f>Q8+(T8-O8)/4</f>
        <v>1888010.3601562502</v>
      </c>
      <c r="S8" s="624">
        <f>R8+(T8-O8)/4</f>
        <v>1896163.3968750001</v>
      </c>
      <c r="T8" s="624">
        <f>O8*(1+O9)</f>
        <v>1896163.3968750006</v>
      </c>
      <c r="U8" s="624">
        <f>T8+(Y8-T8)/4</f>
        <v>1904459.1117363288</v>
      </c>
      <c r="V8" s="624">
        <f>U8+(Y8-T8)/4</f>
        <v>1912754.8265976571</v>
      </c>
      <c r="W8" s="624">
        <f>V8+(Y8-T8)/4</f>
        <v>1921050.5414589853</v>
      </c>
      <c r="X8" s="624">
        <f>W8+(Y8-T8)/4</f>
        <v>1929346.2563203136</v>
      </c>
      <c r="Y8" s="624">
        <f>T8*(1+T9)</f>
        <v>1929346.2563203133</v>
      </c>
      <c r="Z8" s="624">
        <f>Y8+(AD8-Y8)/4</f>
        <v>1937787.1461917148</v>
      </c>
      <c r="AA8" s="624">
        <f>Z8+(AD8-Y8)/4</f>
        <v>1946228.0360631163</v>
      </c>
      <c r="AB8" s="624">
        <f>AA8+(AD8-Y8)/4</f>
        <v>1954668.9259345178</v>
      </c>
      <c r="AC8" s="624">
        <f>AB8+(AD8-Y8)/4</f>
        <v>1963109.8158059192</v>
      </c>
      <c r="AD8" s="624">
        <f>Y8*(1+Y9)</f>
        <v>1963109.815805919</v>
      </c>
      <c r="AE8" s="624">
        <f>AD8+(AI8-AD8)/4</f>
        <v>1971698.42125007</v>
      </c>
      <c r="AF8" s="624">
        <f>AE8+(AI8-AD8)/4</f>
        <v>1980287.026694221</v>
      </c>
      <c r="AG8" s="624">
        <f>AF8+(AI8-AD8)/4</f>
        <v>1988875.6321383719</v>
      </c>
      <c r="AH8" s="624">
        <f>AG8+(AI8-AD8)/4</f>
        <v>1997464.2375825229</v>
      </c>
      <c r="AI8" s="624">
        <f>AD8*(1+AD9)</f>
        <v>1997464.2375825227</v>
      </c>
      <c r="AJ8" s="624">
        <f>AI8*(1+AI9)</f>
        <v>2032419.8617402171</v>
      </c>
      <c r="AK8" s="624">
        <f>AJ8*(1+AJ9)</f>
        <v>2067987.2093206709</v>
      </c>
      <c r="AL8" s="624">
        <f>AK8*(1+AK9)</f>
        <v>2104176.9854837828</v>
      </c>
      <c r="AM8" s="624">
        <f>AL8*(1+AL9)</f>
        <v>2141000.0827297494</v>
      </c>
    </row>
    <row r="9" spans="2:39" outlineLevel="1">
      <c r="B9" s="607" t="s">
        <v>506</v>
      </c>
      <c r="C9" s="625">
        <v>1.7500000000000002E-2</v>
      </c>
      <c r="D9" s="625">
        <v>1.7500000000000002E-2</v>
      </c>
      <c r="E9" s="625">
        <v>1.7500000000000002E-2</v>
      </c>
      <c r="F9" s="625">
        <v>1.7500000000000002E-2</v>
      </c>
      <c r="G9" s="625">
        <v>1.7500000000000002E-2</v>
      </c>
      <c r="H9" s="625">
        <v>1.7500000000000002E-2</v>
      </c>
      <c r="I9" s="625">
        <v>1.7500000000000002E-2</v>
      </c>
      <c r="J9" s="625">
        <v>1.7500000000000002E-2</v>
      </c>
      <c r="K9" s="625"/>
      <c r="L9" s="625"/>
      <c r="M9" s="625"/>
      <c r="N9" s="625"/>
      <c r="O9" s="625">
        <v>1.7500000000000002E-2</v>
      </c>
      <c r="P9" s="626"/>
      <c r="Q9" s="626"/>
      <c r="R9" s="626"/>
      <c r="S9" s="626"/>
      <c r="T9" s="625">
        <v>1.7500000000000002E-2</v>
      </c>
      <c r="U9" s="626"/>
      <c r="V9" s="626"/>
      <c r="W9" s="626"/>
      <c r="X9" s="626"/>
      <c r="Y9" s="625">
        <f>T9</f>
        <v>1.7500000000000002E-2</v>
      </c>
      <c r="Z9" s="626"/>
      <c r="AA9" s="626"/>
      <c r="AB9" s="626"/>
      <c r="AC9" s="626"/>
      <c r="AD9" s="625">
        <f>Y9</f>
        <v>1.7500000000000002E-2</v>
      </c>
      <c r="AE9" s="625"/>
      <c r="AF9" s="625"/>
      <c r="AG9" s="625"/>
      <c r="AH9" s="625"/>
      <c r="AI9" s="625">
        <f>AD9</f>
        <v>1.7500000000000002E-2</v>
      </c>
      <c r="AJ9" s="625">
        <f t="shared" ref="AJ9:AM10" si="3">AI9</f>
        <v>1.7500000000000002E-2</v>
      </c>
      <c r="AK9" s="625">
        <f t="shared" si="3"/>
        <v>1.7500000000000002E-2</v>
      </c>
      <c r="AL9" s="625">
        <f t="shared" si="3"/>
        <v>1.7500000000000002E-2</v>
      </c>
      <c r="AM9" s="625">
        <f t="shared" si="3"/>
        <v>1.7500000000000002E-2</v>
      </c>
    </row>
    <row r="10" spans="2:39" outlineLevel="1">
      <c r="B10" s="607" t="s">
        <v>507</v>
      </c>
      <c r="C10" s="625">
        <v>0.72</v>
      </c>
      <c r="D10" s="625">
        <v>0.72</v>
      </c>
      <c r="E10" s="625">
        <v>0.72</v>
      </c>
      <c r="F10" s="625">
        <v>0.72</v>
      </c>
      <c r="G10" s="625">
        <v>0.72</v>
      </c>
      <c r="H10" s="625">
        <v>0.72</v>
      </c>
      <c r="I10" s="625">
        <v>0.72</v>
      </c>
      <c r="J10" s="625">
        <v>0.72</v>
      </c>
      <c r="K10" s="625">
        <f>J10</f>
        <v>0.72</v>
      </c>
      <c r="L10" s="625">
        <f>K10</f>
        <v>0.72</v>
      </c>
      <c r="M10" s="625">
        <f>L10</f>
        <v>0.72</v>
      </c>
      <c r="N10" s="625">
        <f>M10</f>
        <v>0.72</v>
      </c>
      <c r="O10" s="627">
        <v>0.72</v>
      </c>
      <c r="P10" s="628">
        <f>O10+0.4%</f>
        <v>0.72399999999999998</v>
      </c>
      <c r="Q10" s="628">
        <f>P10+0.4%</f>
        <v>0.72799999999999998</v>
      </c>
      <c r="R10" s="628">
        <f>Q10+0.4%</f>
        <v>0.73199999999999998</v>
      </c>
      <c r="S10" s="628">
        <f>R10+0.4%</f>
        <v>0.73599999999999999</v>
      </c>
      <c r="T10" s="629">
        <f>T11/T8</f>
        <v>0.72531326781326766</v>
      </c>
      <c r="U10" s="628">
        <f>S10+0.25%</f>
        <v>0.73849999999999993</v>
      </c>
      <c r="V10" s="628">
        <f>U10+0.25%</f>
        <v>0.74099999999999988</v>
      </c>
      <c r="W10" s="628">
        <f>V10+0.25%</f>
        <v>0.74349999999999983</v>
      </c>
      <c r="X10" s="628">
        <f>W10+0.25%</f>
        <v>0.74599999999999977</v>
      </c>
      <c r="Y10" s="629">
        <f>Y11/Y8</f>
        <v>0.73747619778869766</v>
      </c>
      <c r="Z10" s="628">
        <f>X10+0.1%</f>
        <v>0.74699999999999978</v>
      </c>
      <c r="AA10" s="628">
        <f>Z10+0.1%</f>
        <v>0.74799999999999978</v>
      </c>
      <c r="AB10" s="684">
        <f>AA10+0.1%</f>
        <v>0.74899999999999978</v>
      </c>
      <c r="AC10" s="628">
        <f>AB10+0.1%</f>
        <v>0.74999999999999978</v>
      </c>
      <c r="AD10" s="629">
        <f>AD11/AD8</f>
        <v>0.74367782555282536</v>
      </c>
      <c r="AE10" s="629">
        <f>AI10</f>
        <v>0.75</v>
      </c>
      <c r="AF10" s="629">
        <f>AI10</f>
        <v>0.75</v>
      </c>
      <c r="AG10" s="629">
        <f>AI10</f>
        <v>0.75</v>
      </c>
      <c r="AH10" s="629">
        <f>AI10</f>
        <v>0.75</v>
      </c>
      <c r="AI10" s="630">
        <v>0.75</v>
      </c>
      <c r="AJ10" s="631">
        <f t="shared" si="3"/>
        <v>0.75</v>
      </c>
      <c r="AK10" s="631">
        <f t="shared" si="3"/>
        <v>0.75</v>
      </c>
      <c r="AL10" s="631">
        <f t="shared" si="3"/>
        <v>0.75</v>
      </c>
      <c r="AM10" s="631">
        <f t="shared" si="3"/>
        <v>0.75</v>
      </c>
    </row>
    <row r="11" spans="2:39">
      <c r="B11" s="607" t="s">
        <v>508</v>
      </c>
      <c r="C11" s="619">
        <f t="shared" ref="C11:J11" si="4">C8*C10</f>
        <v>1167880.7340367332</v>
      </c>
      <c r="D11" s="619">
        <f t="shared" si="4"/>
        <v>1188318.6468823762</v>
      </c>
      <c r="E11" s="619">
        <f t="shared" si="4"/>
        <v>1209114.2232028181</v>
      </c>
      <c r="F11" s="619">
        <f t="shared" si="4"/>
        <v>1230273.7221088673</v>
      </c>
      <c r="G11" s="619">
        <f t="shared" si="4"/>
        <v>1251803.5122457726</v>
      </c>
      <c r="H11" s="619">
        <f t="shared" si="4"/>
        <v>1273710.0737100737</v>
      </c>
      <c r="I11" s="619">
        <f t="shared" si="4"/>
        <v>1296000</v>
      </c>
      <c r="J11" s="619">
        <f t="shared" si="4"/>
        <v>1318680.0000000002</v>
      </c>
      <c r="K11" s="632">
        <f>K10*K8</f>
        <v>1324449.2250000001</v>
      </c>
      <c r="L11" s="632">
        <f>L10*L8</f>
        <v>1330218.4500000002</v>
      </c>
      <c r="M11" s="632">
        <f>M10*M8</f>
        <v>1335987.675</v>
      </c>
      <c r="N11" s="632">
        <f>N10*N8</f>
        <v>1341756.9000000001</v>
      </c>
      <c r="O11" s="619">
        <f>O8*O10</f>
        <v>1341756.9000000004</v>
      </c>
      <c r="P11" s="632">
        <f>P10*P8</f>
        <v>1355113.9035843753</v>
      </c>
      <c r="Q11" s="632">
        <f>Q10*Q8</f>
        <v>1368536.1314625002</v>
      </c>
      <c r="R11" s="632">
        <f>R10*R8</f>
        <v>1382023.5836343751</v>
      </c>
      <c r="S11" s="632">
        <f>S10*S8</f>
        <v>1395576.2601000001</v>
      </c>
      <c r="T11" s="619">
        <f>AVERAGE(P11:S11)</f>
        <v>1375312.4696953127</v>
      </c>
      <c r="U11" s="632">
        <f>U10*U8</f>
        <v>1406443.0540172786</v>
      </c>
      <c r="V11" s="632">
        <f>V10*V8</f>
        <v>1417351.3265088636</v>
      </c>
      <c r="W11" s="632">
        <f>W10*W8</f>
        <v>1428301.0775747553</v>
      </c>
      <c r="X11" s="632">
        <f>X10*X8</f>
        <v>1439292.3072149535</v>
      </c>
      <c r="Y11" s="619">
        <f>AVERAGE(U11:X11)</f>
        <v>1422846.9413289628</v>
      </c>
      <c r="Z11" s="632">
        <f>Z10*Z8</f>
        <v>1447526.9982052105</v>
      </c>
      <c r="AA11" s="632">
        <f>AA10*AA8</f>
        <v>1455778.5709752105</v>
      </c>
      <c r="AB11" s="632">
        <f>AB10*AB8</f>
        <v>1464047.0255249534</v>
      </c>
      <c r="AC11" s="632">
        <f>AC10*AC8</f>
        <v>1472332.3618544389</v>
      </c>
      <c r="AD11" s="619">
        <f>AVERAGE(Z11:AC11)</f>
        <v>1459921.2391399534</v>
      </c>
      <c r="AE11" s="632">
        <f>AE10*AE8</f>
        <v>1478773.8159375526</v>
      </c>
      <c r="AF11" s="632">
        <f t="shared" ref="AF11:AH11" si="5">AF10*AF8</f>
        <v>1485215.2700206656</v>
      </c>
      <c r="AG11" s="632">
        <f t="shared" si="5"/>
        <v>1491656.7241037791</v>
      </c>
      <c r="AH11" s="632">
        <f t="shared" si="5"/>
        <v>1498098.1781868921</v>
      </c>
      <c r="AI11" s="619">
        <f>AVERAGE(AE11:AH11)</f>
        <v>1488435.9970622221</v>
      </c>
      <c r="AJ11" s="619">
        <f>AJ8*AJ10</f>
        <v>1524314.8963051629</v>
      </c>
      <c r="AK11" s="619">
        <f>AK8*AK10</f>
        <v>1550990.4069905032</v>
      </c>
      <c r="AL11" s="619">
        <f>AL8*AL10</f>
        <v>1578132.7391128372</v>
      </c>
      <c r="AM11" s="619">
        <f>AM8*AM10</f>
        <v>1605750.062047312</v>
      </c>
    </row>
    <row r="12" spans="2:39" outlineLevel="1">
      <c r="B12" s="607" t="s">
        <v>509</v>
      </c>
      <c r="C12" s="633">
        <v>0.46</v>
      </c>
      <c r="D12" s="633">
        <v>0.46</v>
      </c>
      <c r="E12" s="633">
        <v>0.46</v>
      </c>
      <c r="F12" s="633">
        <v>0.46</v>
      </c>
      <c r="G12" s="633">
        <v>0.46</v>
      </c>
      <c r="H12" s="633">
        <v>0.46</v>
      </c>
      <c r="I12" s="633">
        <f>I13/I11</f>
        <v>0.46296296296296297</v>
      </c>
      <c r="J12" s="633">
        <v>0.46</v>
      </c>
      <c r="K12" s="633">
        <f>J12</f>
        <v>0.46</v>
      </c>
      <c r="L12" s="633">
        <f>K12</f>
        <v>0.46</v>
      </c>
      <c r="M12" s="633">
        <f>L12</f>
        <v>0.46</v>
      </c>
      <c r="N12" s="633">
        <f>M12</f>
        <v>0.46</v>
      </c>
      <c r="O12" s="630">
        <v>0.46</v>
      </c>
      <c r="P12" s="634">
        <f>O12+0.25%</f>
        <v>0.46250000000000002</v>
      </c>
      <c r="Q12" s="634">
        <f>P12+0.25%</f>
        <v>0.46500000000000002</v>
      </c>
      <c r="R12" s="634">
        <f>Q12+0.25%</f>
        <v>0.46750000000000003</v>
      </c>
      <c r="S12" s="634">
        <f>R12+0.25%</f>
        <v>0.47000000000000003</v>
      </c>
      <c r="T12" s="631">
        <f>T13/T11</f>
        <v>0.4662806463359897</v>
      </c>
      <c r="U12" s="788">
        <f>S12+0.5%</f>
        <v>0.47500000000000003</v>
      </c>
      <c r="V12" s="634">
        <f>U12+0.5%</f>
        <v>0.48000000000000004</v>
      </c>
      <c r="W12" s="788">
        <f>V12+0.5%</f>
        <v>0.48500000000000004</v>
      </c>
      <c r="X12" s="788">
        <f>W12+0.3%</f>
        <v>0.48800000000000004</v>
      </c>
      <c r="Y12" s="631">
        <f>Y13/Y11</f>
        <v>0.48204231886049714</v>
      </c>
      <c r="Z12" s="634">
        <f>X12+0.25%</f>
        <v>0.49050000000000005</v>
      </c>
      <c r="AA12" s="634">
        <f>Z12+0.25%</f>
        <v>0.49300000000000005</v>
      </c>
      <c r="AB12" s="634">
        <f>AA12+0.25%</f>
        <v>0.49550000000000005</v>
      </c>
      <c r="AC12" s="634">
        <f>AB12+0.25%</f>
        <v>0.49800000000000005</v>
      </c>
      <c r="AD12" s="631">
        <f>AD13/AD11</f>
        <v>0.49426769884550975</v>
      </c>
      <c r="AE12" s="631">
        <f>AI12</f>
        <v>0.49926769884550976</v>
      </c>
      <c r="AF12" s="631">
        <f>AI12</f>
        <v>0.49926769884550976</v>
      </c>
      <c r="AG12" s="631">
        <f>AI12</f>
        <v>0.49926769884550976</v>
      </c>
      <c r="AH12" s="631">
        <f>AI12</f>
        <v>0.49926769884550976</v>
      </c>
      <c r="AI12" s="633">
        <f>AD12+0.5%</f>
        <v>0.49926769884550976</v>
      </c>
      <c r="AJ12" s="633">
        <f>AI12+0.5%</f>
        <v>0.5042676988455097</v>
      </c>
      <c r="AK12" s="633">
        <f>AJ12+0.5%</f>
        <v>0.50926769884550971</v>
      </c>
      <c r="AL12" s="633">
        <f>AK12+0.5%</f>
        <v>0.51426769884550971</v>
      </c>
      <c r="AM12" s="633">
        <f>AL12+0.5%</f>
        <v>0.51926769884550972</v>
      </c>
    </row>
    <row r="13" spans="2:39">
      <c r="B13" s="623" t="s">
        <v>510</v>
      </c>
      <c r="C13" s="624">
        <f t="shared" ref="C13:H13" si="6">C11*C12</f>
        <v>537225.13765689731</v>
      </c>
      <c r="D13" s="624">
        <f t="shared" si="6"/>
        <v>546626.57756589307</v>
      </c>
      <c r="E13" s="624">
        <f t="shared" si="6"/>
        <v>556192.5426732963</v>
      </c>
      <c r="F13" s="624">
        <f t="shared" si="6"/>
        <v>565925.91217007895</v>
      </c>
      <c r="G13" s="624">
        <f t="shared" si="6"/>
        <v>575829.61563305545</v>
      </c>
      <c r="H13" s="624">
        <f t="shared" si="6"/>
        <v>585906.63390663394</v>
      </c>
      <c r="I13" s="624">
        <v>600000</v>
      </c>
      <c r="J13" s="624">
        <f>J11*J12</f>
        <v>606592.80000000016</v>
      </c>
      <c r="K13" s="624">
        <f>K12*K11</f>
        <v>609246.64350000012</v>
      </c>
      <c r="L13" s="624">
        <f>L12*L11</f>
        <v>611900.48700000008</v>
      </c>
      <c r="M13" s="624">
        <f>M12*M11</f>
        <v>614554.33050000004</v>
      </c>
      <c r="N13" s="624">
        <f>N12*N11</f>
        <v>617208.17400000012</v>
      </c>
      <c r="O13" s="624">
        <f>O11*O12</f>
        <v>617208.17400000023</v>
      </c>
      <c r="P13" s="624">
        <f>P12*P11</f>
        <v>626740.18040777359</v>
      </c>
      <c r="Q13" s="624">
        <f>Q12*Q11</f>
        <v>636369.30113006267</v>
      </c>
      <c r="R13" s="624">
        <f>R12*R11</f>
        <v>646096.02534907043</v>
      </c>
      <c r="S13" s="624">
        <f>S12*S11</f>
        <v>655920.84224700008</v>
      </c>
      <c r="T13" s="624">
        <f>AVERAGE(P13:S13)</f>
        <v>641281.58728347661</v>
      </c>
      <c r="U13" s="624">
        <f>U12*U11</f>
        <v>668060.45065820741</v>
      </c>
      <c r="V13" s="624">
        <f>V12*V11</f>
        <v>680328.63672425458</v>
      </c>
      <c r="W13" s="624">
        <f>W12*W11</f>
        <v>692726.02262375643</v>
      </c>
      <c r="X13" s="624">
        <f>X12*X11</f>
        <v>702374.64592089737</v>
      </c>
      <c r="Y13" s="624">
        <f>AVERAGE(U13:X13)</f>
        <v>685872.43898177892</v>
      </c>
      <c r="Z13" s="624">
        <f>Z12*Z11</f>
        <v>710011.99261965579</v>
      </c>
      <c r="AA13" s="624">
        <f>AA12*AA11</f>
        <v>717698.8354907789</v>
      </c>
      <c r="AB13" s="624">
        <f>AB12*AB11</f>
        <v>725435.30114761449</v>
      </c>
      <c r="AC13" s="624">
        <f>AC12*AC11</f>
        <v>733221.51620351069</v>
      </c>
      <c r="AD13" s="624">
        <f>AVERAGE(Z13:AC13)</f>
        <v>721591.91136538994</v>
      </c>
      <c r="AE13" s="624">
        <f>AE12*AE11</f>
        <v>738304.00019613525</v>
      </c>
      <c r="AF13" s="624">
        <f t="shared" ref="AF13:AH13" si="7">AF12*AF11</f>
        <v>741520.01015343016</v>
      </c>
      <c r="AG13" s="624">
        <f t="shared" si="7"/>
        <v>744736.02011072519</v>
      </c>
      <c r="AH13" s="624">
        <f t="shared" si="7"/>
        <v>747952.03006801999</v>
      </c>
      <c r="AI13" s="624">
        <f>AVERAGE(AE13:AH13)</f>
        <v>743128.01513207762</v>
      </c>
      <c r="AJ13" s="624">
        <f>AJ11*AJ12</f>
        <v>768662.76507573621</v>
      </c>
      <c r="AK13" s="624">
        <f>AK11*AK12</f>
        <v>789869.31549951411</v>
      </c>
      <c r="AL13" s="624">
        <f>AL11*AL12</f>
        <v>811582.69221631996</v>
      </c>
      <c r="AM13" s="624">
        <f>AM11*AM12</f>
        <v>833814.13964034221</v>
      </c>
    </row>
    <row r="14" spans="2:39" outlineLevel="1">
      <c r="B14" s="635" t="s">
        <v>511</v>
      </c>
      <c r="C14" s="632"/>
      <c r="D14" s="632"/>
      <c r="E14" s="632"/>
      <c r="F14" s="632"/>
      <c r="G14" s="632"/>
      <c r="H14" s="632"/>
      <c r="I14" s="632">
        <f>I13*0.35</f>
        <v>210000</v>
      </c>
      <c r="J14" s="632">
        <f>J13*0.35</f>
        <v>212307.48000000004</v>
      </c>
      <c r="K14" s="632"/>
      <c r="L14" s="632"/>
      <c r="M14" s="632"/>
      <c r="N14" s="632"/>
      <c r="O14" s="632">
        <f>O13*0.35</f>
        <v>216022.86090000006</v>
      </c>
      <c r="P14" s="626">
        <f t="shared" ref="P14:S15" si="8">$T14</f>
        <v>224448.55554921681</v>
      </c>
      <c r="Q14" s="626">
        <f t="shared" si="8"/>
        <v>224448.55554921681</v>
      </c>
      <c r="R14" s="626">
        <f t="shared" si="8"/>
        <v>224448.55554921681</v>
      </c>
      <c r="S14" s="626">
        <f t="shared" si="8"/>
        <v>224448.55554921681</v>
      </c>
      <c r="T14" s="632">
        <f>T13*0.35</f>
        <v>224448.55554921681</v>
      </c>
      <c r="U14" s="626">
        <f t="shared" ref="U14:W15" si="9">$T14</f>
        <v>224448.55554921681</v>
      </c>
      <c r="V14" s="626">
        <f t="shared" si="9"/>
        <v>224448.55554921681</v>
      </c>
      <c r="W14" s="626">
        <f>$T14</f>
        <v>224448.55554921681</v>
      </c>
      <c r="X14" s="626">
        <f>$T14</f>
        <v>224448.55554921681</v>
      </c>
      <c r="Y14" s="632">
        <f>Y13*0.35</f>
        <v>240055.3536436226</v>
      </c>
      <c r="Z14" s="626">
        <f>$Y14</f>
        <v>240055.3536436226</v>
      </c>
      <c r="AA14" s="626">
        <f t="shared" ref="AA14:AC15" si="10">$Y14</f>
        <v>240055.3536436226</v>
      </c>
      <c r="AB14" s="626">
        <f t="shared" si="10"/>
        <v>240055.3536436226</v>
      </c>
      <c r="AC14" s="626">
        <f t="shared" si="10"/>
        <v>240055.3536436226</v>
      </c>
      <c r="AD14" s="632">
        <f>AD13*0.35</f>
        <v>252557.16897788647</v>
      </c>
      <c r="AE14" s="626">
        <f>$AD14</f>
        <v>252557.16897788647</v>
      </c>
      <c r="AF14" s="626">
        <f t="shared" ref="AF14:AH15" si="11">$AD14</f>
        <v>252557.16897788647</v>
      </c>
      <c r="AG14" s="626">
        <f t="shared" si="11"/>
        <v>252557.16897788647</v>
      </c>
      <c r="AH14" s="626">
        <f t="shared" si="11"/>
        <v>252557.16897788647</v>
      </c>
      <c r="AI14" s="632">
        <f t="shared" ref="AI14:AM14" si="12">AI13*0.35</f>
        <v>260094.80529622716</v>
      </c>
      <c r="AJ14" s="632">
        <f t="shared" si="12"/>
        <v>269031.96777650766</v>
      </c>
      <c r="AK14" s="632">
        <f t="shared" si="12"/>
        <v>276454.2604248299</v>
      </c>
      <c r="AL14" s="632">
        <f t="shared" si="12"/>
        <v>284053.94227571198</v>
      </c>
      <c r="AM14" s="632">
        <f t="shared" si="12"/>
        <v>291834.94887411973</v>
      </c>
    </row>
    <row r="15" spans="2:39" outlineLevel="1">
      <c r="B15" s="635" t="s">
        <v>512</v>
      </c>
      <c r="C15" s="632"/>
      <c r="D15" s="632"/>
      <c r="E15" s="632"/>
      <c r="F15" s="632"/>
      <c r="G15" s="632"/>
      <c r="H15" s="632"/>
      <c r="I15" s="632">
        <f>I13-I14</f>
        <v>390000</v>
      </c>
      <c r="J15" s="632">
        <f>J13-J14</f>
        <v>394285.32000000012</v>
      </c>
      <c r="K15" s="632"/>
      <c r="L15" s="632"/>
      <c r="M15" s="632"/>
      <c r="N15" s="632"/>
      <c r="O15" s="632">
        <f>O13-O14</f>
        <v>401185.31310000014</v>
      </c>
      <c r="P15" s="632">
        <f t="shared" si="8"/>
        <v>416833.0317342598</v>
      </c>
      <c r="Q15" s="632">
        <f t="shared" si="8"/>
        <v>416833.0317342598</v>
      </c>
      <c r="R15" s="632">
        <f t="shared" si="8"/>
        <v>416833.0317342598</v>
      </c>
      <c r="S15" s="632">
        <f t="shared" si="8"/>
        <v>416833.0317342598</v>
      </c>
      <c r="T15" s="632">
        <f>T13-T14</f>
        <v>416833.0317342598</v>
      </c>
      <c r="U15" s="632">
        <f t="shared" si="9"/>
        <v>416833.0317342598</v>
      </c>
      <c r="V15" s="632">
        <f t="shared" si="9"/>
        <v>416833.0317342598</v>
      </c>
      <c r="W15" s="632">
        <f t="shared" si="9"/>
        <v>416833.0317342598</v>
      </c>
      <c r="X15" s="632">
        <f>$T15</f>
        <v>416833.0317342598</v>
      </c>
      <c r="Y15" s="632">
        <f>Y13-Y14</f>
        <v>445817.08533815632</v>
      </c>
      <c r="Z15" s="632">
        <f>$Y15</f>
        <v>445817.08533815632</v>
      </c>
      <c r="AA15" s="632">
        <f t="shared" si="10"/>
        <v>445817.08533815632</v>
      </c>
      <c r="AB15" s="632">
        <f t="shared" si="10"/>
        <v>445817.08533815632</v>
      </c>
      <c r="AC15" s="632">
        <f>$Y15</f>
        <v>445817.08533815632</v>
      </c>
      <c r="AD15" s="632">
        <f t="shared" ref="AD15:AM15" si="13">AD13-AD14</f>
        <v>469034.7423875035</v>
      </c>
      <c r="AE15" s="632">
        <f>$AD15</f>
        <v>469034.7423875035</v>
      </c>
      <c r="AF15" s="632">
        <f t="shared" si="11"/>
        <v>469034.7423875035</v>
      </c>
      <c r="AG15" s="632">
        <f t="shared" si="11"/>
        <v>469034.7423875035</v>
      </c>
      <c r="AH15" s="632">
        <f t="shared" si="11"/>
        <v>469034.7423875035</v>
      </c>
      <c r="AI15" s="632">
        <f t="shared" si="13"/>
        <v>483033.20983585046</v>
      </c>
      <c r="AJ15" s="632">
        <f t="shared" si="13"/>
        <v>499630.79729922855</v>
      </c>
      <c r="AK15" s="632">
        <f t="shared" si="13"/>
        <v>513415.05507468421</v>
      </c>
      <c r="AL15" s="632">
        <f t="shared" si="13"/>
        <v>527528.74994060793</v>
      </c>
      <c r="AM15" s="632">
        <f t="shared" si="13"/>
        <v>541979.19076622254</v>
      </c>
    </row>
    <row r="16" spans="2:39">
      <c r="B16" s="635"/>
      <c r="C16" s="632"/>
      <c r="D16" s="632"/>
      <c r="E16" s="632"/>
      <c r="F16" s="632"/>
      <c r="G16" s="632"/>
      <c r="H16" s="632"/>
      <c r="I16" s="632"/>
      <c r="J16" s="632"/>
      <c r="K16" s="632"/>
      <c r="L16" s="632"/>
      <c r="M16" s="632"/>
      <c r="N16" s="632"/>
      <c r="O16" s="632"/>
      <c r="P16" s="632"/>
      <c r="Q16" s="632"/>
      <c r="R16" s="632"/>
      <c r="S16" s="632"/>
      <c r="T16" s="632"/>
      <c r="U16" s="636"/>
      <c r="V16" s="636"/>
      <c r="W16" s="636"/>
      <c r="X16" s="636"/>
      <c r="Y16" s="632"/>
      <c r="Z16" s="632"/>
      <c r="AA16" s="632"/>
      <c r="AB16" s="632"/>
      <c r="AC16" s="632"/>
      <c r="AD16" s="632"/>
      <c r="AE16" s="632"/>
      <c r="AF16" s="632"/>
      <c r="AG16" s="632"/>
      <c r="AH16" s="632"/>
      <c r="AI16" s="632"/>
      <c r="AJ16" s="632"/>
      <c r="AK16" s="632"/>
      <c r="AL16" s="632"/>
      <c r="AM16" s="632"/>
    </row>
    <row r="17" spans="1:44">
      <c r="B17" s="637" t="s">
        <v>513</v>
      </c>
      <c r="D17" s="638"/>
      <c r="E17" s="639"/>
      <c r="F17" s="639"/>
      <c r="G17" s="640"/>
      <c r="H17" s="640"/>
      <c r="I17" s="641"/>
      <c r="U17" s="642"/>
      <c r="V17" s="642"/>
      <c r="W17" s="642"/>
      <c r="X17" s="643"/>
      <c r="Y17" s="643"/>
      <c r="Z17" s="643"/>
      <c r="AA17" s="643"/>
      <c r="AB17" s="643"/>
      <c r="AC17" s="643"/>
      <c r="AD17" s="643"/>
      <c r="AE17" s="643"/>
      <c r="AF17" s="643"/>
      <c r="AG17" s="643"/>
      <c r="AH17" s="643"/>
      <c r="AI17" s="643"/>
      <c r="AJ17" s="643"/>
      <c r="AK17" s="643"/>
      <c r="AL17" s="643"/>
      <c r="AM17" s="643"/>
    </row>
    <row r="18" spans="1:44">
      <c r="B18" s="644" t="s">
        <v>514</v>
      </c>
      <c r="C18" s="644"/>
      <c r="D18" s="645"/>
      <c r="E18" s="645"/>
      <c r="F18" s="645"/>
      <c r="G18" s="644"/>
      <c r="H18" s="644"/>
      <c r="I18" s="644"/>
      <c r="J18" s="646">
        <f>1-J19-J20</f>
        <v>0.379</v>
      </c>
      <c r="K18" s="646">
        <f>1-K19-K20</f>
        <v>0.29800000000000004</v>
      </c>
      <c r="L18" s="646">
        <f>1-L19-L20</f>
        <v>0.3085</v>
      </c>
      <c r="M18" s="646">
        <f>1-M19-M20</f>
        <v>0.29899999999999999</v>
      </c>
      <c r="N18" s="646">
        <f>1-N19-N20</f>
        <v>0.31500000000000006</v>
      </c>
      <c r="O18" s="646">
        <f>AVERAGE(K18:N18)</f>
        <v>0.30512499999999998</v>
      </c>
      <c r="P18" s="646">
        <f>1-P19-P20</f>
        <v>0.27800000000000002</v>
      </c>
      <c r="Q18" s="646">
        <f>1-Q19-Q20</f>
        <v>0.28000000000000003</v>
      </c>
      <c r="R18" s="647">
        <f>1-R19-R20</f>
        <v>0.26500000000000001</v>
      </c>
      <c r="S18" s="648">
        <v>0.26</v>
      </c>
      <c r="T18" s="646">
        <f>AVERAGE(P18:S18)</f>
        <v>0.27075000000000005</v>
      </c>
      <c r="U18" s="647">
        <f>S18+0.35*$A$19</f>
        <v>0.26174999999999998</v>
      </c>
      <c r="V18" s="647">
        <f>U18+0.45*$A$19</f>
        <v>0.26399999999999996</v>
      </c>
      <c r="W18" s="647">
        <f>V18+0.45*$A$19</f>
        <v>0.26624999999999993</v>
      </c>
      <c r="X18" s="647">
        <v>0.26</v>
      </c>
      <c r="Y18" s="646">
        <f>AVERAGE(U18:X18)</f>
        <v>0.26299999999999996</v>
      </c>
      <c r="Z18" s="646">
        <f>X18+2*$A$19</f>
        <v>0.27</v>
      </c>
      <c r="AA18" s="646">
        <f>Z18-0.005</f>
        <v>0.26500000000000001</v>
      </c>
      <c r="AB18" s="646">
        <f>AA18-0.005</f>
        <v>0.26</v>
      </c>
      <c r="AC18" s="646">
        <f>AB18+0.25*$A$19</f>
        <v>0.26124999999999998</v>
      </c>
      <c r="AD18" s="646">
        <f t="shared" ref="AD18:AD23" si="14">AVERAGE(Z18:AC18)</f>
        <v>0.26406249999999998</v>
      </c>
      <c r="AE18" s="646">
        <f>AC18-0.25%</f>
        <v>0.25874999999999998</v>
      </c>
      <c r="AF18" s="646">
        <f>AE18-0.25%</f>
        <v>0.25624999999999998</v>
      </c>
      <c r="AG18" s="646">
        <f>AF18-0.25%</f>
        <v>0.25374999999999998</v>
      </c>
      <c r="AH18" s="646">
        <f>AG18-0.25%</f>
        <v>0.25124999999999997</v>
      </c>
      <c r="AI18" s="646">
        <f>AVERAGE(AE18:AH18)</f>
        <v>0.25499999999999995</v>
      </c>
      <c r="AJ18" s="646">
        <f>AI18-0.3*(AJ24-AI24)+0.25*4*$A$19</f>
        <v>0.25099999999999995</v>
      </c>
      <c r="AK18" s="646">
        <f>AJ18-0.3*(AK24-AJ24)+0.25*4*$A$19</f>
        <v>0.24999999999999994</v>
      </c>
      <c r="AL18" s="646">
        <f>AK18-0.3*(AL24-AK24)+0.25*4*$A$19</f>
        <v>0.24899999999999994</v>
      </c>
      <c r="AM18" s="646">
        <f>AL18-0.3*(AM24-AL24)+0.25*4*$A$19</f>
        <v>0.24499999999999994</v>
      </c>
      <c r="AN18" s="644"/>
      <c r="AO18" s="644"/>
      <c r="AP18" s="644"/>
      <c r="AQ18" s="644"/>
      <c r="AR18" s="644"/>
    </row>
    <row r="19" spans="1:44">
      <c r="A19" s="707">
        <f>CHOOSE(DCF!C25,0.45%,0.5%,0.1%)</f>
        <v>5.0000000000000001E-3</v>
      </c>
      <c r="B19" s="644" t="s">
        <v>515</v>
      </c>
      <c r="C19" s="649"/>
      <c r="D19" s="650"/>
      <c r="E19" s="650"/>
      <c r="F19" s="650"/>
      <c r="G19" s="651"/>
      <c r="H19" s="651"/>
      <c r="I19" s="651"/>
      <c r="J19" s="652">
        <v>0.6</v>
      </c>
      <c r="K19" s="646">
        <v>0.6</v>
      </c>
      <c r="L19" s="646">
        <v>0.55000000000000004</v>
      </c>
      <c r="M19" s="646">
        <v>0.5</v>
      </c>
      <c r="N19" s="646">
        <v>0.47</v>
      </c>
      <c r="O19" s="646">
        <f>AVERAGE(K19:N19)</f>
        <v>0.53</v>
      </c>
      <c r="P19" s="646">
        <v>0.48</v>
      </c>
      <c r="Q19" s="646">
        <v>0.48</v>
      </c>
      <c r="R19" s="646">
        <v>0.48</v>
      </c>
      <c r="S19" s="646">
        <f>1-S20-S18</f>
        <v>0.48</v>
      </c>
      <c r="T19" s="646">
        <f>AVERAGE(P19:S19)</f>
        <v>0.48</v>
      </c>
      <c r="U19" s="647">
        <v>0.47799999999999998</v>
      </c>
      <c r="V19" s="647">
        <v>0.47599999999999998</v>
      </c>
      <c r="W19" s="647">
        <v>0.47399999999999998</v>
      </c>
      <c r="X19" s="647">
        <v>0.47</v>
      </c>
      <c r="Y19" s="646">
        <f>AVERAGE(U19:X19)</f>
        <v>0.47449999999999998</v>
      </c>
      <c r="Z19" s="646">
        <f>X19-$A$19</f>
        <v>0.46499999999999997</v>
      </c>
      <c r="AA19" s="646">
        <f>Z19-0.01</f>
        <v>0.45499999999999996</v>
      </c>
      <c r="AB19" s="646">
        <f>AA19-$A$19</f>
        <v>0.44999999999999996</v>
      </c>
      <c r="AC19" s="646">
        <f>AB19-$A$19</f>
        <v>0.44499999999999995</v>
      </c>
      <c r="AD19" s="646">
        <f t="shared" si="14"/>
        <v>0.45374999999999999</v>
      </c>
      <c r="AE19" s="646">
        <f>AD19-1*$A$19</f>
        <v>0.44874999999999998</v>
      </c>
      <c r="AF19" s="646">
        <f>AD19-2*$A$19</f>
        <v>0.44374999999999998</v>
      </c>
      <c r="AG19" s="646">
        <f>AD19-3*$A$19</f>
        <v>0.43874999999999997</v>
      </c>
      <c r="AH19" s="646">
        <f>AD19-4*$A$19</f>
        <v>0.43374999999999997</v>
      </c>
      <c r="AI19" s="652">
        <f>AD19-4*$A$19</f>
        <v>0.43374999999999997</v>
      </c>
      <c r="AJ19" s="652">
        <f>AI19-0.01</f>
        <v>0.42374999999999996</v>
      </c>
      <c r="AK19" s="652">
        <f>AJ19-0.01</f>
        <v>0.41374999999999995</v>
      </c>
      <c r="AL19" s="652">
        <f>AK19-0.01</f>
        <v>0.40374999999999994</v>
      </c>
      <c r="AM19" s="652">
        <f>AL19-0.01</f>
        <v>0.39374999999999993</v>
      </c>
      <c r="AN19" s="653"/>
      <c r="AO19" s="653"/>
      <c r="AP19" s="653"/>
      <c r="AQ19" s="653"/>
      <c r="AR19" s="644"/>
    </row>
    <row r="20" spans="1:44">
      <c r="B20" s="654" t="s">
        <v>221</v>
      </c>
      <c r="C20" s="644"/>
      <c r="D20" s="644"/>
      <c r="E20" s="644"/>
      <c r="F20" s="644"/>
      <c r="G20" s="644"/>
      <c r="H20" s="644"/>
      <c r="I20" s="644"/>
      <c r="J20" s="646">
        <v>2.1000000000000001E-2</v>
      </c>
      <c r="K20" s="646">
        <v>0.10199999999999999</v>
      </c>
      <c r="L20" s="646">
        <v>0.14149999999999999</v>
      </c>
      <c r="M20" s="646">
        <v>0.20100000000000001</v>
      </c>
      <c r="N20" s="646">
        <v>0.215</v>
      </c>
      <c r="O20" s="646">
        <f>AVERAGE(K20:N20)</f>
        <v>0.16487499999999999</v>
      </c>
      <c r="P20" s="646">
        <v>0.24199999999999999</v>
      </c>
      <c r="Q20" s="646">
        <v>0.24</v>
      </c>
      <c r="R20" s="646">
        <v>0.255</v>
      </c>
      <c r="S20" s="648">
        <v>0.26</v>
      </c>
      <c r="T20" s="646">
        <f>AVERAGE(P20:S20)</f>
        <v>0.24925</v>
      </c>
      <c r="U20" s="647">
        <f>1-U19-U18</f>
        <v>0.26025000000000004</v>
      </c>
      <c r="V20" s="647">
        <f>1-V19-V18</f>
        <v>0.26000000000000006</v>
      </c>
      <c r="W20" s="647">
        <f>1-W19-W18</f>
        <v>0.25975000000000009</v>
      </c>
      <c r="X20" s="647">
        <f>1-X19-X18</f>
        <v>0.27</v>
      </c>
      <c r="Y20" s="646">
        <f>AVERAGE(U20:X20)</f>
        <v>0.26250000000000007</v>
      </c>
      <c r="Z20" s="646">
        <f>1-Z19-Z18</f>
        <v>0.26500000000000001</v>
      </c>
      <c r="AA20" s="646">
        <f>1-AA19-AA18</f>
        <v>0.28000000000000003</v>
      </c>
      <c r="AB20" s="646">
        <f>1-AB19-AB18</f>
        <v>0.29000000000000004</v>
      </c>
      <c r="AC20" s="646">
        <f>1-AC19-AC18</f>
        <v>0.29375000000000007</v>
      </c>
      <c r="AD20" s="646">
        <f t="shared" si="14"/>
        <v>0.28218750000000004</v>
      </c>
      <c r="AE20" s="646">
        <f>1-AE18-AE19</f>
        <v>0.29249999999999998</v>
      </c>
      <c r="AF20" s="646">
        <f t="shared" ref="AF20:AH20" si="15">1-AF18-AF19</f>
        <v>0.30000000000000004</v>
      </c>
      <c r="AG20" s="646">
        <f t="shared" si="15"/>
        <v>0.30750000000000011</v>
      </c>
      <c r="AH20" s="646">
        <f t="shared" si="15"/>
        <v>0.31500000000000006</v>
      </c>
      <c r="AI20" s="646">
        <f>1-AI18-AI19</f>
        <v>0.31125000000000014</v>
      </c>
      <c r="AJ20" s="646">
        <f>AI20-0.3*(AJ24-AI24)+0.75*4*$A$19</f>
        <v>0.31725000000000014</v>
      </c>
      <c r="AK20" s="646">
        <f>AJ20-0.3*(AK24-AJ24)+0.75*4*$A$19</f>
        <v>0.32625000000000015</v>
      </c>
      <c r="AL20" s="646">
        <f>AK20-0.3*(AL24-AK24)+0.75*4*$A$19</f>
        <v>0.33525000000000016</v>
      </c>
      <c r="AM20" s="646">
        <f>AL20-0.3*(AM24-AL24)+0.75*4*$A$19</f>
        <v>0.34125000000000016</v>
      </c>
      <c r="AN20" s="644"/>
      <c r="AO20" s="644"/>
      <c r="AP20" s="644"/>
      <c r="AQ20" s="644"/>
      <c r="AR20" s="644"/>
    </row>
    <row r="21" spans="1:44" outlineLevel="2">
      <c r="B21" s="655" t="s">
        <v>516</v>
      </c>
      <c r="C21" s="632"/>
      <c r="D21" s="632"/>
      <c r="E21" s="632"/>
      <c r="F21" s="632"/>
      <c r="G21" s="632"/>
      <c r="H21" s="632"/>
      <c r="I21" s="632"/>
      <c r="J21" s="632"/>
      <c r="K21" s="656">
        <v>0.4</v>
      </c>
      <c r="L21" s="656">
        <v>0.35</v>
      </c>
      <c r="M21" s="656">
        <f>L21</f>
        <v>0.35</v>
      </c>
      <c r="N21" s="656">
        <f>0.65*(1-N23)</f>
        <v>0.39</v>
      </c>
      <c r="O21" s="632"/>
      <c r="P21" s="656">
        <v>0.16</v>
      </c>
      <c r="Q21" s="656">
        <v>0.21</v>
      </c>
      <c r="R21" s="656">
        <v>0.25</v>
      </c>
      <c r="S21" s="656">
        <f>R21</f>
        <v>0.25</v>
      </c>
      <c r="T21" s="656"/>
      <c r="U21" s="774">
        <f>S21</f>
        <v>0.25</v>
      </c>
      <c r="V21" s="656">
        <f t="shared" ref="V21:X23" si="16">U21</f>
        <v>0.25</v>
      </c>
      <c r="W21" s="656">
        <f t="shared" si="16"/>
        <v>0.25</v>
      </c>
      <c r="X21" s="656">
        <f t="shared" si="16"/>
        <v>0.25</v>
      </c>
      <c r="Y21" s="646"/>
      <c r="Z21" s="656">
        <f>X21</f>
        <v>0.25</v>
      </c>
      <c r="AA21" s="656">
        <f t="shared" ref="AA21:AC23" si="17">Z21</f>
        <v>0.25</v>
      </c>
      <c r="AB21" s="656">
        <f t="shared" si="17"/>
        <v>0.25</v>
      </c>
      <c r="AC21" s="656">
        <f>AB21</f>
        <v>0.25</v>
      </c>
      <c r="AD21" s="646">
        <f t="shared" si="14"/>
        <v>0.25</v>
      </c>
      <c r="AE21" s="646">
        <f>AD21</f>
        <v>0.25</v>
      </c>
      <c r="AF21" s="646">
        <f t="shared" ref="AF21:AH21" si="18">AE21</f>
        <v>0.25</v>
      </c>
      <c r="AG21" s="646">
        <f t="shared" si="18"/>
        <v>0.25</v>
      </c>
      <c r="AH21" s="646">
        <f t="shared" si="18"/>
        <v>0.25</v>
      </c>
      <c r="AI21" s="646">
        <f>AVERAGE(AE21:AH21)</f>
        <v>0.25</v>
      </c>
      <c r="AJ21" s="646"/>
      <c r="AK21" s="646"/>
      <c r="AL21" s="646"/>
      <c r="AM21" s="646"/>
      <c r="AN21" s="644"/>
      <c r="AO21" s="644"/>
      <c r="AP21" s="644"/>
      <c r="AQ21" s="644"/>
      <c r="AR21" s="644"/>
    </row>
    <row r="22" spans="1:44" outlineLevel="2">
      <c r="B22" s="655" t="s">
        <v>517</v>
      </c>
      <c r="C22" s="632"/>
      <c r="D22" s="632"/>
      <c r="E22" s="632"/>
      <c r="F22" s="632"/>
      <c r="G22" s="632"/>
      <c r="H22" s="632"/>
      <c r="I22" s="632"/>
      <c r="J22" s="632"/>
      <c r="K22" s="656">
        <v>0.6</v>
      </c>
      <c r="L22" s="656">
        <v>0.25</v>
      </c>
      <c r="M22" s="656">
        <f>L22</f>
        <v>0.25</v>
      </c>
      <c r="N22" s="656">
        <f>0.35*(1-N23)</f>
        <v>0.21</v>
      </c>
      <c r="O22" s="632"/>
      <c r="P22" s="656">
        <v>0.25</v>
      </c>
      <c r="Q22" s="656">
        <v>0.18</v>
      </c>
      <c r="R22" s="656">
        <v>0.25</v>
      </c>
      <c r="S22" s="656">
        <f>R22</f>
        <v>0.25</v>
      </c>
      <c r="T22" s="656"/>
      <c r="U22" s="774">
        <f>S22</f>
        <v>0.25</v>
      </c>
      <c r="V22" s="656">
        <f t="shared" si="16"/>
        <v>0.25</v>
      </c>
      <c r="W22" s="656">
        <f t="shared" si="16"/>
        <v>0.25</v>
      </c>
      <c r="X22" s="656">
        <f t="shared" si="16"/>
        <v>0.25</v>
      </c>
      <c r="Y22" s="646"/>
      <c r="Z22" s="656">
        <f>X22</f>
        <v>0.25</v>
      </c>
      <c r="AA22" s="656">
        <f t="shared" si="17"/>
        <v>0.25</v>
      </c>
      <c r="AB22" s="656">
        <f t="shared" si="17"/>
        <v>0.25</v>
      </c>
      <c r="AC22" s="656">
        <f>AB22</f>
        <v>0.25</v>
      </c>
      <c r="AD22" s="646">
        <f t="shared" si="14"/>
        <v>0.25</v>
      </c>
      <c r="AE22" s="646">
        <f t="shared" ref="AE22:AH23" si="19">AD22</f>
        <v>0.25</v>
      </c>
      <c r="AF22" s="646">
        <f t="shared" si="19"/>
        <v>0.25</v>
      </c>
      <c r="AG22" s="646">
        <f t="shared" si="19"/>
        <v>0.25</v>
      </c>
      <c r="AH22" s="646">
        <f t="shared" si="19"/>
        <v>0.25</v>
      </c>
      <c r="AI22" s="646">
        <f t="shared" ref="AI22:AI23" si="20">AVERAGE(AE22:AH22)</f>
        <v>0.25</v>
      </c>
      <c r="AJ22" s="646"/>
      <c r="AK22" s="646"/>
      <c r="AL22" s="646"/>
      <c r="AM22" s="646"/>
      <c r="AN22" s="644"/>
      <c r="AO22" s="644"/>
      <c r="AP22" s="644"/>
      <c r="AQ22" s="644"/>
      <c r="AR22" s="644"/>
    </row>
    <row r="23" spans="1:44" outlineLevel="2">
      <c r="B23" s="655" t="s">
        <v>518</v>
      </c>
      <c r="C23" s="632"/>
      <c r="D23" s="632"/>
      <c r="E23" s="632"/>
      <c r="F23" s="632"/>
      <c r="G23" s="632"/>
      <c r="H23" s="632"/>
      <c r="I23" s="632"/>
      <c r="J23" s="632"/>
      <c r="K23" s="656">
        <f>1-K22-K21</f>
        <v>0</v>
      </c>
      <c r="L23" s="656">
        <v>0.4</v>
      </c>
      <c r="M23" s="656">
        <f>L23</f>
        <v>0.4</v>
      </c>
      <c r="N23" s="656">
        <f>M23</f>
        <v>0.4</v>
      </c>
      <c r="O23" s="632"/>
      <c r="P23" s="656">
        <f>1-P21-P22</f>
        <v>0.59</v>
      </c>
      <c r="Q23" s="656">
        <f>1-Q22-Q21</f>
        <v>0.6100000000000001</v>
      </c>
      <c r="R23" s="656">
        <f>1-R22-R21</f>
        <v>0.5</v>
      </c>
      <c r="S23" s="656">
        <f>R23</f>
        <v>0.5</v>
      </c>
      <c r="T23" s="656"/>
      <c r="U23" s="774">
        <f>S23</f>
        <v>0.5</v>
      </c>
      <c r="V23" s="656">
        <f t="shared" si="16"/>
        <v>0.5</v>
      </c>
      <c r="W23" s="656">
        <f t="shared" si="16"/>
        <v>0.5</v>
      </c>
      <c r="X23" s="656">
        <f t="shared" si="16"/>
        <v>0.5</v>
      </c>
      <c r="Y23" s="646"/>
      <c r="Z23" s="656">
        <f>X23</f>
        <v>0.5</v>
      </c>
      <c r="AA23" s="656">
        <f t="shared" si="17"/>
        <v>0.5</v>
      </c>
      <c r="AB23" s="656">
        <f t="shared" si="17"/>
        <v>0.5</v>
      </c>
      <c r="AC23" s="656">
        <f t="shared" si="17"/>
        <v>0.5</v>
      </c>
      <c r="AD23" s="646">
        <f t="shared" si="14"/>
        <v>0.5</v>
      </c>
      <c r="AE23" s="646">
        <f t="shared" si="19"/>
        <v>0.5</v>
      </c>
      <c r="AF23" s="646">
        <f t="shared" si="19"/>
        <v>0.5</v>
      </c>
      <c r="AG23" s="646">
        <f t="shared" si="19"/>
        <v>0.5</v>
      </c>
      <c r="AH23" s="646">
        <f t="shared" si="19"/>
        <v>0.5</v>
      </c>
      <c r="AI23" s="646">
        <f t="shared" si="20"/>
        <v>0.5</v>
      </c>
      <c r="AJ23" s="646"/>
      <c r="AK23" s="646"/>
      <c r="AL23" s="646"/>
      <c r="AM23" s="646"/>
      <c r="AN23" s="644"/>
      <c r="AO23" s="644"/>
      <c r="AP23" s="644"/>
      <c r="AQ23" s="644"/>
      <c r="AR23" s="644"/>
    </row>
    <row r="24" spans="1:44">
      <c r="B24" s="644" t="s">
        <v>581</v>
      </c>
      <c r="C24" s="632"/>
      <c r="D24" s="632"/>
      <c r="E24" s="632"/>
      <c r="F24" s="632"/>
      <c r="G24" s="632"/>
      <c r="H24" s="632"/>
      <c r="I24" s="632"/>
      <c r="J24" s="632"/>
      <c r="K24" s="656"/>
      <c r="L24" s="656"/>
      <c r="M24" s="656"/>
      <c r="N24" s="656"/>
      <c r="O24" s="632"/>
      <c r="P24" s="656"/>
      <c r="Q24" s="656"/>
      <c r="R24" s="656"/>
      <c r="S24" s="656"/>
      <c r="T24" s="656"/>
      <c r="U24" s="775"/>
      <c r="V24" s="636"/>
      <c r="W24" s="636"/>
      <c r="X24" s="636"/>
      <c r="Y24" s="646"/>
      <c r="Z24" s="656"/>
      <c r="AA24" s="656"/>
      <c r="AB24" s="656"/>
      <c r="AC24" s="656"/>
      <c r="AD24" s="646"/>
      <c r="AE24" s="646"/>
      <c r="AF24" s="646"/>
      <c r="AG24" s="646"/>
      <c r="AH24" s="646"/>
      <c r="AI24" s="646"/>
      <c r="AJ24" s="646">
        <v>0.03</v>
      </c>
      <c r="AK24" s="646">
        <v>0.05</v>
      </c>
      <c r="AL24" s="646">
        <v>7.0000000000000007E-2</v>
      </c>
      <c r="AM24" s="646">
        <v>0.1</v>
      </c>
      <c r="AN24" s="644"/>
      <c r="AO24" s="644"/>
      <c r="AP24" s="644"/>
      <c r="AQ24" s="644"/>
      <c r="AR24" s="644"/>
    </row>
    <row r="25" spans="1:44">
      <c r="B25" s="644"/>
      <c r="C25" s="632"/>
      <c r="D25" s="632"/>
      <c r="E25" s="632"/>
      <c r="F25" s="632"/>
      <c r="G25" s="632"/>
      <c r="H25" s="632"/>
      <c r="I25" s="632"/>
      <c r="J25" s="632"/>
      <c r="K25" s="656"/>
      <c r="L25" s="656"/>
      <c r="M25" s="656"/>
      <c r="N25" s="656"/>
      <c r="O25" s="632"/>
      <c r="P25" s="656"/>
      <c r="Q25" s="656"/>
      <c r="R25" s="656"/>
      <c r="S25" s="656"/>
      <c r="T25" s="656"/>
      <c r="U25" s="774"/>
      <c r="V25" s="656"/>
      <c r="W25" s="656"/>
      <c r="X25" s="656"/>
      <c r="Y25" s="646"/>
      <c r="Z25" s="656"/>
      <c r="AA25" s="656"/>
      <c r="AB25" s="656"/>
      <c r="AC25" s="656"/>
      <c r="AD25" s="646"/>
      <c r="AE25" s="646"/>
      <c r="AF25" s="646"/>
      <c r="AG25" s="646"/>
      <c r="AH25" s="646"/>
      <c r="AI25" s="646"/>
      <c r="AJ25" s="646"/>
      <c r="AK25" s="646"/>
      <c r="AL25" s="646"/>
      <c r="AM25" s="646"/>
      <c r="AN25" s="644"/>
      <c r="AO25" s="644"/>
      <c r="AP25" s="644"/>
      <c r="AQ25" s="644"/>
      <c r="AR25" s="644"/>
    </row>
    <row r="26" spans="1:44">
      <c r="B26" s="644" t="s">
        <v>519</v>
      </c>
      <c r="E26" s="641"/>
      <c r="F26" s="641"/>
      <c r="G26" s="641"/>
      <c r="H26" s="641"/>
      <c r="I26" s="641"/>
      <c r="J26" s="619">
        <f>J13*J20</f>
        <v>12738.448800000004</v>
      </c>
      <c r="K26" s="619">
        <f>K13*K20</f>
        <v>62143.157637000011</v>
      </c>
      <c r="L26" s="619">
        <f>L13*L20</f>
        <v>86583.918910499997</v>
      </c>
      <c r="M26" s="619">
        <f>M13*M20</f>
        <v>123525.42043050002</v>
      </c>
      <c r="N26" s="619">
        <f>N13*N20</f>
        <v>132699.75741000002</v>
      </c>
      <c r="O26" s="619">
        <f>AVERAGE(K26:N26)</f>
        <v>101238.06359700001</v>
      </c>
      <c r="P26" s="619">
        <f>P13*P20</f>
        <v>151671.1236586812</v>
      </c>
      <c r="Q26" s="619">
        <f>Q13*Q20</f>
        <v>152728.63227121503</v>
      </c>
      <c r="R26" s="619">
        <f>R13*R20</f>
        <v>164754.48646401297</v>
      </c>
      <c r="S26" s="619">
        <f>S13*S20</f>
        <v>170539.41898422001</v>
      </c>
      <c r="T26" s="619">
        <f>AVERAGE(P26:S26)</f>
        <v>159923.41534453232</v>
      </c>
      <c r="U26" s="776">
        <f>U13*U20</f>
        <v>173862.73228379851</v>
      </c>
      <c r="V26" s="619">
        <f>V13*V20</f>
        <v>176885.44554830625</v>
      </c>
      <c r="W26" s="619">
        <f>W13*W20</f>
        <v>179935.5843765208</v>
      </c>
      <c r="X26" s="619">
        <f t="shared" ref="X26:AM26" si="21">X13*X20</f>
        <v>189641.15439864231</v>
      </c>
      <c r="Y26" s="619">
        <f>Y13*Y20</f>
        <v>180041.51523271701</v>
      </c>
      <c r="Z26" s="619">
        <f t="shared" si="21"/>
        <v>188153.17804420879</v>
      </c>
      <c r="AA26" s="619">
        <f t="shared" si="21"/>
        <v>200955.67393741812</v>
      </c>
      <c r="AB26" s="619">
        <f>AB13*AB20</f>
        <v>210376.23733280823</v>
      </c>
      <c r="AC26" s="619">
        <f>AC13*AC20</f>
        <v>215383.82038478131</v>
      </c>
      <c r="AD26" s="619">
        <f t="shared" si="21"/>
        <v>203624.21748842101</v>
      </c>
      <c r="AE26" s="619">
        <f>AE13*AE20</f>
        <v>215953.92005736954</v>
      </c>
      <c r="AF26" s="619">
        <f t="shared" ref="AF26:AH26" si="22">AF13*AF20</f>
        <v>222456.00304602907</v>
      </c>
      <c r="AG26" s="619">
        <f t="shared" si="22"/>
        <v>229006.32618404808</v>
      </c>
      <c r="AH26" s="619">
        <f t="shared" si="22"/>
        <v>235604.88947142634</v>
      </c>
      <c r="AI26" s="619">
        <f t="shared" si="21"/>
        <v>231298.59470985926</v>
      </c>
      <c r="AJ26" s="619">
        <f t="shared" si="21"/>
        <v>243858.26222027742</v>
      </c>
      <c r="AK26" s="619">
        <f t="shared" si="21"/>
        <v>257694.86418171661</v>
      </c>
      <c r="AL26" s="619">
        <f t="shared" si="21"/>
        <v>272083.09756552137</v>
      </c>
      <c r="AM26" s="619">
        <f t="shared" si="21"/>
        <v>284539.07515226695</v>
      </c>
    </row>
    <row r="27" spans="1:44">
      <c r="B27" s="644" t="s">
        <v>520</v>
      </c>
      <c r="E27" s="641"/>
      <c r="F27" s="641"/>
      <c r="G27" s="641"/>
      <c r="H27" s="641"/>
      <c r="I27" s="641"/>
      <c r="J27" s="657">
        <f t="shared" ref="J27:AM27" si="23">1405/1019</f>
        <v>1.3788027477919529</v>
      </c>
      <c r="K27" s="658">
        <f t="shared" si="23"/>
        <v>1.3788027477919529</v>
      </c>
      <c r="L27" s="658">
        <f t="shared" si="23"/>
        <v>1.3788027477919529</v>
      </c>
      <c r="M27" s="658">
        <f t="shared" si="23"/>
        <v>1.3788027477919529</v>
      </c>
      <c r="N27" s="658">
        <f t="shared" si="23"/>
        <v>1.3788027477919529</v>
      </c>
      <c r="O27" s="658">
        <f t="shared" si="23"/>
        <v>1.3788027477919529</v>
      </c>
      <c r="P27" s="658">
        <f t="shared" si="23"/>
        <v>1.3788027477919529</v>
      </c>
      <c r="Q27" s="658">
        <f t="shared" si="23"/>
        <v>1.3788027477919529</v>
      </c>
      <c r="R27" s="658">
        <f t="shared" si="23"/>
        <v>1.3788027477919529</v>
      </c>
      <c r="S27" s="658">
        <f t="shared" si="23"/>
        <v>1.3788027477919529</v>
      </c>
      <c r="T27" s="658">
        <f t="shared" si="23"/>
        <v>1.3788027477919529</v>
      </c>
      <c r="U27" s="777">
        <f>1405/1019</f>
        <v>1.3788027477919529</v>
      </c>
      <c r="V27" s="658">
        <f t="shared" si="23"/>
        <v>1.3788027477919529</v>
      </c>
      <c r="W27" s="658">
        <f t="shared" si="23"/>
        <v>1.3788027477919529</v>
      </c>
      <c r="X27" s="658">
        <f t="shared" si="23"/>
        <v>1.3788027477919529</v>
      </c>
      <c r="Y27" s="658">
        <f t="shared" si="23"/>
        <v>1.3788027477919529</v>
      </c>
      <c r="Z27" s="658">
        <f t="shared" si="23"/>
        <v>1.3788027477919529</v>
      </c>
      <c r="AA27" s="658">
        <f t="shared" si="23"/>
        <v>1.3788027477919529</v>
      </c>
      <c r="AB27" s="658">
        <f t="shared" si="23"/>
        <v>1.3788027477919529</v>
      </c>
      <c r="AC27" s="658">
        <f>1405/1019</f>
        <v>1.3788027477919529</v>
      </c>
      <c r="AD27" s="658">
        <f t="shared" si="23"/>
        <v>1.3788027477919529</v>
      </c>
      <c r="AE27" s="658">
        <f>AD27</f>
        <v>1.3788027477919529</v>
      </c>
      <c r="AF27" s="658">
        <f t="shared" ref="AF27:AH27" si="24">AE27</f>
        <v>1.3788027477919529</v>
      </c>
      <c r="AG27" s="658">
        <f t="shared" si="24"/>
        <v>1.3788027477919529</v>
      </c>
      <c r="AH27" s="658">
        <f t="shared" si="24"/>
        <v>1.3788027477919529</v>
      </c>
      <c r="AI27" s="658">
        <f t="shared" si="23"/>
        <v>1.3788027477919529</v>
      </c>
      <c r="AJ27" s="658">
        <f t="shared" si="23"/>
        <v>1.3788027477919529</v>
      </c>
      <c r="AK27" s="658">
        <f t="shared" si="23"/>
        <v>1.3788027477919529</v>
      </c>
      <c r="AL27" s="658">
        <f t="shared" si="23"/>
        <v>1.3788027477919529</v>
      </c>
      <c r="AM27" s="658">
        <f t="shared" si="23"/>
        <v>1.3788027477919529</v>
      </c>
    </row>
    <row r="28" spans="1:44">
      <c r="B28" s="644" t="s">
        <v>521</v>
      </c>
      <c r="E28" s="641"/>
      <c r="F28" s="641"/>
      <c r="G28" s="641"/>
      <c r="H28" s="641"/>
      <c r="I28" s="641"/>
      <c r="J28" s="659">
        <v>0.8233229893238434</v>
      </c>
      <c r="K28" s="659">
        <f>(K21*K29+K22*K30+K23*K32)</f>
        <v>0.84800000000000009</v>
      </c>
      <c r="L28" s="659">
        <f>(L21*L29+L22*L30+L23*L32)</f>
        <v>0.95024999999999993</v>
      </c>
      <c r="M28" s="659">
        <f>(M21*M29+M22*M30+M23*M32)</f>
        <v>0.83649999999999991</v>
      </c>
      <c r="N28" s="659">
        <f>(N21*N29+N22*N30+N23*N32)</f>
        <v>0.86130000000000007</v>
      </c>
      <c r="O28" s="659">
        <f>O33/O27</f>
        <v>3.4828509094347528</v>
      </c>
      <c r="P28" s="659">
        <f>(P21*P29+P22*P30+P23*P32)</f>
        <v>0.85218784432821149</v>
      </c>
      <c r="Q28" s="659">
        <f>(Q21*Q29+Q22*Q30+Q23*Q32)</f>
        <v>0.89597500000000008</v>
      </c>
      <c r="R28" s="659">
        <f>(R21*R29+R22*R30+R23*R32)</f>
        <v>0.9095387339917903</v>
      </c>
      <c r="S28" s="659">
        <f>(S21*S29+S22*S30+S23*S32)</f>
        <v>0.95</v>
      </c>
      <c r="T28" s="659">
        <f>T33/T27</f>
        <v>3.6139570809225217</v>
      </c>
      <c r="U28" s="778">
        <f>(U21*U29+U22*U30+U23*U32)</f>
        <v>0.95</v>
      </c>
      <c r="V28" s="659">
        <f>(V21*V29+V22*V30+V23*V32)</f>
        <v>0.95</v>
      </c>
      <c r="W28" s="659">
        <f>(W21*W29+W22*W30+W23*W32)</f>
        <v>0.95750000000000002</v>
      </c>
      <c r="X28" s="659">
        <f>(X21*X29+X22*X30+X23*X32)</f>
        <v>0.97249999999999992</v>
      </c>
      <c r="Y28" s="659">
        <f>SUM(U28:X28)</f>
        <v>3.83</v>
      </c>
      <c r="Z28" s="659">
        <f>(Z21*Z29+Z22*Z30+Z23*Z32)</f>
        <v>0.98</v>
      </c>
      <c r="AA28" s="659">
        <f>(AA21*AA29+AA22*AA30+AA23*AA32)</f>
        <v>0.98750000000000004</v>
      </c>
      <c r="AB28" s="659">
        <f>(AB21*AB29+AB22*AB30+AB23*AB32)</f>
        <v>0.99500000000000011</v>
      </c>
      <c r="AC28" s="659">
        <f>(AC21*AC29+AC22*AC30+AC23*AC32)</f>
        <v>1.0024999999999999</v>
      </c>
      <c r="AD28" s="659">
        <f>SUM(Z28:AC28)</f>
        <v>3.9650000000000003</v>
      </c>
      <c r="AE28" s="659">
        <f>(AE21*AE29+AE22*AE30+AE23*AE32)</f>
        <v>1.01</v>
      </c>
      <c r="AF28" s="659">
        <f t="shared" ref="AF28:AH28" si="25">(AF21*AF29+AF22*AF30+AF23*AF32)</f>
        <v>1.0175000000000001</v>
      </c>
      <c r="AG28" s="659">
        <f t="shared" si="25"/>
        <v>1.0250000000000001</v>
      </c>
      <c r="AH28" s="659">
        <f t="shared" si="25"/>
        <v>1.0325</v>
      </c>
      <c r="AI28" s="659">
        <f>AD28</f>
        <v>3.9650000000000003</v>
      </c>
      <c r="AJ28" s="659">
        <f>AI28</f>
        <v>3.9650000000000003</v>
      </c>
      <c r="AK28" s="659">
        <f>AJ28</f>
        <v>3.9650000000000003</v>
      </c>
      <c r="AL28" s="659">
        <f>AK28</f>
        <v>3.9650000000000003</v>
      </c>
      <c r="AM28" s="659">
        <f>AL28</f>
        <v>3.9650000000000003</v>
      </c>
    </row>
    <row r="29" spans="1:44" outlineLevel="1">
      <c r="B29" s="655" t="s">
        <v>522</v>
      </c>
      <c r="E29" s="641"/>
      <c r="F29" s="641"/>
      <c r="G29" s="641"/>
      <c r="H29" s="641"/>
      <c r="I29" s="641"/>
      <c r="J29" s="659"/>
      <c r="K29" s="660">
        <v>2</v>
      </c>
      <c r="L29" s="659">
        <f>K29</f>
        <v>2</v>
      </c>
      <c r="M29" s="659">
        <f>L29</f>
        <v>2</v>
      </c>
      <c r="N29" s="659">
        <f>M29</f>
        <v>2</v>
      </c>
      <c r="O29" s="659"/>
      <c r="P29" s="659">
        <f>'Eylea Dosing Schedule'!$O$6</f>
        <v>2</v>
      </c>
      <c r="Q29" s="659">
        <f>P29</f>
        <v>2</v>
      </c>
      <c r="R29" s="659">
        <f>Q29</f>
        <v>2</v>
      </c>
      <c r="S29" s="659">
        <f>R29</f>
        <v>2</v>
      </c>
      <c r="T29" s="658"/>
      <c r="U29" s="778">
        <f>'Eylea Dosing Schedule'!$O$6</f>
        <v>2</v>
      </c>
      <c r="V29" s="659">
        <f>U29</f>
        <v>2</v>
      </c>
      <c r="W29" s="659">
        <f>V29</f>
        <v>2</v>
      </c>
      <c r="X29" s="659">
        <f>W29</f>
        <v>2</v>
      </c>
      <c r="Y29" s="659"/>
      <c r="Z29" s="659">
        <f>'Eylea Dosing Schedule'!$O$6</f>
        <v>2</v>
      </c>
      <c r="AA29" s="659">
        <f>Z29</f>
        <v>2</v>
      </c>
      <c r="AB29" s="659">
        <f>AA29</f>
        <v>2</v>
      </c>
      <c r="AC29" s="659">
        <f>AB29</f>
        <v>2</v>
      </c>
      <c r="AD29" s="659">
        <f>AVERAGE(Z29:AC29)</f>
        <v>2</v>
      </c>
      <c r="AE29" s="659">
        <f>AC29</f>
        <v>2</v>
      </c>
      <c r="AF29" s="659">
        <f>AE29</f>
        <v>2</v>
      </c>
      <c r="AG29" s="659">
        <f>AF29</f>
        <v>2</v>
      </c>
      <c r="AH29" s="659">
        <f>AG29</f>
        <v>2</v>
      </c>
      <c r="AI29" s="659">
        <f>AVERAGE(AE29:AH29)</f>
        <v>2</v>
      </c>
      <c r="AJ29" s="659"/>
      <c r="AK29" s="659"/>
      <c r="AL29" s="659"/>
      <c r="AM29" s="659"/>
    </row>
    <row r="30" spans="1:44" outlineLevel="1">
      <c r="B30" s="655" t="s">
        <v>523</v>
      </c>
      <c r="E30" s="641"/>
      <c r="F30" s="641"/>
      <c r="G30" s="641"/>
      <c r="H30" s="641"/>
      <c r="I30" s="641"/>
      <c r="J30" s="659"/>
      <c r="K30" s="658">
        <v>0.08</v>
      </c>
      <c r="L30" s="658">
        <v>0.38500000000000001</v>
      </c>
      <c r="M30" s="658">
        <v>0.21</v>
      </c>
      <c r="N30" s="658">
        <v>0.13</v>
      </c>
      <c r="O30" s="659"/>
      <c r="P30" s="658">
        <v>0.38235137731284596</v>
      </c>
      <c r="Q30" s="658">
        <v>0.60250000000000004</v>
      </c>
      <c r="R30" s="658">
        <v>0.54605164532238715</v>
      </c>
      <c r="S30" s="658">
        <v>0.6</v>
      </c>
      <c r="T30" s="658"/>
      <c r="U30" s="777">
        <f>S30</f>
        <v>0.6</v>
      </c>
      <c r="V30" s="658">
        <f>U30</f>
        <v>0.6</v>
      </c>
      <c r="W30" s="658">
        <f>V30+0.01</f>
        <v>0.61</v>
      </c>
      <c r="X30" s="658">
        <f>W30+0.02</f>
        <v>0.63</v>
      </c>
      <c r="Y30" s="659"/>
      <c r="Z30" s="658">
        <f>X30+0.01</f>
        <v>0.64</v>
      </c>
      <c r="AA30" s="658">
        <f>Z30+0.01</f>
        <v>0.65</v>
      </c>
      <c r="AB30" s="658">
        <f>AA30+0.01</f>
        <v>0.66</v>
      </c>
      <c r="AC30" s="658">
        <f>AB30+0.01</f>
        <v>0.67</v>
      </c>
      <c r="AD30" s="659"/>
      <c r="AE30" s="658">
        <f>AC30+0.01</f>
        <v>0.68</v>
      </c>
      <c r="AF30" s="658">
        <f>AE30+0.01</f>
        <v>0.69000000000000006</v>
      </c>
      <c r="AG30" s="658">
        <f t="shared" ref="AG30:AH30" si="26">AF30+0.01</f>
        <v>0.70000000000000007</v>
      </c>
      <c r="AH30" s="658">
        <f t="shared" si="26"/>
        <v>0.71000000000000008</v>
      </c>
      <c r="AI30" s="659"/>
      <c r="AJ30" s="659"/>
      <c r="AK30" s="659"/>
      <c r="AL30" s="659"/>
      <c r="AM30" s="659"/>
    </row>
    <row r="31" spans="1:44" outlineLevel="1">
      <c r="B31" s="655" t="s">
        <v>524</v>
      </c>
      <c r="E31" s="641"/>
      <c r="F31" s="641"/>
      <c r="G31" s="641"/>
      <c r="H31" s="641"/>
      <c r="I31" s="641"/>
      <c r="J31" s="659"/>
      <c r="K31" s="661">
        <f>K30/1.5</f>
        <v>5.3333333333333337E-2</v>
      </c>
      <c r="L31" s="661">
        <f>L30/1.5</f>
        <v>0.25666666666666665</v>
      </c>
      <c r="M31" s="661">
        <f>M30/1.5</f>
        <v>0.13999999999999999</v>
      </c>
      <c r="N31" s="661">
        <f>N30/1.5</f>
        <v>8.666666666666667E-2</v>
      </c>
      <c r="O31" s="659"/>
      <c r="P31" s="661">
        <f>P30/1.5</f>
        <v>0.25490091820856398</v>
      </c>
      <c r="Q31" s="661">
        <f>Q30/1.5</f>
        <v>0.40166666666666667</v>
      </c>
      <c r="R31" s="661">
        <f>R30/1.5</f>
        <v>0.36403443021492476</v>
      </c>
      <c r="S31" s="661">
        <f>S30/1.5</f>
        <v>0.39999999999999997</v>
      </c>
      <c r="T31" s="658"/>
      <c r="U31" s="779">
        <f>U30/1.5</f>
        <v>0.39999999999999997</v>
      </c>
      <c r="V31" s="661">
        <f>V30/1.5</f>
        <v>0.39999999999999997</v>
      </c>
      <c r="W31" s="661">
        <f>W30/1.5</f>
        <v>0.40666666666666668</v>
      </c>
      <c r="X31" s="661">
        <f>X30/1.5</f>
        <v>0.42</v>
      </c>
      <c r="Y31" s="659"/>
      <c r="Z31" s="661">
        <f>Z30/1.5</f>
        <v>0.42666666666666669</v>
      </c>
      <c r="AA31" s="661">
        <f>AA30/1.5</f>
        <v>0.43333333333333335</v>
      </c>
      <c r="AB31" s="661">
        <f>AB30/1.5</f>
        <v>0.44</v>
      </c>
      <c r="AC31" s="661">
        <f>AC30/1.5</f>
        <v>0.44666666666666671</v>
      </c>
      <c r="AD31" s="659"/>
      <c r="AE31" s="661">
        <f>AE30/1.5</f>
        <v>0.45333333333333337</v>
      </c>
      <c r="AF31" s="661">
        <f t="shared" ref="AF31:AH31" si="27">AF30/1.5</f>
        <v>0.46</v>
      </c>
      <c r="AG31" s="661">
        <f t="shared" si="27"/>
        <v>0.46666666666666673</v>
      </c>
      <c r="AH31" s="661">
        <f t="shared" si="27"/>
        <v>0.47333333333333338</v>
      </c>
      <c r="AI31" s="659"/>
      <c r="AJ31" s="659"/>
      <c r="AK31" s="659"/>
      <c r="AL31" s="659"/>
      <c r="AM31" s="659"/>
    </row>
    <row r="32" spans="1:44" outlineLevel="1">
      <c r="B32" s="655" t="s">
        <v>525</v>
      </c>
      <c r="E32" s="641"/>
      <c r="F32" s="641"/>
      <c r="G32" s="641"/>
      <c r="H32" s="641"/>
      <c r="I32" s="641"/>
      <c r="J32" s="659"/>
      <c r="K32" s="658">
        <f>K30</f>
        <v>0.08</v>
      </c>
      <c r="L32" s="658">
        <f>L30</f>
        <v>0.38500000000000001</v>
      </c>
      <c r="M32" s="658">
        <f>M30</f>
        <v>0.21</v>
      </c>
      <c r="N32" s="658">
        <v>0.13500000000000001</v>
      </c>
      <c r="O32" s="659"/>
      <c r="P32" s="658">
        <v>0.74</v>
      </c>
      <c r="Q32" s="658">
        <f>Q30</f>
        <v>0.60250000000000004</v>
      </c>
      <c r="R32" s="658">
        <f>R30</f>
        <v>0.54605164532238715</v>
      </c>
      <c r="S32" s="658">
        <f>S30</f>
        <v>0.6</v>
      </c>
      <c r="T32" s="658"/>
      <c r="U32" s="777">
        <f>U30</f>
        <v>0.6</v>
      </c>
      <c r="V32" s="658">
        <f>V30</f>
        <v>0.6</v>
      </c>
      <c r="W32" s="658">
        <f>W30</f>
        <v>0.61</v>
      </c>
      <c r="X32" s="658">
        <f>X30</f>
        <v>0.63</v>
      </c>
      <c r="Y32" s="659"/>
      <c r="Z32" s="658">
        <f>Z30</f>
        <v>0.64</v>
      </c>
      <c r="AA32" s="658">
        <f>AA30</f>
        <v>0.65</v>
      </c>
      <c r="AB32" s="658">
        <f>AB30</f>
        <v>0.66</v>
      </c>
      <c r="AC32" s="658">
        <f>AC30</f>
        <v>0.67</v>
      </c>
      <c r="AD32" s="659"/>
      <c r="AE32" s="658">
        <f>AE30</f>
        <v>0.68</v>
      </c>
      <c r="AF32" s="658">
        <f t="shared" ref="AF32:AH32" si="28">AF30</f>
        <v>0.69000000000000006</v>
      </c>
      <c r="AG32" s="658">
        <f t="shared" si="28"/>
        <v>0.70000000000000007</v>
      </c>
      <c r="AH32" s="658">
        <f t="shared" si="28"/>
        <v>0.71000000000000008</v>
      </c>
      <c r="AI32" s="659"/>
      <c r="AJ32" s="659"/>
      <c r="AK32" s="659"/>
      <c r="AL32" s="659"/>
      <c r="AM32" s="659"/>
    </row>
    <row r="33" spans="2:41">
      <c r="B33" s="644" t="s">
        <v>526</v>
      </c>
      <c r="E33" s="641"/>
      <c r="F33" s="641"/>
      <c r="G33" s="641"/>
      <c r="H33" s="641"/>
      <c r="I33" s="641"/>
      <c r="J33" s="621">
        <f>J27*J28</f>
        <v>1.1352</v>
      </c>
      <c r="K33" s="621">
        <f>K27*K28</f>
        <v>1.1692247301275762</v>
      </c>
      <c r="L33" s="621">
        <f>L27*L28</f>
        <v>1.3102073110893031</v>
      </c>
      <c r="M33" s="621">
        <f>M27*M28</f>
        <v>1.1533684985279684</v>
      </c>
      <c r="N33" s="621">
        <f>N27*N28</f>
        <v>1.1875628066732091</v>
      </c>
      <c r="O33" s="659">
        <f>4*(K26*K33+L26*L33+M26*M33+N26*N33)/SUM(K26:N26)</f>
        <v>4.8021644040783391</v>
      </c>
      <c r="P33" s="621">
        <f>P27*P28</f>
        <v>1.1749989413946389</v>
      </c>
      <c r="Q33" s="621">
        <f>Q27*Q28</f>
        <v>1.2353727919528952</v>
      </c>
      <c r="R33" s="621">
        <f>R27*R28</f>
        <v>1.2540745056510947</v>
      </c>
      <c r="S33" s="621">
        <f>S27*S28</f>
        <v>1.3098626104023552</v>
      </c>
      <c r="T33" s="659">
        <f>4*(P26*P33+Q26*Q33+R26*R33+S26*S33)/SUM(P26:S26)</f>
        <v>4.9829339535781578</v>
      </c>
      <c r="U33" s="780">
        <f>U27*U28</f>
        <v>1.3098626104023552</v>
      </c>
      <c r="V33" s="621">
        <f>V27*V28</f>
        <v>1.3098626104023552</v>
      </c>
      <c r="W33" s="621">
        <f>W27*W28</f>
        <v>1.320203631010795</v>
      </c>
      <c r="X33" s="621">
        <f>X27*X28</f>
        <v>1.3408856722276741</v>
      </c>
      <c r="Y33" s="659">
        <f>4*(U26*U33+V26*V33+W26*W33+X26*X33)/SUM($U$26:$X$26)</f>
        <v>5.2824530737007116</v>
      </c>
      <c r="Z33" s="621">
        <f>Z27*Z28</f>
        <v>1.3512266928361139</v>
      </c>
      <c r="AA33" s="621">
        <f>AA27*AA28</f>
        <v>1.3615677134445536</v>
      </c>
      <c r="AB33" s="621">
        <f>AB27*AB28</f>
        <v>1.3719087340529932</v>
      </c>
      <c r="AC33" s="621">
        <f>AC27*AC28</f>
        <v>1.3822497546614327</v>
      </c>
      <c r="AD33" s="659">
        <f>4*(Z26*Z33+AA26*AA33+AB26*AB33+AC26*AC33)/SUM($Z$26:$AC$26)</f>
        <v>5.4692654047248794</v>
      </c>
      <c r="AE33" s="621">
        <f>AE27*AE28</f>
        <v>1.3925907752698725</v>
      </c>
      <c r="AF33" s="621">
        <f t="shared" ref="AF33:AH33" si="29">AF27*AF28</f>
        <v>1.4029317958783121</v>
      </c>
      <c r="AG33" s="621">
        <f t="shared" si="29"/>
        <v>1.4132728164867518</v>
      </c>
      <c r="AH33" s="621">
        <f t="shared" si="29"/>
        <v>1.4236138370951914</v>
      </c>
      <c r="AI33" s="659">
        <f>4*(AE26*AE33+AF26*AF33+AG26*AG33+AH26*AH33)/SUM($AE$26:$AH$26)</f>
        <v>5.6339094559795377</v>
      </c>
      <c r="AJ33" s="621">
        <f>AJ27*AJ28</f>
        <v>5.4669528949950932</v>
      </c>
      <c r="AK33" s="621">
        <f>AK27*AK28</f>
        <v>5.4669528949950932</v>
      </c>
      <c r="AL33" s="621">
        <f>AL27*AL28</f>
        <v>5.4669528949950932</v>
      </c>
      <c r="AM33" s="621">
        <f>AM27*AM28</f>
        <v>5.4669528949950932</v>
      </c>
    </row>
    <row r="34" spans="2:41">
      <c r="B34" s="644" t="s">
        <v>527</v>
      </c>
      <c r="J34" s="662">
        <v>1850</v>
      </c>
      <c r="K34" s="662">
        <f>O34</f>
        <v>1850</v>
      </c>
      <c r="L34" s="662">
        <f>O34</f>
        <v>1850</v>
      </c>
      <c r="M34" s="662">
        <f>O34</f>
        <v>1850</v>
      </c>
      <c r="N34" s="662">
        <f>O34</f>
        <v>1850</v>
      </c>
      <c r="O34" s="662">
        <f>J34</f>
        <v>1850</v>
      </c>
      <c r="P34" s="662">
        <f>T34</f>
        <v>1850</v>
      </c>
      <c r="Q34" s="662">
        <f>T34</f>
        <v>1850</v>
      </c>
      <c r="R34" s="662">
        <f>T34</f>
        <v>1850</v>
      </c>
      <c r="S34" s="662">
        <f>T34</f>
        <v>1850</v>
      </c>
      <c r="T34" s="662">
        <f>O34</f>
        <v>1850</v>
      </c>
      <c r="U34" s="781">
        <f>Y34</f>
        <v>1850</v>
      </c>
      <c r="V34" s="662">
        <f>Y34</f>
        <v>1850</v>
      </c>
      <c r="W34" s="662">
        <f>Y34</f>
        <v>1850</v>
      </c>
      <c r="X34" s="662">
        <f>Y34</f>
        <v>1850</v>
      </c>
      <c r="Y34" s="663">
        <f>T34</f>
        <v>1850</v>
      </c>
      <c r="Z34" s="662">
        <f>AD34</f>
        <v>1831.5</v>
      </c>
      <c r="AA34" s="662">
        <f>AD34</f>
        <v>1831.5</v>
      </c>
      <c r="AB34" s="662">
        <f>AD34</f>
        <v>1831.5</v>
      </c>
      <c r="AC34" s="662">
        <f>AD34</f>
        <v>1831.5</v>
      </c>
      <c r="AD34" s="663">
        <f>U34*0.99</f>
        <v>1831.5</v>
      </c>
      <c r="AE34" s="662">
        <f>AF34</f>
        <v>1813.1849999999999</v>
      </c>
      <c r="AF34" s="662">
        <f t="shared" ref="AF34:AH34" si="30">AG34</f>
        <v>1813.1849999999999</v>
      </c>
      <c r="AG34" s="662">
        <f t="shared" si="30"/>
        <v>1813.1849999999999</v>
      </c>
      <c r="AH34" s="662">
        <f t="shared" si="30"/>
        <v>1813.1849999999999</v>
      </c>
      <c r="AI34" s="663">
        <f>AD34*0.99</f>
        <v>1813.1849999999999</v>
      </c>
      <c r="AJ34" s="663">
        <f>AI34*0.99</f>
        <v>1795.05315</v>
      </c>
      <c r="AK34" s="663">
        <f>AJ34*0.99</f>
        <v>1777.1026184999998</v>
      </c>
      <c r="AL34" s="663">
        <f>AK34*0.99</f>
        <v>1759.3315923149999</v>
      </c>
      <c r="AM34" s="663">
        <f>AL34*0.99</f>
        <v>1741.7382763918499</v>
      </c>
    </row>
    <row r="35" spans="2:41">
      <c r="B35" s="644" t="s">
        <v>528</v>
      </c>
      <c r="J35" s="631">
        <v>7.2999999999999995E-2</v>
      </c>
      <c r="K35" s="664">
        <v>7.3999999999999996E-2</v>
      </c>
      <c r="L35" s="664">
        <v>7.4999999999999997E-2</v>
      </c>
      <c r="M35" s="664">
        <v>7.4999999999999997E-2</v>
      </c>
      <c r="N35" s="664">
        <v>7.4999999999999997E-2</v>
      </c>
      <c r="O35" s="643">
        <f>(K26*K35*K33+L26*L35*L33+M26*M35*M33+N26*N35*N33)/(K26*K33+L26*L33+M26*M33+N26*N33)</f>
        <v>7.485054499771536E-2</v>
      </c>
      <c r="P35" s="664">
        <v>7.4999999999999997E-2</v>
      </c>
      <c r="Q35" s="664">
        <v>7.4999999999999997E-2</v>
      </c>
      <c r="R35" s="664">
        <v>7.4999999999999997E-2</v>
      </c>
      <c r="S35" s="664">
        <v>7.4999999999999997E-2</v>
      </c>
      <c r="T35" s="643">
        <v>7.4999999999999997E-2</v>
      </c>
      <c r="U35" s="782">
        <f>Y35</f>
        <v>0.08</v>
      </c>
      <c r="V35" s="664">
        <f>Y35</f>
        <v>0.08</v>
      </c>
      <c r="W35" s="664">
        <f>Y35</f>
        <v>0.08</v>
      </c>
      <c r="X35" s="664">
        <f>Y35</f>
        <v>0.08</v>
      </c>
      <c r="Y35" s="665">
        <v>0.08</v>
      </c>
      <c r="Z35" s="664">
        <f>AD35</f>
        <v>7.4999999999999997E-2</v>
      </c>
      <c r="AA35" s="664">
        <f>AD35</f>
        <v>7.4999999999999997E-2</v>
      </c>
      <c r="AB35" s="664">
        <f>AD35</f>
        <v>7.4999999999999997E-2</v>
      </c>
      <c r="AC35" s="664">
        <v>0.1</v>
      </c>
      <c r="AD35" s="643">
        <v>7.4999999999999997E-2</v>
      </c>
      <c r="AE35" s="643">
        <v>7.4999999999999997E-2</v>
      </c>
      <c r="AF35" s="643">
        <v>7.4999999999999997E-2</v>
      </c>
      <c r="AG35" s="643">
        <v>7.4999999999999997E-2</v>
      </c>
      <c r="AH35" s="643">
        <v>7.4999999999999997E-2</v>
      </c>
      <c r="AI35" s="643">
        <v>7.4999999999999997E-2</v>
      </c>
      <c r="AJ35" s="643">
        <v>7.4999999999999997E-2</v>
      </c>
      <c r="AK35" s="643">
        <v>7.4999999999999997E-2</v>
      </c>
      <c r="AL35" s="643">
        <v>7.4999999999999997E-2</v>
      </c>
      <c r="AM35" s="643">
        <v>7.4999999999999997E-2</v>
      </c>
    </row>
    <row r="36" spans="2:41" ht="13.5" thickBot="1">
      <c r="B36" s="666" t="s">
        <v>529</v>
      </c>
      <c r="C36" s="667"/>
      <c r="D36" s="667"/>
      <c r="E36" s="667"/>
      <c r="F36" s="667"/>
      <c r="G36" s="667"/>
      <c r="H36" s="667"/>
      <c r="I36" s="667"/>
      <c r="J36" s="668">
        <f t="shared" ref="J36:AM36" si="31">J26*J33*J34*(1-J35)/1000000</f>
        <v>24.799355304004521</v>
      </c>
      <c r="K36" s="669">
        <f>K26*K33*K34*(1-K35)/1000000</f>
        <v>124.4726754685724</v>
      </c>
      <c r="L36" s="669">
        <f t="shared" si="31"/>
        <v>194.12913452507794</v>
      </c>
      <c r="M36" s="669">
        <f t="shared" si="31"/>
        <v>243.80234997411969</v>
      </c>
      <c r="N36" s="669">
        <f t="shared" si="31"/>
        <v>269.67468338693516</v>
      </c>
      <c r="O36" s="669">
        <f t="shared" si="31"/>
        <v>832.07884335470499</v>
      </c>
      <c r="P36" s="670">
        <f t="shared" si="31"/>
        <v>304.96769741601054</v>
      </c>
      <c r="Q36" s="670">
        <f t="shared" si="31"/>
        <v>322.87316862673998</v>
      </c>
      <c r="R36" s="670">
        <f t="shared" si="31"/>
        <v>353.56889399558628</v>
      </c>
      <c r="S36" s="670">
        <f t="shared" si="31"/>
        <v>382.26451559212205</v>
      </c>
      <c r="T36" s="670">
        <f t="shared" si="31"/>
        <v>1363.6742756304591</v>
      </c>
      <c r="U36" s="783">
        <f>U26*U33*U34*(1-U35)/1000000-15-24-6</f>
        <v>342.60716959832354</v>
      </c>
      <c r="V36" s="670">
        <f t="shared" si="31"/>
        <v>394.34596472464591</v>
      </c>
      <c r="W36" s="670">
        <f>W26*W33*W34*(1-W35)/1000000</f>
        <v>404.31284335496832</v>
      </c>
      <c r="X36" s="670">
        <f t="shared" si="31"/>
        <v>432.79665576995029</v>
      </c>
      <c r="Y36" s="670">
        <f>Y26*Y33*Y34*(1-Y35)/1000000-39-6</f>
        <v>1573.7055761202287</v>
      </c>
      <c r="Z36" s="670">
        <f t="shared" si="31"/>
        <v>430.71344616640647</v>
      </c>
      <c r="AA36" s="670">
        <f t="shared" si="31"/>
        <v>463.54102117770708</v>
      </c>
      <c r="AB36" s="670">
        <f>AB26*AB33*AB34*(1-AB35)/1000000</f>
        <v>488.95687849048721</v>
      </c>
      <c r="AC36" s="670">
        <f t="shared" si="31"/>
        <v>490.73725577583491</v>
      </c>
      <c r="AD36" s="670">
        <f>SUM(Z36:AC36)</f>
        <v>1873.9486016104356</v>
      </c>
      <c r="AE36" s="670">
        <f t="shared" si="31"/>
        <v>504.39230951154445</v>
      </c>
      <c r="AF36" s="670">
        <f t="shared" si="31"/>
        <v>523.43714472955025</v>
      </c>
      <c r="AG36" s="670">
        <f t="shared" si="31"/>
        <v>542.82186850572589</v>
      </c>
      <c r="AH36" s="670">
        <f t="shared" si="31"/>
        <v>562.54899085989962</v>
      </c>
      <c r="AI36" s="670">
        <f>SUM(AE36:AH36)</f>
        <v>2133.2003136067201</v>
      </c>
      <c r="AJ36" s="670">
        <f t="shared" si="31"/>
        <v>2213.6137889760516</v>
      </c>
      <c r="AK36" s="670">
        <f t="shared" si="31"/>
        <v>2315.8228493559332</v>
      </c>
      <c r="AL36" s="670">
        <f t="shared" si="31"/>
        <v>2420.6741321908517</v>
      </c>
      <c r="AM36" s="670">
        <f t="shared" si="31"/>
        <v>2506.1777858736968</v>
      </c>
    </row>
    <row r="37" spans="2:41">
      <c r="B37" s="654"/>
      <c r="C37" s="641"/>
      <c r="D37" s="641"/>
      <c r="E37" s="641"/>
      <c r="F37" s="641"/>
      <c r="G37" s="641"/>
      <c r="H37" s="641"/>
      <c r="I37" s="641"/>
      <c r="J37" s="671"/>
      <c r="K37" s="672"/>
      <c r="L37" s="672"/>
      <c r="M37" s="672"/>
      <c r="N37" s="672"/>
      <c r="O37" s="672"/>
      <c r="P37" s="673"/>
      <c r="Q37" s="673"/>
      <c r="R37" s="673"/>
      <c r="S37" s="673"/>
      <c r="T37" s="673"/>
      <c r="U37" s="816"/>
      <c r="V37" s="816"/>
      <c r="W37" s="816"/>
      <c r="X37" s="816"/>
      <c r="Y37" s="673"/>
      <c r="Z37" s="673"/>
      <c r="AA37" s="673"/>
      <c r="AB37" s="673"/>
      <c r="AC37" s="816"/>
      <c r="AD37" s="795"/>
      <c r="AE37" s="795"/>
      <c r="AF37" s="795"/>
      <c r="AG37" s="795"/>
      <c r="AH37" s="795"/>
      <c r="AI37" s="673"/>
      <c r="AJ37" s="673"/>
      <c r="AK37" s="673"/>
      <c r="AL37" s="673"/>
      <c r="AM37" s="673"/>
    </row>
    <row r="38" spans="2:41">
      <c r="B38" s="654" t="s">
        <v>645</v>
      </c>
      <c r="C38" s="641"/>
      <c r="D38" s="641"/>
      <c r="E38" s="641"/>
      <c r="F38" s="641"/>
      <c r="G38" s="641"/>
      <c r="H38" s="641"/>
      <c r="I38" s="641"/>
      <c r="J38" s="671"/>
      <c r="K38" s="672"/>
      <c r="L38" s="672"/>
      <c r="M38" s="672"/>
      <c r="N38" s="672">
        <f t="shared" ref="N38:S38" si="32">N39-N36</f>
        <v>6.3253166130648424</v>
      </c>
      <c r="O38" s="672">
        <f t="shared" si="32"/>
        <v>5.9211566452950137</v>
      </c>
      <c r="P38" s="672">
        <f t="shared" si="32"/>
        <v>8.7323025839894513</v>
      </c>
      <c r="Q38" s="672">
        <f t="shared" si="32"/>
        <v>7.01983137325999</v>
      </c>
      <c r="R38" s="672">
        <f t="shared" si="32"/>
        <v>9.5491060044137157</v>
      </c>
      <c r="S38" s="672">
        <f t="shared" si="32"/>
        <v>19.723484407877947</v>
      </c>
      <c r="T38" s="673">
        <f>SUM(P38:S38)</f>
        <v>45.024724369541104</v>
      </c>
      <c r="U38" s="773">
        <v>15</v>
      </c>
      <c r="V38" s="673">
        <v>17</v>
      </c>
      <c r="W38" s="673">
        <v>18</v>
      </c>
      <c r="X38" s="673">
        <v>27</v>
      </c>
      <c r="Y38" s="673">
        <f>T38*1.68</f>
        <v>75.641536940829056</v>
      </c>
      <c r="Z38" s="817">
        <v>25</v>
      </c>
      <c r="AA38" s="817">
        <v>30</v>
      </c>
      <c r="AB38" s="817">
        <v>40</v>
      </c>
      <c r="AC38" s="673">
        <v>40</v>
      </c>
      <c r="AD38" s="673">
        <f>SUM(Z38:AC38)</f>
        <v>135</v>
      </c>
      <c r="AE38" s="817">
        <f>AI38/4</f>
        <v>45.5625</v>
      </c>
      <c r="AF38" s="817">
        <f>AI38/4</f>
        <v>45.5625</v>
      </c>
      <c r="AG38" s="817">
        <f>AI38/4</f>
        <v>45.5625</v>
      </c>
      <c r="AH38" s="673">
        <f>AI38-SUM(AE38:AG38)</f>
        <v>45.5625</v>
      </c>
      <c r="AI38" s="673">
        <f>AD38*1.35</f>
        <v>182.25</v>
      </c>
      <c r="AJ38" s="673">
        <f>AI38*1.2</f>
        <v>218.7</v>
      </c>
      <c r="AK38" s="673">
        <f>AJ38*1.1</f>
        <v>240.57</v>
      </c>
      <c r="AL38" s="673">
        <f>AK38*1.1</f>
        <v>264.62700000000001</v>
      </c>
      <c r="AM38" s="673">
        <f>AL38*1.1</f>
        <v>291.08970000000005</v>
      </c>
    </row>
    <row r="39" spans="2:41" outlineLevel="1">
      <c r="B39" s="654" t="s">
        <v>646</v>
      </c>
      <c r="C39" s="641"/>
      <c r="D39" s="641"/>
      <c r="E39" s="641"/>
      <c r="F39" s="641"/>
      <c r="G39" s="641"/>
      <c r="H39" s="641"/>
      <c r="I39" s="641">
        <f>REVS!P4</f>
        <v>25</v>
      </c>
      <c r="J39" s="671">
        <f>REVS!Q4</f>
        <v>25</v>
      </c>
      <c r="K39" s="671">
        <f>REVS!R4</f>
        <v>124</v>
      </c>
      <c r="L39" s="671">
        <f>REVS!S4</f>
        <v>194</v>
      </c>
      <c r="M39" s="671">
        <f>REVS!T4</f>
        <v>244</v>
      </c>
      <c r="N39" s="671">
        <f>REVS!U4</f>
        <v>276</v>
      </c>
      <c r="O39" s="671">
        <f>REVS!V4</f>
        <v>838</v>
      </c>
      <c r="P39" s="671">
        <f>REVS!W4</f>
        <v>313.7</v>
      </c>
      <c r="Q39" s="671">
        <f>REVS!X4</f>
        <v>329.89299999999997</v>
      </c>
      <c r="R39" s="671">
        <f>REVS!Y4</f>
        <v>363.11799999999999</v>
      </c>
      <c r="S39" s="671">
        <f>REVS!Z4</f>
        <v>401.988</v>
      </c>
      <c r="T39" s="671">
        <f>REVS!AA4</f>
        <v>1408.6990000000001</v>
      </c>
      <c r="U39" s="784">
        <f>REVS!AB4</f>
        <v>358.97800000000001</v>
      </c>
      <c r="V39" s="784">
        <f>REVS!AC4</f>
        <v>414.822</v>
      </c>
      <c r="W39" s="784">
        <f>REVS!AD4-Eylea!T7</f>
        <v>427.04399999999998</v>
      </c>
      <c r="X39" s="784">
        <f>REVS!AE4-Eylea!U7</f>
        <v>458.58483035272997</v>
      </c>
      <c r="Y39" s="675">
        <f>SUM(U36:X36)-Y36</f>
        <v>0.35705732765950415</v>
      </c>
      <c r="Z39" s="672">
        <f>Z38+Z36</f>
        <v>455.71344616640647</v>
      </c>
      <c r="AA39" s="672">
        <f>AA38+AA36</f>
        <v>493.54102117770708</v>
      </c>
      <c r="AB39" s="672">
        <f>AB38+AB36</f>
        <v>528.95687849048727</v>
      </c>
      <c r="AC39" s="672">
        <f>AC38+AC36</f>
        <v>530.73725577583491</v>
      </c>
      <c r="AD39" s="675">
        <f>SUM(Z36:AC36)-AD36</f>
        <v>0</v>
      </c>
      <c r="AE39" s="672">
        <f>AE38+AE36</f>
        <v>549.95480951154445</v>
      </c>
      <c r="AF39" s="672">
        <f>AF38+AF36</f>
        <v>568.99964472955025</v>
      </c>
      <c r="AG39" s="672">
        <f>AG38+AG36</f>
        <v>588.38436850572589</v>
      </c>
      <c r="AH39" s="672">
        <f>AH38+AH36</f>
        <v>608.11149085989962</v>
      </c>
      <c r="AI39" s="675">
        <f>SUM(AE36:AH36)-AI36</f>
        <v>0</v>
      </c>
      <c r="AJ39" s="676"/>
      <c r="AK39" s="676"/>
      <c r="AL39" s="676"/>
      <c r="AM39" s="676"/>
    </row>
    <row r="40" spans="2:41">
      <c r="B40" s="677"/>
      <c r="J40" s="678"/>
      <c r="P40" s="785">
        <f>P39-5</f>
        <v>308.7</v>
      </c>
      <c r="S40" s="679"/>
      <c r="T40" s="672"/>
      <c r="U40" s="786"/>
      <c r="V40" s="661"/>
      <c r="W40" s="661"/>
      <c r="X40" s="661"/>
      <c r="Y40" s="633"/>
      <c r="Z40" s="819"/>
      <c r="AA40" s="819"/>
      <c r="AB40" s="819"/>
      <c r="AC40" s="819"/>
      <c r="AD40" s="662"/>
      <c r="AE40" s="662"/>
      <c r="AF40" s="662"/>
      <c r="AG40" s="662"/>
      <c r="AH40" s="662"/>
    </row>
    <row r="41" spans="2:41">
      <c r="B41" s="654"/>
      <c r="C41" s="644"/>
      <c r="D41" s="644"/>
      <c r="E41" s="644"/>
      <c r="F41" s="644"/>
      <c r="G41" s="644"/>
      <c r="H41" s="644"/>
      <c r="I41" s="644"/>
      <c r="J41" s="680"/>
      <c r="K41" s="680"/>
      <c r="L41" s="680"/>
      <c r="M41" s="680"/>
      <c r="N41" s="681"/>
      <c r="O41" s="682"/>
      <c r="P41" s="682"/>
      <c r="Q41" s="682"/>
      <c r="R41" s="682"/>
      <c r="S41" s="682"/>
      <c r="T41" s="682"/>
      <c r="U41" s="682"/>
      <c r="V41" s="682"/>
      <c r="W41" s="682"/>
      <c r="X41" s="682"/>
      <c r="Y41" s="682"/>
      <c r="Z41" s="682"/>
      <c r="AA41" s="682"/>
      <c r="AB41" s="682"/>
      <c r="AC41" s="682"/>
      <c r="AD41" s="682"/>
      <c r="AE41" s="682"/>
      <c r="AF41" s="682"/>
      <c r="AG41" s="682"/>
      <c r="AH41" s="682"/>
      <c r="AI41" s="682"/>
      <c r="AJ41" s="682"/>
      <c r="AK41" s="682"/>
      <c r="AL41" s="682"/>
      <c r="AM41" s="682"/>
      <c r="AN41" s="644"/>
      <c r="AO41" s="644"/>
    </row>
    <row r="42" spans="2:41">
      <c r="B42" s="608" t="s">
        <v>561</v>
      </c>
      <c r="C42" s="609" t="s">
        <v>486</v>
      </c>
      <c r="D42" s="609" t="s">
        <v>487</v>
      </c>
      <c r="E42" s="610" t="s">
        <v>488</v>
      </c>
      <c r="F42" s="610" t="s">
        <v>489</v>
      </c>
      <c r="G42" s="610" t="s">
        <v>490</v>
      </c>
      <c r="H42" s="610" t="s">
        <v>491</v>
      </c>
      <c r="I42" s="610" t="s">
        <v>492</v>
      </c>
      <c r="J42" s="610" t="s">
        <v>493</v>
      </c>
      <c r="K42" s="611" t="s">
        <v>181</v>
      </c>
      <c r="L42" s="611" t="s">
        <v>185</v>
      </c>
      <c r="M42" s="611" t="s">
        <v>189</v>
      </c>
      <c r="N42" s="611" t="s">
        <v>220</v>
      </c>
      <c r="O42" s="610" t="s">
        <v>494</v>
      </c>
      <c r="P42" s="611" t="s">
        <v>231</v>
      </c>
      <c r="Q42" s="611" t="s">
        <v>273</v>
      </c>
      <c r="R42" s="611" t="s">
        <v>495</v>
      </c>
      <c r="S42" s="611" t="s">
        <v>496</v>
      </c>
      <c r="T42" s="612">
        <f>O42+1</f>
        <v>2013</v>
      </c>
      <c r="U42" s="611" t="s">
        <v>497</v>
      </c>
      <c r="V42" s="611" t="s">
        <v>498</v>
      </c>
      <c r="W42" s="611" t="s">
        <v>499</v>
      </c>
      <c r="X42" s="611" t="s">
        <v>500</v>
      </c>
      <c r="Y42" s="612">
        <f>T42+1</f>
        <v>2014</v>
      </c>
      <c r="Z42" s="611" t="s">
        <v>501</v>
      </c>
      <c r="AA42" s="611" t="s">
        <v>502</v>
      </c>
      <c r="AB42" s="611" t="s">
        <v>503</v>
      </c>
      <c r="AC42" s="611" t="s">
        <v>504</v>
      </c>
      <c r="AD42" s="612">
        <f>Y42+1</f>
        <v>2015</v>
      </c>
      <c r="AE42" s="612"/>
      <c r="AF42" s="612"/>
      <c r="AG42" s="612"/>
      <c r="AH42" s="612"/>
      <c r="AI42" s="612">
        <f>AD42+1</f>
        <v>2016</v>
      </c>
      <c r="AJ42" s="612">
        <f>AI42+1</f>
        <v>2017</v>
      </c>
      <c r="AK42" s="612">
        <f>AJ42+1</f>
        <v>2018</v>
      </c>
      <c r="AL42" s="612">
        <f>AK42+1</f>
        <v>2019</v>
      </c>
      <c r="AM42" s="612">
        <f>AL42+1</f>
        <v>2020</v>
      </c>
    </row>
    <row r="43" spans="2:41">
      <c r="B43" s="613"/>
      <c r="C43" s="614"/>
      <c r="D43" s="614"/>
      <c r="E43" s="615"/>
      <c r="F43" s="615"/>
      <c r="G43" s="615"/>
      <c r="H43" s="615"/>
      <c r="I43" s="615"/>
      <c r="J43" s="615"/>
      <c r="K43" s="616"/>
      <c r="L43" s="616"/>
      <c r="M43" s="616"/>
      <c r="N43" s="616"/>
      <c r="O43" s="615"/>
      <c r="P43" s="616"/>
      <c r="Q43" s="616"/>
      <c r="R43" s="616"/>
      <c r="S43" s="616"/>
      <c r="T43" s="617"/>
      <c r="U43" s="616"/>
      <c r="V43" s="616"/>
      <c r="W43" s="616"/>
      <c r="X43" s="616"/>
      <c r="Y43" s="617"/>
      <c r="Z43" s="616"/>
      <c r="AA43" s="616"/>
      <c r="AB43" s="616"/>
      <c r="AC43" s="616"/>
      <c r="AD43" s="617"/>
      <c r="AE43" s="617"/>
      <c r="AF43" s="617"/>
      <c r="AG43" s="617"/>
      <c r="AH43" s="617"/>
      <c r="AI43" s="617"/>
      <c r="AJ43" s="617"/>
      <c r="AK43" s="617"/>
      <c r="AL43" s="617"/>
      <c r="AM43" s="617"/>
    </row>
    <row r="44" spans="2:41">
      <c r="B44" s="618" t="s">
        <v>505</v>
      </c>
    </row>
    <row r="45" spans="2:41" outlineLevel="1">
      <c r="B45" s="620" t="s">
        <v>564</v>
      </c>
      <c r="F45" s="621">
        <f>G45/(1+F46)</f>
        <v>648.77566156162993</v>
      </c>
      <c r="G45" s="621">
        <f>H45/(1+G46)</f>
        <v>650.07321288475316</v>
      </c>
      <c r="H45" s="621">
        <f>I45/(1+H46)</f>
        <v>651.37335931052269</v>
      </c>
      <c r="I45" s="621">
        <f>J45/(1+I46)</f>
        <v>652.67610602914374</v>
      </c>
      <c r="J45" s="621">
        <f>O45/(1+J46)</f>
        <v>653.98145824120206</v>
      </c>
      <c r="O45" s="621">
        <f>T45/(1+O46)</f>
        <v>655.2894211576845</v>
      </c>
      <c r="T45" s="607">
        <f>505.7+127.6+23.3</f>
        <v>656.59999999999991</v>
      </c>
      <c r="Y45" s="621">
        <f>T45*(1+Y46)</f>
        <v>657.91319999999996</v>
      </c>
      <c r="AD45" s="621">
        <f>Y45*(1+AD46)</f>
        <v>659.22902639999995</v>
      </c>
      <c r="AE45" s="621"/>
      <c r="AF45" s="621"/>
      <c r="AG45" s="621"/>
      <c r="AH45" s="621"/>
      <c r="AI45" s="621">
        <f>AD45*(1+AI46)</f>
        <v>660.54748445279995</v>
      </c>
      <c r="AJ45" s="621">
        <f>AI45*(1+AJ46)</f>
        <v>661.86857942170559</v>
      </c>
      <c r="AK45" s="621">
        <f>AJ45*(1+AK46)</f>
        <v>663.192316580549</v>
      </c>
      <c r="AL45" s="621">
        <f>AK45*(1+AL46)</f>
        <v>664.51870121371007</v>
      </c>
      <c r="AM45" s="621">
        <f>AL45*(1+AM46)</f>
        <v>665.84773861613746</v>
      </c>
    </row>
    <row r="46" spans="2:41" outlineLevel="1">
      <c r="B46" s="620" t="s">
        <v>365</v>
      </c>
      <c r="F46" s="622">
        <f>$T$46</f>
        <v>2E-3</v>
      </c>
      <c r="G46" s="622">
        <f>$T$46</f>
        <v>2E-3</v>
      </c>
      <c r="H46" s="622">
        <f>$T$46</f>
        <v>2E-3</v>
      </c>
      <c r="I46" s="622">
        <f>$T$46</f>
        <v>2E-3</v>
      </c>
      <c r="J46" s="622">
        <f>$T$46</f>
        <v>2E-3</v>
      </c>
      <c r="O46" s="622">
        <f>$T$46</f>
        <v>2E-3</v>
      </c>
      <c r="T46" s="643">
        <v>2E-3</v>
      </c>
      <c r="Y46" s="622">
        <f>$T$46</f>
        <v>2E-3</v>
      </c>
      <c r="AD46" s="622">
        <f t="shared" ref="AD46:AM46" si="33">$T$46</f>
        <v>2E-3</v>
      </c>
      <c r="AE46" s="622"/>
      <c r="AF46" s="622"/>
      <c r="AG46" s="622"/>
      <c r="AH46" s="622"/>
      <c r="AI46" s="622">
        <f t="shared" si="33"/>
        <v>2E-3</v>
      </c>
      <c r="AJ46" s="622">
        <f t="shared" si="33"/>
        <v>2E-3</v>
      </c>
      <c r="AK46" s="622">
        <f t="shared" si="33"/>
        <v>2E-3</v>
      </c>
      <c r="AL46" s="622">
        <f t="shared" si="33"/>
        <v>2E-3</v>
      </c>
      <c r="AM46" s="622">
        <f t="shared" si="33"/>
        <v>2E-3</v>
      </c>
    </row>
    <row r="47" spans="2:41" outlineLevel="1">
      <c r="B47" s="620" t="s">
        <v>565</v>
      </c>
      <c r="F47" s="622">
        <f>F48/(F45*10^6)</f>
        <v>5.6910636344961896E-3</v>
      </c>
      <c r="G47" s="622">
        <f>G48/(G45*10^6)</f>
        <v>5.7373003548002307E-3</v>
      </c>
      <c r="H47" s="622">
        <f>H48/(H45*10^6)</f>
        <v>5.7839127226882335E-3</v>
      </c>
      <c r="I47" s="622">
        <f>I48/(I45*10^6)</f>
        <v>5.8309037900874643E-3</v>
      </c>
      <c r="J47" s="622">
        <f>J48/(J45*10^6)</f>
        <v>5.8782766337203939E-3</v>
      </c>
      <c r="O47" s="622">
        <f>O48/(O45*10^6)</f>
        <v>5.9260343553061545E-3</v>
      </c>
      <c r="T47" s="622">
        <f>T48/(T45*10^6)</f>
        <v>5.9741800817636114E-3</v>
      </c>
      <c r="Y47" s="622">
        <f>Y48/(Y45*10^6)</f>
        <v>6.0227169654161038E-3</v>
      </c>
      <c r="AD47" s="622">
        <f t="shared" ref="AD47:AM47" si="34">AD48/(AD45*10^6)</f>
        <v>6.0716481841978451E-3</v>
      </c>
      <c r="AE47" s="622"/>
      <c r="AF47" s="622"/>
      <c r="AG47" s="622"/>
      <c r="AH47" s="622"/>
      <c r="AI47" s="622">
        <f t="shared" si="34"/>
        <v>6.1209769418619914E-3</v>
      </c>
      <c r="AJ47" s="622">
        <f t="shared" si="34"/>
        <v>6.1707064681904055E-3</v>
      </c>
      <c r="AK47" s="622">
        <f t="shared" si="34"/>
        <v>6.220840019205128E-3</v>
      </c>
      <c r="AL47" s="622">
        <f t="shared" si="34"/>
        <v>6.2713808773815711E-3</v>
      </c>
      <c r="AM47" s="622">
        <f t="shared" si="34"/>
        <v>6.3223323518634186E-3</v>
      </c>
    </row>
    <row r="48" spans="2:41">
      <c r="B48" s="623" t="s">
        <v>565</v>
      </c>
      <c r="C48" s="624"/>
      <c r="D48" s="624"/>
      <c r="E48" s="624"/>
      <c r="F48" s="624">
        <f>F45/F5*F8</f>
        <v>3692223.5744595993</v>
      </c>
      <c r="G48" s="624">
        <f>G45/G5*G8</f>
        <v>3729665.2749298201</v>
      </c>
      <c r="H48" s="624">
        <f>H45/H5*H8</f>
        <v>3767486.6601363062</v>
      </c>
      <c r="I48" s="624">
        <f>I45/I5*I8</f>
        <v>3805691.5803448618</v>
      </c>
      <c r="J48" s="624">
        <f>J45/J5*J8</f>
        <v>3844283.9248656477</v>
      </c>
      <c r="K48" s="624">
        <f>J48+(O48-J48)/4</f>
        <v>3854029.8492615162</v>
      </c>
      <c r="L48" s="624">
        <f>K48+(O48-J48)/4</f>
        <v>3863775.7736573848</v>
      </c>
      <c r="M48" s="624">
        <f>L48+(O48-J48)/4</f>
        <v>3873521.6980532533</v>
      </c>
      <c r="N48" s="624">
        <f>M48+(O48-J48)/4</f>
        <v>3883267.6224491219</v>
      </c>
      <c r="O48" s="624">
        <f>O45/O5*O8</f>
        <v>3883267.6224491219</v>
      </c>
      <c r="P48" s="624">
        <f>O48+(T48-O48)/4</f>
        <v>3893112.377258338</v>
      </c>
      <c r="Q48" s="624">
        <f>P48+(T48-O48)/4</f>
        <v>3902957.1320675542</v>
      </c>
      <c r="R48" s="624">
        <f>Q48+(T48-O48)/4</f>
        <v>3912801.8868767703</v>
      </c>
      <c r="S48" s="624">
        <f>R48+(T48-O48)/4</f>
        <v>3922646.6416859864</v>
      </c>
      <c r="T48" s="624">
        <f>T45/T5*T8</f>
        <v>3922646.6416859864</v>
      </c>
      <c r="U48" s="624">
        <f>T48+(Y48-T48)/4</f>
        <v>3932591.2291172892</v>
      </c>
      <c r="V48" s="624">
        <f>U48+(Y48-T48)/4</f>
        <v>3942535.8165485919</v>
      </c>
      <c r="W48" s="624">
        <f>V48+(Y48-T48)/4</f>
        <v>3952480.4039798947</v>
      </c>
      <c r="X48" s="624">
        <f>W48+(Y48-T48)/4</f>
        <v>3962424.9914111975</v>
      </c>
      <c r="Y48" s="624">
        <f>Y45/Y5*Y8</f>
        <v>3962424.9914111979</v>
      </c>
      <c r="Z48" s="624">
        <f>Y48+(AD48-Y48)/4</f>
        <v>3972470.4238364166</v>
      </c>
      <c r="AA48" s="624">
        <f>Z48+(AD48-Y48)/4</f>
        <v>3982515.8562616352</v>
      </c>
      <c r="AB48" s="624">
        <f>AA48+(AD48-Y48)/4</f>
        <v>3992561.2886868538</v>
      </c>
      <c r="AC48" s="624">
        <f>AB48+(AD48-Y48)/4</f>
        <v>4002606.7211120725</v>
      </c>
      <c r="AD48" s="624">
        <f t="shared" ref="AD48:AM48" si="35">AD45/AD5*AD8</f>
        <v>4002606.7211120734</v>
      </c>
      <c r="AE48" s="624">
        <f>AD48+(AI48-AD48)/4</f>
        <v>4012754.0211691875</v>
      </c>
      <c r="AF48" s="624">
        <f>AE48+(AI48-AD48)/4</f>
        <v>4022901.3212263016</v>
      </c>
      <c r="AG48" s="624">
        <f>AF48+(AI48-AD48)/4</f>
        <v>4033048.6212834157</v>
      </c>
      <c r="AH48" s="624">
        <f>AG48+(AI48-AD48)/4</f>
        <v>4043195.9213405298</v>
      </c>
      <c r="AI48" s="624">
        <f t="shared" si="35"/>
        <v>4043195.9213405307</v>
      </c>
      <c r="AJ48" s="624">
        <f t="shared" si="35"/>
        <v>4084196.7241295138</v>
      </c>
      <c r="AK48" s="624">
        <f t="shared" si="35"/>
        <v>4125613.3034136361</v>
      </c>
      <c r="AL48" s="624">
        <f t="shared" si="35"/>
        <v>4167449.8754540989</v>
      </c>
      <c r="AM48" s="624">
        <f t="shared" si="35"/>
        <v>4209710.6992679033</v>
      </c>
    </row>
    <row r="49" spans="1:44" outlineLevel="1">
      <c r="B49" s="607" t="s">
        <v>509</v>
      </c>
      <c r="C49" s="633"/>
      <c r="D49" s="633"/>
      <c r="E49" s="633"/>
      <c r="F49" s="631" t="e">
        <f>F50/F48</f>
        <v>#REF!</v>
      </c>
      <c r="G49" s="631" t="e">
        <f>G50/G48</f>
        <v>#REF!</v>
      </c>
      <c r="H49" s="631" t="e">
        <f>H50/H48</f>
        <v>#REF!</v>
      </c>
      <c r="I49" s="631" t="e">
        <f>I50/I48</f>
        <v>#REF!</v>
      </c>
      <c r="J49" s="631">
        <f>J50/J48</f>
        <v>6.8220219974820293E-2</v>
      </c>
      <c r="K49" s="630">
        <v>7.2999999999999995E-2</v>
      </c>
      <c r="L49" s="630">
        <v>7.8E-2</v>
      </c>
      <c r="M49" s="630">
        <v>8.3000000000000004E-2</v>
      </c>
      <c r="N49" s="630">
        <v>8.6999999999999994E-2</v>
      </c>
      <c r="O49" s="631">
        <f>O50/O48</f>
        <v>7.996263676578047E-2</v>
      </c>
      <c r="P49" s="683">
        <f>N49+0.004</f>
        <v>9.0999999999999998E-2</v>
      </c>
      <c r="Q49" s="683">
        <f>P49+0.004</f>
        <v>9.5000000000000001E-2</v>
      </c>
      <c r="R49" s="683">
        <f>Q49+0.004</f>
        <v>9.9000000000000005E-2</v>
      </c>
      <c r="S49" s="683">
        <f>R49+0.004</f>
        <v>0.10300000000000001</v>
      </c>
      <c r="T49" s="631">
        <f>T50/T48</f>
        <v>9.6647383978970811E-2</v>
      </c>
      <c r="U49" s="683">
        <f>S49+0.002</f>
        <v>0.10500000000000001</v>
      </c>
      <c r="V49" s="683">
        <f>U49+0.002</f>
        <v>0.10700000000000001</v>
      </c>
      <c r="W49" s="683">
        <f>V49+0.002</f>
        <v>0.10900000000000001</v>
      </c>
      <c r="X49" s="683">
        <f>W49+0.0023</f>
        <v>0.11130000000000001</v>
      </c>
      <c r="Y49" s="631">
        <f>Y50/Y48</f>
        <v>0.10767469925014835</v>
      </c>
      <c r="Z49" s="634">
        <f>Y49+0.1%</f>
        <v>0.10867469925014835</v>
      </c>
      <c r="AA49" s="634">
        <f>Z49+0.1%</f>
        <v>0.10967469925014835</v>
      </c>
      <c r="AB49" s="634">
        <f>AA49+0.1%</f>
        <v>0.11067469925014835</v>
      </c>
      <c r="AC49" s="634">
        <f>AB49+0.1%</f>
        <v>0.11167469925014835</v>
      </c>
      <c r="AD49" s="631">
        <f>AC49</f>
        <v>0.11167469925014835</v>
      </c>
      <c r="AE49" s="634">
        <f>AD49+0.1%</f>
        <v>0.11267469925014835</v>
      </c>
      <c r="AF49" s="634">
        <f>AE49+0.1%</f>
        <v>0.11367469925014835</v>
      </c>
      <c r="AG49" s="634">
        <f>AF49+0.1%</f>
        <v>0.11467469925014835</v>
      </c>
      <c r="AH49" s="634">
        <f>AG49+0.1%</f>
        <v>0.11567469925014835</v>
      </c>
      <c r="AI49" s="631">
        <f>AH49</f>
        <v>0.11567469925014835</v>
      </c>
      <c r="AJ49" s="631">
        <f>AI49+0.3%</f>
        <v>0.11867469925014835</v>
      </c>
      <c r="AK49" s="631">
        <f>AJ49+0.1%</f>
        <v>0.11967469925014836</v>
      </c>
      <c r="AL49" s="631">
        <f>AK49+0.1%</f>
        <v>0.12067469925014836</v>
      </c>
      <c r="AM49" s="631">
        <f>AL49+0.1%</f>
        <v>0.12167469925014836</v>
      </c>
    </row>
    <row r="50" spans="1:44">
      <c r="B50" s="623" t="s">
        <v>510</v>
      </c>
      <c r="C50" s="624"/>
      <c r="D50" s="624"/>
      <c r="E50" s="624"/>
      <c r="F50" s="624" t="e">
        <f>#REF!</f>
        <v>#REF!</v>
      </c>
      <c r="G50" s="624" t="e">
        <f>#REF!</f>
        <v>#REF!</v>
      </c>
      <c r="H50" s="624" t="e">
        <f>#REF!</f>
        <v>#REF!</v>
      </c>
      <c r="I50" s="624" t="e">
        <f>#REF!</f>
        <v>#REF!</v>
      </c>
      <c r="J50" s="1051">
        <v>262257.89500000002</v>
      </c>
      <c r="K50" s="624">
        <f>K49*K48</f>
        <v>281344.17899609066</v>
      </c>
      <c r="L50" s="624">
        <f>L49*L48</f>
        <v>301374.51034527604</v>
      </c>
      <c r="M50" s="624">
        <f>M49*M48</f>
        <v>321502.30093842006</v>
      </c>
      <c r="N50" s="624">
        <f>N49*N48</f>
        <v>337844.28315307357</v>
      </c>
      <c r="O50" s="624">
        <f>AVERAGE(K50:N50)</f>
        <v>310516.3183582151</v>
      </c>
      <c r="P50" s="624">
        <f t="shared" ref="P50:AH50" si="36">P48*P49</f>
        <v>354273.22633050877</v>
      </c>
      <c r="Q50" s="624">
        <f t="shared" si="36"/>
        <v>370780.92754641763</v>
      </c>
      <c r="R50" s="624">
        <f t="shared" si="36"/>
        <v>387367.38680080028</v>
      </c>
      <c r="S50" s="624">
        <f t="shared" si="36"/>
        <v>404032.60409365664</v>
      </c>
      <c r="T50" s="624">
        <f>AVERAGE(P50:S50)</f>
        <v>379113.53619284584</v>
      </c>
      <c r="U50" s="624">
        <f t="shared" si="36"/>
        <v>412922.07905731542</v>
      </c>
      <c r="V50" s="624">
        <f t="shared" si="36"/>
        <v>421851.33237069938</v>
      </c>
      <c r="W50" s="624">
        <f t="shared" si="36"/>
        <v>430820.36403380858</v>
      </c>
      <c r="X50" s="624">
        <f t="shared" si="36"/>
        <v>441017.90154406632</v>
      </c>
      <c r="Y50" s="624">
        <f>AVERAGE(U50:X50)</f>
        <v>426652.9192514724</v>
      </c>
      <c r="Z50" s="624">
        <f t="shared" si="36"/>
        <v>431707.0285905319</v>
      </c>
      <c r="AA50" s="624">
        <f t="shared" si="36"/>
        <v>436781.22879444185</v>
      </c>
      <c r="AB50" s="624">
        <f t="shared" si="36"/>
        <v>441875.51986320224</v>
      </c>
      <c r="AC50" s="624">
        <f t="shared" si="36"/>
        <v>446989.90179681312</v>
      </c>
      <c r="AD50" s="624">
        <f t="shared" ref="AD50:AM50" si="37">AD48*AD49</f>
        <v>446989.90179681318</v>
      </c>
      <c r="AE50" s="624">
        <f t="shared" si="36"/>
        <v>452135.85250006162</v>
      </c>
      <c r="AF50" s="624">
        <f t="shared" si="36"/>
        <v>457302.09780342429</v>
      </c>
      <c r="AG50" s="624">
        <f t="shared" si="36"/>
        <v>462488.63770690118</v>
      </c>
      <c r="AH50" s="624">
        <f t="shared" si="36"/>
        <v>467695.47221049224</v>
      </c>
      <c r="AI50" s="624">
        <f t="shared" si="37"/>
        <v>467695.47221049236</v>
      </c>
      <c r="AJ50" s="624">
        <f t="shared" si="37"/>
        <v>484690.81791451119</v>
      </c>
      <c r="AK50" s="624">
        <f t="shared" si="37"/>
        <v>493731.53130843793</v>
      </c>
      <c r="AL50" s="624">
        <f t="shared" si="37"/>
        <v>502905.76036049164</v>
      </c>
      <c r="AM50" s="624">
        <f t="shared" si="37"/>
        <v>512215.28326355387</v>
      </c>
    </row>
    <row r="51" spans="1:44">
      <c r="B51" s="635"/>
      <c r="C51" s="632"/>
      <c r="D51" s="632"/>
      <c r="E51" s="632"/>
      <c r="F51" s="632"/>
      <c r="G51" s="632"/>
      <c r="H51" s="632"/>
      <c r="I51" s="632"/>
      <c r="J51" s="632"/>
      <c r="K51" s="632"/>
      <c r="L51" s="632"/>
      <c r="M51" s="632"/>
      <c r="N51" s="632"/>
      <c r="O51" s="632"/>
      <c r="P51" s="632"/>
      <c r="Q51" s="632"/>
      <c r="R51" s="632"/>
      <c r="S51" s="632"/>
      <c r="T51" s="632"/>
      <c r="U51" s="636"/>
      <c r="V51" s="636"/>
      <c r="W51" s="636"/>
      <c r="X51" s="636"/>
      <c r="Y51" s="632"/>
      <c r="Z51" s="636"/>
      <c r="AA51" s="636"/>
      <c r="AB51" s="636"/>
      <c r="AC51" s="636"/>
      <c r="AD51" s="632"/>
      <c r="AE51" s="632"/>
      <c r="AF51" s="632"/>
      <c r="AG51" s="632"/>
      <c r="AH51" s="632"/>
      <c r="AI51" s="636"/>
      <c r="AJ51" s="632"/>
      <c r="AK51" s="632"/>
      <c r="AL51" s="684"/>
      <c r="AM51" s="632"/>
    </row>
    <row r="52" spans="1:44">
      <c r="B52" s="637" t="s">
        <v>513</v>
      </c>
      <c r="D52" s="638"/>
      <c r="E52" s="639"/>
      <c r="F52" s="639"/>
      <c r="G52" s="640"/>
      <c r="H52" s="640"/>
      <c r="I52" s="641"/>
      <c r="U52" s="643"/>
      <c r="V52" s="643"/>
      <c r="W52" s="643"/>
      <c r="X52" s="643"/>
      <c r="Y52" s="642"/>
      <c r="Z52" s="642"/>
      <c r="AA52" s="642"/>
      <c r="AB52" s="642"/>
      <c r="AC52" s="642"/>
      <c r="AD52" s="642"/>
      <c r="AE52" s="642"/>
      <c r="AF52" s="642"/>
      <c r="AG52" s="642"/>
      <c r="AH52" s="642"/>
      <c r="AI52" s="642"/>
      <c r="AJ52" s="642"/>
      <c r="AK52" s="642"/>
      <c r="AL52" s="642"/>
      <c r="AM52" s="642"/>
    </row>
    <row r="53" spans="1:44">
      <c r="B53" s="644" t="s">
        <v>514</v>
      </c>
      <c r="C53" s="644"/>
      <c r="D53" s="645"/>
      <c r="E53" s="645"/>
      <c r="F53" s="645"/>
      <c r="G53" s="644"/>
      <c r="H53" s="644"/>
      <c r="I53" s="644"/>
      <c r="J53" s="686">
        <v>1</v>
      </c>
      <c r="K53" s="646" t="e">
        <f>#REF!</f>
        <v>#REF!</v>
      </c>
      <c r="L53" s="646" t="e">
        <f>#REF!</f>
        <v>#REF!</v>
      </c>
      <c r="M53" s="646">
        <v>0.75</v>
      </c>
      <c r="N53" s="646">
        <v>0.71</v>
      </c>
      <c r="O53" s="646">
        <f>N53</f>
        <v>0.71</v>
      </c>
      <c r="P53" s="646">
        <f>1-P54-P55</f>
        <v>0.69299999999999995</v>
      </c>
      <c r="Q53" s="646">
        <f>1-Q54-Q55</f>
        <v>0.67300000000000004</v>
      </c>
      <c r="R53" s="646">
        <f>1-R54-R55</f>
        <v>0.65500000000000003</v>
      </c>
      <c r="S53" s="646">
        <f>1-S54-S55</f>
        <v>0.60799999999999998</v>
      </c>
      <c r="T53" s="646">
        <f>(P50*P53+Q50*Q53+R50*R53+S50*S53)/SUM($P$50:$S$50)</f>
        <v>0.65575630833147669</v>
      </c>
      <c r="U53" s="646">
        <f>S53-3%+0.25*$A$54</f>
        <v>0.57924999999999993</v>
      </c>
      <c r="V53" s="646">
        <f>U53-2.5%+0.25*$A$54</f>
        <v>0.55549999999999988</v>
      </c>
      <c r="W53" s="646">
        <f>V53-2.4%+0.25*$A$54</f>
        <v>0.53274999999999983</v>
      </c>
      <c r="X53" s="646">
        <f>W53-1.5%+0.25*$A$54</f>
        <v>0.51899999999999979</v>
      </c>
      <c r="Y53" s="646">
        <f>(U50*U53+V50*V53+W50*W53+X50*X53)/SUM($U$50:$X$50)</f>
        <v>0.54607113136671637</v>
      </c>
      <c r="Z53" s="646">
        <f>X53-2%+0.25*$A$54</f>
        <v>0.50024999999999975</v>
      </c>
      <c r="AA53" s="646">
        <f>Z53-2%+0.25*$A$54</f>
        <v>0.48149999999999971</v>
      </c>
      <c r="AB53" s="646">
        <f>AA53-1%+0.25*$A$54</f>
        <v>0.47274999999999967</v>
      </c>
      <c r="AC53" s="646">
        <f>AB53-0.5%+0.25*$A$54</f>
        <v>0.46899999999999964</v>
      </c>
      <c r="AD53" s="646">
        <f>(Z50*Z53+AA50*AA53+AB50*AB53+AC50*AC53)/SUM($Z$50:$AC$50)</f>
        <v>0.48072652007879829</v>
      </c>
      <c r="AE53" s="646">
        <f>AD53-0.5%+0.25*1*$A$54</f>
        <v>0.47697652007879826</v>
      </c>
      <c r="AF53" s="646">
        <f>AD53-0.5%+0.25*2*$A$54</f>
        <v>0.47822652007879829</v>
      </c>
      <c r="AG53" s="646">
        <f>AD53-0.75%+0.25*3*$A$54</f>
        <v>0.47697652007879826</v>
      </c>
      <c r="AH53" s="646">
        <f>AD53-0.75%+0.25*4*$A$54</f>
        <v>0.47822652007879829</v>
      </c>
      <c r="AI53" s="646">
        <f>(AE50*AE53+AF50*AF53+AG50*AG53+AH50*AH53)/SUM($AE$50:$AH$50)</f>
        <v>0.47760504426728217</v>
      </c>
      <c r="AJ53" s="646">
        <f>AI53-0.3*(AJ56-AI56)+0.25*4*$A$19</f>
        <v>0.47360504426728217</v>
      </c>
      <c r="AK53" s="646">
        <f>AJ53-0.3*(AK56-AJ56)+0.25*4*$A$19</f>
        <v>0.47260504426728217</v>
      </c>
      <c r="AL53" s="646">
        <f>AK53-0.3*(AL56-AK56)+0.25*4*$A$19</f>
        <v>0.47160504426728217</v>
      </c>
      <c r="AM53" s="646">
        <f>AL53-0.3*(AM56-AL56)+0.25*4*$A$19</f>
        <v>0.46760504426728217</v>
      </c>
      <c r="AN53" s="644"/>
      <c r="AO53" s="644"/>
      <c r="AP53" s="644"/>
      <c r="AQ53" s="644"/>
      <c r="AR53" s="644"/>
    </row>
    <row r="54" spans="1:44">
      <c r="A54" s="685">
        <f>A19</f>
        <v>5.0000000000000001E-3</v>
      </c>
      <c r="B54" s="644" t="s">
        <v>515</v>
      </c>
      <c r="C54" s="649"/>
      <c r="D54" s="650"/>
      <c r="E54" s="650"/>
      <c r="F54" s="650"/>
      <c r="G54" s="651"/>
      <c r="H54" s="651"/>
      <c r="I54" s="651"/>
      <c r="J54" s="1052">
        <v>0</v>
      </c>
      <c r="K54" s="646" t="e">
        <f>#REF!</f>
        <v>#REF!</v>
      </c>
      <c r="L54" s="646" t="e">
        <f>#REF!</f>
        <v>#REF!</v>
      </c>
      <c r="M54" s="646">
        <v>0.25</v>
      </c>
      <c r="N54" s="646">
        <v>0.25</v>
      </c>
      <c r="O54" s="646">
        <f>N54</f>
        <v>0.25</v>
      </c>
      <c r="P54" s="646">
        <f>$O$54</f>
        <v>0.25</v>
      </c>
      <c r="Q54" s="646">
        <v>0.24</v>
      </c>
      <c r="R54" s="646">
        <f>$O$54</f>
        <v>0.25</v>
      </c>
      <c r="S54" s="646">
        <f>$O$54</f>
        <v>0.25</v>
      </c>
      <c r="T54" s="646">
        <f>(P50*P54+Q50*Q54+R50*R54+S50*S54)/SUM($P$50:$S$50)</f>
        <v>0.24755494797633779</v>
      </c>
      <c r="U54" s="646">
        <f>T54-$A$54</f>
        <v>0.24255494797633778</v>
      </c>
      <c r="V54" s="646">
        <f>U54-$A$54</f>
        <v>0.23755494797633778</v>
      </c>
      <c r="W54" s="646">
        <f>V54-$A$54</f>
        <v>0.23255494797633777</v>
      </c>
      <c r="X54" s="646">
        <f>W54-$A$54</f>
        <v>0.22755494797633777</v>
      </c>
      <c r="Y54" s="646">
        <f>(U50*U54+V50*V54+W50*W54+X50*X54)/SUM($U$50:$X$50)</f>
        <v>0.23491833737478757</v>
      </c>
      <c r="Z54" s="646">
        <f>X54-$A$54</f>
        <v>0.22255494797633776</v>
      </c>
      <c r="AA54" s="646">
        <f>Z54-$A$54</f>
        <v>0.21755494797633776</v>
      </c>
      <c r="AB54" s="646">
        <f>AA54-$A$54</f>
        <v>0.21255494797633775</v>
      </c>
      <c r="AC54" s="646">
        <f>AB54-$A$54</f>
        <v>0.20755494797633775</v>
      </c>
      <c r="AD54" s="646">
        <f>(Z50*Z54+AA50*AA54+AB50*AB54+AC50*AC54)/SUM($Z$50:$AC$50)</f>
        <v>0.21498247692043268</v>
      </c>
      <c r="AE54" s="646">
        <f>AD54-$A$54</f>
        <v>0.20998247692043268</v>
      </c>
      <c r="AF54" s="646">
        <f t="shared" ref="AF54:AH54" si="38">AE54-$A$54</f>
        <v>0.20498247692043267</v>
      </c>
      <c r="AG54" s="646">
        <f t="shared" si="38"/>
        <v>0.19998247692043267</v>
      </c>
      <c r="AH54" s="646">
        <f t="shared" si="38"/>
        <v>0.19498247692043266</v>
      </c>
      <c r="AI54" s="646">
        <f>(AE50*AE54+AF50*AF54+AG50*AG54+AH50*AH54)/SUM($AE$50:$AH$50)</f>
        <v>0.20241199315075481</v>
      </c>
      <c r="AJ54" s="652">
        <f>AI54-4*$A$19-0.4*(AJ56-AI56)</f>
        <v>0.17041199315075481</v>
      </c>
      <c r="AK54" s="652">
        <f>AJ54-4*$A$19-0.4*(AK56-AJ56)</f>
        <v>0.14241199315075481</v>
      </c>
      <c r="AL54" s="652">
        <f>AK54-4*$A$19-0.4*(AL56-AK56)</f>
        <v>0.1144119931507548</v>
      </c>
      <c r="AM54" s="652">
        <f>AL54-4*$A$19-0.4*(AM56-AL56)</f>
        <v>8.24119931507548E-2</v>
      </c>
      <c r="AN54" s="653"/>
      <c r="AO54" s="653"/>
      <c r="AP54" s="653"/>
      <c r="AQ54" s="653"/>
      <c r="AR54" s="644"/>
    </row>
    <row r="55" spans="1:44">
      <c r="B55" s="654" t="s">
        <v>221</v>
      </c>
      <c r="C55" s="644"/>
      <c r="D55" s="644"/>
      <c r="E55" s="644"/>
      <c r="F55" s="644"/>
      <c r="G55" s="644"/>
      <c r="H55" s="644"/>
      <c r="I55" s="644"/>
      <c r="J55" s="646">
        <f>1-J53-J54</f>
        <v>0</v>
      </c>
      <c r="K55" s="646" t="e">
        <f>1-K53-K54</f>
        <v>#REF!</v>
      </c>
      <c r="L55" s="646" t="e">
        <f>1-L53-L54</f>
        <v>#REF!</v>
      </c>
      <c r="M55" s="646">
        <f>1-M53-M54</f>
        <v>0</v>
      </c>
      <c r="N55" s="646">
        <f>1-N53-N54</f>
        <v>4.0000000000000036E-2</v>
      </c>
      <c r="O55" s="646">
        <f>N55</f>
        <v>4.0000000000000036E-2</v>
      </c>
      <c r="P55" s="686">
        <v>5.7000000000000002E-2</v>
      </c>
      <c r="Q55" s="686">
        <f>P55+3%</f>
        <v>8.6999999999999994E-2</v>
      </c>
      <c r="R55" s="686">
        <f>Q55+0.8%</f>
        <v>9.5000000000000001E-2</v>
      </c>
      <c r="S55" s="686">
        <v>0.14199999999999999</v>
      </c>
      <c r="T55" s="646">
        <f>(P50*P55+Q50*Q55+R50*R55+S50*S55)/SUM($P$50:$S$50)</f>
        <v>9.6688743692185469E-2</v>
      </c>
      <c r="U55" s="646">
        <f>1-U53-U54</f>
        <v>0.17819505202366229</v>
      </c>
      <c r="V55" s="646">
        <f>1-V53-V54</f>
        <v>0.20694505202366234</v>
      </c>
      <c r="W55" s="646">
        <f>1-W53-W54</f>
        <v>0.23469505202366239</v>
      </c>
      <c r="X55" s="646">
        <f>1-X53-X54</f>
        <v>0.25344505202366241</v>
      </c>
      <c r="Y55" s="646">
        <f>(U50*U55+V50*V55+W50*W55+X50*X55)/SUM($U$50:$X$50)</f>
        <v>0.2190105312584962</v>
      </c>
      <c r="Z55" s="646">
        <f>1-Z53-Z54</f>
        <v>0.27719505202366246</v>
      </c>
      <c r="AA55" s="646">
        <f>1-AA53-AA54</f>
        <v>0.30094505202366251</v>
      </c>
      <c r="AB55" s="646">
        <f>1-AB53-AB54</f>
        <v>0.31469505202366255</v>
      </c>
      <c r="AC55" s="646">
        <f>1-AC53-AC54</f>
        <v>0.32344505202366258</v>
      </c>
      <c r="AD55" s="646">
        <f>(Z50*Z55+AA50*AA55+AB50*AB55+AC50*AC55)/SUM($Z$50:$AC$50)</f>
        <v>0.30429100300076889</v>
      </c>
      <c r="AE55" s="646">
        <f>1-AE53-AE54</f>
        <v>0.31304100300076898</v>
      </c>
      <c r="AF55" s="646">
        <f t="shared" ref="AF55:AH55" si="39">1-AF53-AF54</f>
        <v>0.31679100300076901</v>
      </c>
      <c r="AG55" s="646">
        <f t="shared" si="39"/>
        <v>0.32304100300076899</v>
      </c>
      <c r="AH55" s="646">
        <f t="shared" si="39"/>
        <v>0.32679100300076902</v>
      </c>
      <c r="AI55" s="646">
        <f>1-AI53-AI54</f>
        <v>0.31998296258196307</v>
      </c>
      <c r="AJ55" s="646">
        <f>AI55-0.3*(AJ56-AI56)+0.75*4*$A$19</f>
        <v>0.32598296258196308</v>
      </c>
      <c r="AK55" s="646">
        <f>AJ55-0.3*(AK56-AJ56)+0.75*4*$A$19</f>
        <v>0.33498296258196308</v>
      </c>
      <c r="AL55" s="646">
        <f>AK55-0.3*(AL56-AK56)+0.75*4*$A$19</f>
        <v>0.34398296258196309</v>
      </c>
      <c r="AM55" s="646">
        <f>AL55-0.3*(AM56-AL56)+0.75*4*$A$19</f>
        <v>0.3499829625819631</v>
      </c>
      <c r="AN55" s="644"/>
      <c r="AO55" s="644"/>
      <c r="AP55" s="644"/>
      <c r="AQ55" s="644"/>
      <c r="AR55" s="644"/>
    </row>
    <row r="56" spans="1:44">
      <c r="B56" s="644" t="s">
        <v>581</v>
      </c>
      <c r="C56" s="644"/>
      <c r="D56" s="644"/>
      <c r="E56" s="644"/>
      <c r="F56" s="644"/>
      <c r="G56" s="644"/>
      <c r="H56" s="644"/>
      <c r="I56" s="644"/>
      <c r="J56" s="646"/>
      <c r="K56" s="646"/>
      <c r="L56" s="646"/>
      <c r="M56" s="646"/>
      <c r="N56" s="646"/>
      <c r="O56" s="646"/>
      <c r="P56" s="646"/>
      <c r="Q56" s="646"/>
      <c r="R56" s="646"/>
      <c r="S56" s="646"/>
      <c r="T56" s="646"/>
      <c r="U56" s="687"/>
      <c r="V56" s="687"/>
      <c r="W56" s="687"/>
      <c r="X56" s="687"/>
      <c r="Y56" s="646"/>
      <c r="Z56" s="687"/>
      <c r="AA56" s="687"/>
      <c r="AB56" s="687"/>
      <c r="AC56" s="687"/>
      <c r="AD56" s="646"/>
      <c r="AE56" s="646"/>
      <c r="AF56" s="646"/>
      <c r="AG56" s="646"/>
      <c r="AH56" s="646"/>
      <c r="AI56" s="688"/>
      <c r="AJ56" s="646">
        <f>AJ24</f>
        <v>0.03</v>
      </c>
      <c r="AK56" s="646">
        <f>AK24</f>
        <v>0.05</v>
      </c>
      <c r="AL56" s="646">
        <f>AL24</f>
        <v>7.0000000000000007E-2</v>
      </c>
      <c r="AM56" s="646">
        <f>AM24</f>
        <v>0.1</v>
      </c>
      <c r="AN56" s="644"/>
      <c r="AO56" s="644"/>
      <c r="AP56" s="644"/>
      <c r="AQ56" s="644"/>
      <c r="AR56" s="644"/>
    </row>
    <row r="57" spans="1:44">
      <c r="B57" s="655"/>
      <c r="C57" s="632"/>
      <c r="D57" s="632"/>
      <c r="E57" s="632"/>
      <c r="F57" s="632"/>
      <c r="G57" s="632"/>
      <c r="H57" s="632"/>
      <c r="I57" s="632"/>
      <c r="J57" s="632"/>
      <c r="K57" s="656"/>
      <c r="L57" s="656"/>
      <c r="M57" s="656"/>
      <c r="N57" s="656"/>
      <c r="O57" s="632"/>
      <c r="P57" s="656"/>
      <c r="Q57" s="656"/>
      <c r="R57" s="656"/>
      <c r="S57" s="656"/>
      <c r="T57" s="656"/>
      <c r="U57" s="656"/>
      <c r="V57" s="656"/>
      <c r="W57" s="656"/>
      <c r="X57" s="656"/>
      <c r="Y57" s="656"/>
      <c r="Z57" s="656"/>
      <c r="AA57" s="656"/>
      <c r="AB57" s="656"/>
      <c r="AC57" s="656"/>
      <c r="AD57" s="656"/>
      <c r="AE57" s="656"/>
      <c r="AF57" s="656"/>
      <c r="AG57" s="656"/>
      <c r="AH57" s="656"/>
      <c r="AI57" s="646"/>
      <c r="AJ57" s="646"/>
      <c r="AK57" s="646"/>
      <c r="AL57" s="646"/>
      <c r="AM57" s="646"/>
      <c r="AN57" s="644"/>
      <c r="AO57" s="644"/>
      <c r="AP57" s="644"/>
      <c r="AQ57" s="644"/>
      <c r="AR57" s="644"/>
    </row>
    <row r="58" spans="1:44">
      <c r="B58" s="644" t="s">
        <v>519</v>
      </c>
      <c r="E58" s="641"/>
      <c r="F58" s="641"/>
      <c r="G58" s="641"/>
      <c r="H58" s="641"/>
      <c r="I58" s="641"/>
      <c r="J58" s="619"/>
      <c r="K58" s="619"/>
      <c r="L58" s="619"/>
      <c r="M58" s="619"/>
      <c r="N58" s="619">
        <f>N50*N55</f>
        <v>13513.771326122955</v>
      </c>
      <c r="O58" s="619">
        <f>N58</f>
        <v>13513.771326122955</v>
      </c>
      <c r="P58" s="619">
        <f t="shared" ref="P58:AM58" si="40">P50*P55</f>
        <v>20193.573900839001</v>
      </c>
      <c r="Q58" s="619">
        <f t="shared" si="40"/>
        <v>32257.940696538331</v>
      </c>
      <c r="R58" s="619">
        <f t="shared" si="40"/>
        <v>36799.90174607603</v>
      </c>
      <c r="S58" s="619">
        <f>S50*S55</f>
        <v>57372.629781299242</v>
      </c>
      <c r="T58" s="619">
        <f>T55*AVERAGE(P50:S50)</f>
        <v>36656.011531188153</v>
      </c>
      <c r="U58" s="619">
        <f t="shared" si="40"/>
        <v>73580.67135933711</v>
      </c>
      <c r="V58" s="619">
        <f t="shared" si="40"/>
        <v>87300.045923705664</v>
      </c>
      <c r="W58" s="619">
        <f t="shared" si="40"/>
        <v>101111.40774976788</v>
      </c>
      <c r="X58" s="619">
        <f t="shared" si="40"/>
        <v>111773.80500020231</v>
      </c>
      <c r="Y58" s="619">
        <f>Y55*AVERAGE(U50:X50)</f>
        <v>93441.482508253248</v>
      </c>
      <c r="Z58" s="619">
        <f t="shared" si="40"/>
        <v>119667.05224913322</v>
      </c>
      <c r="AA58" s="619">
        <f t="shared" si="40"/>
        <v>131447.14962250253</v>
      </c>
      <c r="AB58" s="619">
        <f t="shared" si="40"/>
        <v>139056.03971133337</v>
      </c>
      <c r="AC58" s="619">
        <f t="shared" si="40"/>
        <v>144576.67204072204</v>
      </c>
      <c r="AD58" s="619">
        <f>AD55*AVERAGE(Z50:AC50)</f>
        <v>133686.72840592277</v>
      </c>
      <c r="AE58" s="619">
        <f t="shared" si="40"/>
        <v>141537.06075922702</v>
      </c>
      <c r="AF58" s="619">
        <f t="shared" si="40"/>
        <v>144869.19023750254</v>
      </c>
      <c r="AG58" s="619">
        <f t="shared" si="40"/>
        <v>149402.79340129663</v>
      </c>
      <c r="AH58" s="619">
        <f t="shared" si="40"/>
        <v>152838.67246258506</v>
      </c>
      <c r="AI58" s="619">
        <f t="shared" si="40"/>
        <v>149654.58278408353</v>
      </c>
      <c r="AJ58" s="619">
        <f t="shared" si="40"/>
        <v>158000.94876004718</v>
      </c>
      <c r="AK58" s="619">
        <f t="shared" si="40"/>
        <v>165391.6510778298</v>
      </c>
      <c r="AL58" s="619">
        <f t="shared" si="40"/>
        <v>172991.01334833668</v>
      </c>
      <c r="AM58" s="619">
        <f t="shared" si="40"/>
        <v>179266.62231633801</v>
      </c>
    </row>
    <row r="59" spans="1:44">
      <c r="B59" s="644" t="s">
        <v>520</v>
      </c>
      <c r="E59" s="641"/>
      <c r="F59" s="641"/>
      <c r="G59" s="641"/>
      <c r="H59" s="641"/>
      <c r="I59" s="641"/>
      <c r="J59" s="657"/>
      <c r="K59" s="658"/>
      <c r="L59" s="658"/>
      <c r="M59" s="658"/>
      <c r="N59" s="658">
        <f t="shared" ref="N59:AM59" si="41">1405/1019</f>
        <v>1.3788027477919529</v>
      </c>
      <c r="O59" s="658">
        <f t="shared" si="41"/>
        <v>1.3788027477919529</v>
      </c>
      <c r="P59" s="658">
        <f t="shared" si="41"/>
        <v>1.3788027477919529</v>
      </c>
      <c r="Q59" s="658">
        <f t="shared" si="41"/>
        <v>1.3788027477919529</v>
      </c>
      <c r="R59" s="658">
        <f t="shared" si="41"/>
        <v>1.3788027477919529</v>
      </c>
      <c r="S59" s="658">
        <f t="shared" si="41"/>
        <v>1.3788027477919529</v>
      </c>
      <c r="T59" s="658">
        <f t="shared" si="41"/>
        <v>1.3788027477919529</v>
      </c>
      <c r="U59" s="658">
        <f t="shared" si="41"/>
        <v>1.3788027477919529</v>
      </c>
      <c r="V59" s="658">
        <f t="shared" si="41"/>
        <v>1.3788027477919529</v>
      </c>
      <c r="W59" s="658">
        <f t="shared" si="41"/>
        <v>1.3788027477919529</v>
      </c>
      <c r="X59" s="658">
        <f t="shared" si="41"/>
        <v>1.3788027477919529</v>
      </c>
      <c r="Y59" s="658">
        <f t="shared" si="41"/>
        <v>1.3788027477919529</v>
      </c>
      <c r="Z59" s="658">
        <f t="shared" si="41"/>
        <v>1.3788027477919529</v>
      </c>
      <c r="AA59" s="658">
        <f t="shared" si="41"/>
        <v>1.3788027477919529</v>
      </c>
      <c r="AB59" s="658">
        <f t="shared" si="41"/>
        <v>1.3788027477919529</v>
      </c>
      <c r="AC59" s="658">
        <f t="shared" si="41"/>
        <v>1.3788027477919529</v>
      </c>
      <c r="AD59" s="658">
        <f t="shared" si="41"/>
        <v>1.3788027477919529</v>
      </c>
      <c r="AE59" s="658">
        <f t="shared" si="41"/>
        <v>1.3788027477919529</v>
      </c>
      <c r="AF59" s="658">
        <f t="shared" si="41"/>
        <v>1.3788027477919529</v>
      </c>
      <c r="AG59" s="658">
        <f t="shared" si="41"/>
        <v>1.3788027477919529</v>
      </c>
      <c r="AH59" s="658">
        <f t="shared" si="41"/>
        <v>1.3788027477919529</v>
      </c>
      <c r="AI59" s="658">
        <f t="shared" si="41"/>
        <v>1.3788027477919529</v>
      </c>
      <c r="AJ59" s="658">
        <f t="shared" si="41"/>
        <v>1.3788027477919529</v>
      </c>
      <c r="AK59" s="658">
        <f t="shared" si="41"/>
        <v>1.3788027477919529</v>
      </c>
      <c r="AL59" s="658">
        <f t="shared" si="41"/>
        <v>1.3788027477919529</v>
      </c>
      <c r="AM59" s="658">
        <f t="shared" si="41"/>
        <v>1.3788027477919529</v>
      </c>
    </row>
    <row r="60" spans="1:44">
      <c r="B60" s="644" t="s">
        <v>521</v>
      </c>
      <c r="E60" s="641"/>
      <c r="F60" s="641"/>
      <c r="G60" s="641"/>
      <c r="H60" s="641"/>
      <c r="I60" s="641"/>
      <c r="J60" s="659"/>
      <c r="K60" s="659"/>
      <c r="L60" s="659"/>
      <c r="M60" s="659"/>
      <c r="N60" s="659">
        <v>1</v>
      </c>
      <c r="O60" s="659">
        <f>N60</f>
        <v>1</v>
      </c>
      <c r="P60" s="659">
        <v>1.87</v>
      </c>
      <c r="Q60" s="659">
        <v>1.74</v>
      </c>
      <c r="R60" s="659">
        <v>1.97</v>
      </c>
      <c r="S60" s="659">
        <v>1.85</v>
      </c>
      <c r="T60" s="659">
        <f>T61/T59</f>
        <v>7.4346869765098385</v>
      </c>
      <c r="U60" s="659">
        <v>1.75</v>
      </c>
      <c r="V60" s="659">
        <v>1.69</v>
      </c>
      <c r="W60" s="659">
        <v>1.65</v>
      </c>
      <c r="X60" s="659">
        <v>1.6</v>
      </c>
      <c r="Y60" s="659">
        <f>Y61/Y59</f>
        <v>6.6563066700317712</v>
      </c>
      <c r="Z60" s="659">
        <v>1.57</v>
      </c>
      <c r="AA60" s="659">
        <v>1.55</v>
      </c>
      <c r="AB60" s="659">
        <v>1.53</v>
      </c>
      <c r="AC60" s="659">
        <v>1.5</v>
      </c>
      <c r="AD60" s="659">
        <f>AD61/AD59</f>
        <v>6.1430264062700894</v>
      </c>
      <c r="AE60" s="659">
        <f>AI60/4</f>
        <v>1.5357566015675224</v>
      </c>
      <c r="AF60" s="659">
        <f>AI60/4</f>
        <v>1.5357566015675224</v>
      </c>
      <c r="AG60" s="659">
        <f>AI60/4</f>
        <v>1.5357566015675224</v>
      </c>
      <c r="AH60" s="659">
        <f>AI60/4</f>
        <v>1.5357566015675224</v>
      </c>
      <c r="AI60" s="659">
        <f>AD60</f>
        <v>6.1430264062700894</v>
      </c>
      <c r="AJ60" s="659">
        <f>AI60</f>
        <v>6.1430264062700894</v>
      </c>
      <c r="AK60" s="659">
        <f>AJ60</f>
        <v>6.1430264062700894</v>
      </c>
      <c r="AL60" s="659">
        <f>AK60</f>
        <v>6.1430264062700894</v>
      </c>
      <c r="AM60" s="659">
        <f>AL60</f>
        <v>6.1430264062700894</v>
      </c>
    </row>
    <row r="61" spans="1:44">
      <c r="B61" s="644" t="s">
        <v>526</v>
      </c>
      <c r="E61" s="641"/>
      <c r="F61" s="641"/>
      <c r="G61" s="641"/>
      <c r="H61" s="641"/>
      <c r="I61" s="641"/>
      <c r="J61" s="621"/>
      <c r="K61" s="621"/>
      <c r="L61" s="621"/>
      <c r="M61" s="621"/>
      <c r="N61" s="621">
        <f>N59*N60</f>
        <v>1.3788027477919529</v>
      </c>
      <c r="O61" s="659">
        <f>N61</f>
        <v>1.3788027477919529</v>
      </c>
      <c r="P61" s="621">
        <f>P59*P60</f>
        <v>2.5783611383709522</v>
      </c>
      <c r="Q61" s="621">
        <f>Q59*Q60</f>
        <v>2.3991167811579981</v>
      </c>
      <c r="R61" s="621">
        <f>R59*R60</f>
        <v>2.7162414131501471</v>
      </c>
      <c r="S61" s="621">
        <f>S59*S60</f>
        <v>2.5507850834151129</v>
      </c>
      <c r="T61" s="659">
        <f>4*(P58*P61+Q58*Q61+R58*R61+S58*S61)/SUM($P$58:$S$58)</f>
        <v>10.250966832184812</v>
      </c>
      <c r="U61" s="621">
        <f>U59*U60</f>
        <v>2.4129048086359175</v>
      </c>
      <c r="V61" s="621">
        <f>V59*V60</f>
        <v>2.3301766437684002</v>
      </c>
      <c r="W61" s="621">
        <f>W59*W60</f>
        <v>2.2750245338567221</v>
      </c>
      <c r="X61" s="621">
        <f>X59*X60</f>
        <v>2.2060843964671246</v>
      </c>
      <c r="Y61" s="659">
        <f>4*(U58*U61+V58*V61+W58*W61+X58*X61)/SUM($U$58:$X$58)</f>
        <v>9.1777339267857094</v>
      </c>
      <c r="Z61" s="621">
        <f>Z59*Z60</f>
        <v>2.164720314033366</v>
      </c>
      <c r="AA61" s="621">
        <f>AA59*AA60</f>
        <v>2.1371442590775271</v>
      </c>
      <c r="AB61" s="621">
        <f>AB59*AB60</f>
        <v>2.1095682041216879</v>
      </c>
      <c r="AC61" s="621">
        <f>AC59*AC60</f>
        <v>2.0682041216879292</v>
      </c>
      <c r="AD61" s="659">
        <f>4*(Z58*Z61+AA58*AA61+AB58*AB61+AC58*AC61)/SUM($Z$58:$AC$58)</f>
        <v>8.4700216887237243</v>
      </c>
      <c r="AE61" s="621">
        <f>AE59*AE60</f>
        <v>2.1175054221809311</v>
      </c>
      <c r="AF61" s="621">
        <f t="shared" ref="AF61:AH61" si="42">AF59*AF60</f>
        <v>2.1175054221809311</v>
      </c>
      <c r="AG61" s="621">
        <f t="shared" si="42"/>
        <v>2.1175054221809311</v>
      </c>
      <c r="AH61" s="621">
        <f t="shared" si="42"/>
        <v>2.1175054221809311</v>
      </c>
      <c r="AI61" s="621">
        <f>AI59*AI60</f>
        <v>8.4700216887237243</v>
      </c>
      <c r="AJ61" s="621">
        <f>AJ59*AJ60</f>
        <v>8.4700216887237243</v>
      </c>
      <c r="AK61" s="621">
        <f>AK59*AK60</f>
        <v>8.4700216887237243</v>
      </c>
      <c r="AL61" s="621">
        <f>AL59*AL60</f>
        <v>8.4700216887237243</v>
      </c>
      <c r="AM61" s="621">
        <f>AM59*AM60</f>
        <v>8.4700216887237243</v>
      </c>
    </row>
    <row r="62" spans="1:44">
      <c r="B62" s="644" t="s">
        <v>527</v>
      </c>
      <c r="J62" s="662"/>
      <c r="K62" s="662"/>
      <c r="L62" s="662"/>
      <c r="M62" s="662"/>
      <c r="N62" s="662">
        <v>1320</v>
      </c>
      <c r="O62" s="662">
        <f>N62</f>
        <v>1320</v>
      </c>
      <c r="P62" s="662">
        <f>O62</f>
        <v>1320</v>
      </c>
      <c r="Q62" s="662">
        <f>P62</f>
        <v>1320</v>
      </c>
      <c r="R62" s="662">
        <f>Q62</f>
        <v>1320</v>
      </c>
      <c r="S62" s="662">
        <f>R62</f>
        <v>1320</v>
      </c>
      <c r="T62" s="662">
        <f>S62</f>
        <v>1320</v>
      </c>
      <c r="U62" s="662">
        <f>Y62</f>
        <v>1306.8</v>
      </c>
      <c r="V62" s="662">
        <f>Y62</f>
        <v>1306.8</v>
      </c>
      <c r="W62" s="662">
        <f>Y62</f>
        <v>1306.8</v>
      </c>
      <c r="X62" s="662">
        <f>Y62</f>
        <v>1306.8</v>
      </c>
      <c r="Y62" s="663">
        <f>T62*0.99</f>
        <v>1306.8</v>
      </c>
      <c r="Z62" s="662">
        <f>AD62</f>
        <v>1293.732</v>
      </c>
      <c r="AA62" s="662">
        <f>AD62</f>
        <v>1293.732</v>
      </c>
      <c r="AB62" s="662">
        <f>AD62</f>
        <v>1293.732</v>
      </c>
      <c r="AC62" s="662">
        <f>AD62</f>
        <v>1293.732</v>
      </c>
      <c r="AD62" s="663">
        <f>U62*0.99</f>
        <v>1293.732</v>
      </c>
      <c r="AE62" s="662">
        <f>AF62</f>
        <v>1280.79468</v>
      </c>
      <c r="AF62" s="662">
        <f t="shared" ref="AF62:AH62" si="43">AG62</f>
        <v>1280.79468</v>
      </c>
      <c r="AG62" s="662">
        <f t="shared" si="43"/>
        <v>1280.79468</v>
      </c>
      <c r="AH62" s="662">
        <f t="shared" si="43"/>
        <v>1280.79468</v>
      </c>
      <c r="AI62" s="663">
        <f>AD62*0.99</f>
        <v>1280.79468</v>
      </c>
      <c r="AJ62" s="663">
        <f>AI62*0.99</f>
        <v>1267.9867331999999</v>
      </c>
      <c r="AK62" s="663">
        <f>AJ62*0.99</f>
        <v>1255.3068658679999</v>
      </c>
      <c r="AL62" s="663">
        <f>AK62*0.99</f>
        <v>1242.7537972093198</v>
      </c>
      <c r="AM62" s="663">
        <f>AL62*0.99</f>
        <v>1230.3262592372266</v>
      </c>
    </row>
    <row r="63" spans="1:44">
      <c r="B63" s="644" t="s">
        <v>528</v>
      </c>
      <c r="J63" s="631"/>
      <c r="K63" s="631"/>
      <c r="L63" s="631"/>
      <c r="M63" s="631"/>
      <c r="N63" s="631">
        <v>0.05</v>
      </c>
      <c r="O63" s="631">
        <v>0.05</v>
      </c>
      <c r="P63" s="631">
        <v>0.05</v>
      </c>
      <c r="Q63" s="631">
        <v>0.05</v>
      </c>
      <c r="R63" s="631">
        <v>0.05</v>
      </c>
      <c r="S63" s="631">
        <v>0.05</v>
      </c>
      <c r="T63" s="631">
        <v>0.05</v>
      </c>
      <c r="U63" s="631">
        <v>0.05</v>
      </c>
      <c r="V63" s="631">
        <v>0.05</v>
      </c>
      <c r="W63" s="631">
        <v>0.05</v>
      </c>
      <c r="X63" s="631">
        <v>0.05</v>
      </c>
      <c r="Y63" s="631">
        <v>0.05</v>
      </c>
      <c r="Z63" s="631">
        <v>0.1</v>
      </c>
      <c r="AA63" s="631">
        <v>0.125</v>
      </c>
      <c r="AB63" s="631">
        <v>0.125</v>
      </c>
      <c r="AC63" s="631">
        <v>0.15</v>
      </c>
      <c r="AD63" s="631">
        <f>AVERAGE(Z63:AC63)</f>
        <v>0.125</v>
      </c>
      <c r="AE63" s="631">
        <v>0.12</v>
      </c>
      <c r="AF63" s="631">
        <v>0.11</v>
      </c>
      <c r="AG63" s="631">
        <f>AI63</f>
        <v>0.1</v>
      </c>
      <c r="AH63" s="631">
        <f>AI63</f>
        <v>0.1</v>
      </c>
      <c r="AI63" s="631">
        <v>0.1</v>
      </c>
      <c r="AJ63" s="631">
        <v>0.1</v>
      </c>
      <c r="AK63" s="631">
        <v>0.1</v>
      </c>
      <c r="AL63" s="631">
        <v>0.1</v>
      </c>
      <c r="AM63" s="631">
        <v>0.1</v>
      </c>
    </row>
    <row r="64" spans="1:44" ht="13.5" thickBot="1">
      <c r="B64" s="666" t="s">
        <v>529</v>
      </c>
      <c r="C64" s="667"/>
      <c r="D64" s="667"/>
      <c r="E64" s="667"/>
      <c r="F64" s="667"/>
      <c r="G64" s="667"/>
      <c r="H64" s="667"/>
      <c r="I64" s="667"/>
      <c r="J64" s="668"/>
      <c r="K64" s="670"/>
      <c r="L64" s="670"/>
      <c r="M64" s="670"/>
      <c r="N64" s="670">
        <f t="shared" ref="N64:S64" si="44">N58*N61*N62*(1-N63)/1000000</f>
        <v>23.365562597013003</v>
      </c>
      <c r="O64" s="670">
        <f t="shared" si="44"/>
        <v>23.365562597013003</v>
      </c>
      <c r="P64" s="670">
        <f t="shared" si="44"/>
        <v>65.291173043194476</v>
      </c>
      <c r="Q64" s="670">
        <f t="shared" si="44"/>
        <v>97.047770830733455</v>
      </c>
      <c r="R64" s="670">
        <f t="shared" si="44"/>
        <v>125.34660107167535</v>
      </c>
      <c r="S64" s="670">
        <f t="shared" si="44"/>
        <v>183.51694129601444</v>
      </c>
      <c r="T64" s="670">
        <f t="shared" ref="T64:AM64" si="45">T58*T61*T62*(1-T63)/1000000</f>
        <v>471.20248624161775</v>
      </c>
      <c r="U64" s="670">
        <f t="shared" si="45"/>
        <v>220.41272613193709</v>
      </c>
      <c r="V64" s="670">
        <f t="shared" si="45"/>
        <v>252.54341454494283</v>
      </c>
      <c r="W64" s="670">
        <f>W58*W61*W62*(1-W63)/1000000</f>
        <v>285.57420243414958</v>
      </c>
      <c r="X64" s="670">
        <f t="shared" si="45"/>
        <v>306.12224483226589</v>
      </c>
      <c r="Y64" s="670">
        <f>Y58*Y61*Y62*(1-Y63)/1000000</f>
        <v>1064.6525879432954</v>
      </c>
      <c r="Z64" s="670">
        <f t="shared" si="45"/>
        <v>301.62213914453218</v>
      </c>
      <c r="AA64" s="670">
        <f t="shared" si="45"/>
        <v>318.0075162682088</v>
      </c>
      <c r="AB64" s="670">
        <f t="shared" si="45"/>
        <v>332.07470925873793</v>
      </c>
      <c r="AC64" s="670">
        <f t="shared" si="45"/>
        <v>328.81745910417686</v>
      </c>
      <c r="AD64" s="670">
        <f>AD58*AD61*AD62*(1-AD63)/1000000</f>
        <v>1281.8145327599993</v>
      </c>
      <c r="AE64" s="670">
        <f t="shared" si="45"/>
        <v>337.79785755415674</v>
      </c>
      <c r="AF64" s="670">
        <f t="shared" si="45"/>
        <v>349.67942980433759</v>
      </c>
      <c r="AG64" s="670">
        <f t="shared" si="45"/>
        <v>364.67439667842677</v>
      </c>
      <c r="AH64" s="670">
        <f t="shared" si="45"/>
        <v>373.06096760665497</v>
      </c>
      <c r="AI64" s="670">
        <f>AI58*AI61*AI62*(1-AI63)/1000000</f>
        <v>1461.1559381050683</v>
      </c>
      <c r="AJ64" s="670">
        <f t="shared" si="45"/>
        <v>1527.2194142671838</v>
      </c>
      <c r="AK64" s="670">
        <f t="shared" si="45"/>
        <v>1582.6705411667767</v>
      </c>
      <c r="AL64" s="670">
        <f t="shared" si="45"/>
        <v>1638.8366712556776</v>
      </c>
      <c r="AM64" s="670">
        <f t="shared" si="45"/>
        <v>1681.3059927723184</v>
      </c>
    </row>
    <row r="65" spans="2:39">
      <c r="B65" s="654" t="s">
        <v>530</v>
      </c>
      <c r="C65" s="641"/>
      <c r="D65" s="641"/>
      <c r="E65" s="641"/>
      <c r="F65" s="641"/>
      <c r="G65" s="641"/>
      <c r="H65" s="641"/>
      <c r="I65" s="641"/>
      <c r="J65" s="671"/>
      <c r="K65" s="672"/>
      <c r="L65" s="672"/>
      <c r="M65" s="672"/>
      <c r="N65" s="672">
        <v>19</v>
      </c>
      <c r="O65" s="672">
        <f>N65</f>
        <v>19</v>
      </c>
      <c r="P65" s="672">
        <v>65</v>
      </c>
      <c r="Q65" s="672">
        <v>97</v>
      </c>
      <c r="R65" s="672">
        <v>125</v>
      </c>
      <c r="S65" s="672">
        <v>184</v>
      </c>
      <c r="T65" s="674">
        <f>SUM(P64:S64)-T64</f>
        <v>0</v>
      </c>
      <c r="U65" s="784">
        <v>218</v>
      </c>
      <c r="V65" s="784">
        <v>247</v>
      </c>
      <c r="W65" s="784">
        <v>277</v>
      </c>
      <c r="X65" s="784">
        <v>297</v>
      </c>
      <c r="Y65" s="674">
        <f>SUM(U64:X64)-Y64</f>
        <v>0</v>
      </c>
      <c r="Z65" s="676"/>
      <c r="AA65" s="676"/>
      <c r="AB65" s="676"/>
      <c r="AC65" s="676"/>
      <c r="AD65" s="674">
        <f>SUM(Z64:AC64)-AD64</f>
        <v>-1.2927089843435624</v>
      </c>
      <c r="AE65" s="674"/>
      <c r="AF65" s="674"/>
      <c r="AG65" s="674"/>
      <c r="AH65" s="673"/>
      <c r="AI65" s="674">
        <f>SUM(AE64:AH64)-AI64</f>
        <v>-35.943286461492335</v>
      </c>
      <c r="AJ65" s="676"/>
      <c r="AK65" s="676"/>
      <c r="AL65" s="676"/>
      <c r="AM65" s="676"/>
    </row>
    <row r="66" spans="2:39">
      <c r="P66" s="579">
        <f>P64/N64-1</f>
        <v>1.7943334457327014</v>
      </c>
      <c r="Q66" s="579">
        <f>Q64/P64-1</f>
        <v>0.48638424318904283</v>
      </c>
      <c r="R66" s="579">
        <f>R64/Q64-1</f>
        <v>0.29159691148701916</v>
      </c>
      <c r="S66" s="579">
        <f>S64/R64-1</f>
        <v>0.46407592808261544</v>
      </c>
      <c r="U66" s="579">
        <f>U64/S64-1</f>
        <v>0.20104838591664098</v>
      </c>
      <c r="V66" s="579">
        <f>V64/U64-1</f>
        <v>0.1457751055343901</v>
      </c>
      <c r="W66" s="579">
        <f>W64/V64-1</f>
        <v>0.13079251323470387</v>
      </c>
      <c r="X66" s="579">
        <f>X64/W64-1</f>
        <v>7.1953426545433352E-2</v>
      </c>
      <c r="Z66" s="579">
        <f>Z64/X64-1</f>
        <v>-1.4700355049988123E-2</v>
      </c>
      <c r="AA66" s="579">
        <f>AA64/Z64-1</f>
        <v>5.4324185784734524E-2</v>
      </c>
      <c r="AB66" s="579">
        <f>AB64/AA64-1</f>
        <v>4.4235410394088959E-2</v>
      </c>
      <c r="AC66" s="579">
        <f>AC64/AB64-1</f>
        <v>-9.8087871907859281E-3</v>
      </c>
    </row>
    <row r="67" spans="2:39">
      <c r="T67" s="579">
        <f>T64/O64-1</f>
        <v>19.166537154207241</v>
      </c>
      <c r="Y67" s="579">
        <f>Y64/T64-1</f>
        <v>1.2594375433693599</v>
      </c>
      <c r="AD67" s="579">
        <f>AD64/Y64-1</f>
        <v>0.20397446761127891</v>
      </c>
      <c r="AE67" s="579"/>
      <c r="AF67" s="579"/>
      <c r="AG67" s="579"/>
      <c r="AH67" s="579"/>
      <c r="AI67" s="579">
        <f>AI64/AD64-1</f>
        <v>0.13991213296584459</v>
      </c>
      <c r="AJ67" s="579">
        <f>AJ64/AI64-1</f>
        <v>4.521315927976266E-2</v>
      </c>
      <c r="AK67" s="579">
        <f>AK64/AJ64-1</f>
        <v>3.6308552904430247E-2</v>
      </c>
      <c r="AL67" s="579">
        <f>AL64/AK64-1</f>
        <v>3.5488200878177834E-2</v>
      </c>
      <c r="AM67" s="579">
        <f>AM64/AL64-1</f>
        <v>2.591430998679134E-2</v>
      </c>
    </row>
    <row r="68" spans="2:39">
      <c r="O68" s="619"/>
      <c r="P68" s="661"/>
      <c r="Q68" s="661"/>
      <c r="R68" s="661"/>
      <c r="S68" s="661"/>
    </row>
    <row r="69" spans="2:39">
      <c r="T69" s="755"/>
      <c r="U69" s="755">
        <v>3</v>
      </c>
      <c r="V69" s="755">
        <v>4</v>
      </c>
      <c r="W69" s="755">
        <v>6</v>
      </c>
      <c r="X69" s="755">
        <f>Y69-U69-V69-W69</f>
        <v>7</v>
      </c>
      <c r="Y69" s="755">
        <v>20</v>
      </c>
      <c r="Z69" s="755">
        <f>$AD$69/4</f>
        <v>10</v>
      </c>
      <c r="AA69" s="755">
        <f t="shared" ref="AA69:AB69" si="46">$AD$69/4</f>
        <v>10</v>
      </c>
      <c r="AB69" s="755">
        <f t="shared" si="46"/>
        <v>10</v>
      </c>
      <c r="AC69" s="755">
        <f>AD69-Z69-AA69-AB69</f>
        <v>10</v>
      </c>
      <c r="AD69" s="755">
        <f>Y69*2</f>
        <v>40</v>
      </c>
      <c r="AE69" s="755">
        <f>$AI$69/4</f>
        <v>20</v>
      </c>
      <c r="AF69" s="755">
        <f t="shared" ref="AF69:AG69" si="47">$AI$69/4</f>
        <v>20</v>
      </c>
      <c r="AG69" s="755">
        <f t="shared" si="47"/>
        <v>20</v>
      </c>
      <c r="AH69" s="755">
        <f>AI69-AE69-AF69-AG69</f>
        <v>20</v>
      </c>
      <c r="AI69" s="755">
        <f>AD69*2</f>
        <v>80</v>
      </c>
      <c r="AJ69" s="755">
        <f>AI69*1.8</f>
        <v>144</v>
      </c>
      <c r="AK69" s="755">
        <f>AJ69*1.1</f>
        <v>158.4</v>
      </c>
      <c r="AL69" s="755">
        <f>AK69*1.1</f>
        <v>174.24</v>
      </c>
      <c r="AM69" s="755">
        <f>AL69*1.1</f>
        <v>191.66400000000002</v>
      </c>
    </row>
    <row r="70" spans="2:39">
      <c r="B70" s="607" t="s">
        <v>802</v>
      </c>
      <c r="T70" s="689"/>
      <c r="Y70" s="659"/>
      <c r="Z70" s="819">
        <f>Z64*(1+Z71)</f>
        <v>235.26526853273512</v>
      </c>
      <c r="AA70" s="819">
        <f t="shared" ref="AA70:AC70" si="48">AA64*(1+AA71)</f>
        <v>254.40601301456707</v>
      </c>
      <c r="AB70" s="819">
        <f t="shared" si="48"/>
        <v>272.30126159216513</v>
      </c>
      <c r="AC70" s="819">
        <f t="shared" si="48"/>
        <v>269.63031646542504</v>
      </c>
      <c r="AD70" s="819">
        <f>SUM(Z70:AC70)</f>
        <v>1031.6028596048923</v>
      </c>
      <c r="AE70" s="819">
        <f>AE64*(1+AE71)</f>
        <v>304.01807179874106</v>
      </c>
      <c r="AF70" s="819">
        <f t="shared" ref="AF70:AH70" si="49">AF64*(1+AF71)</f>
        <v>325.20186971803395</v>
      </c>
      <c r="AG70" s="819">
        <f t="shared" si="49"/>
        <v>346.44067684450545</v>
      </c>
      <c r="AH70" s="819">
        <f t="shared" si="49"/>
        <v>360.00383374042201</v>
      </c>
      <c r="AI70" s="819">
        <f>SUM(AE70:AH70)</f>
        <v>1335.6644521017024</v>
      </c>
      <c r="AJ70" s="819">
        <f t="shared" ref="AJ70:AK70" si="50">AJ64*(1+AJ71)</f>
        <v>1420.3140552684808</v>
      </c>
      <c r="AK70" s="819">
        <f t="shared" si="50"/>
        <v>1503.5370141084379</v>
      </c>
      <c r="AL70" s="819">
        <f t="shared" ref="AL70:AM70" si="51">AL64*(1+AL71)</f>
        <v>1556.8948376928936</v>
      </c>
      <c r="AM70" s="819">
        <f t="shared" si="51"/>
        <v>1597.2406931337025</v>
      </c>
    </row>
    <row r="71" spans="2:39">
      <c r="P71" s="621"/>
      <c r="T71" s="690"/>
      <c r="Z71" s="633">
        <v>-0.22</v>
      </c>
      <c r="AA71" s="633">
        <v>-0.2</v>
      </c>
      <c r="AB71" s="633">
        <v>-0.18</v>
      </c>
      <c r="AC71" s="633">
        <v>-0.18</v>
      </c>
      <c r="AE71" s="633">
        <f>-10%</f>
        <v>-0.1</v>
      </c>
      <c r="AF71" s="633">
        <f>-7%</f>
        <v>-7.0000000000000007E-2</v>
      </c>
      <c r="AG71" s="633">
        <f>-5%</f>
        <v>-0.05</v>
      </c>
      <c r="AH71" s="633">
        <f>-3.5%</f>
        <v>-3.5000000000000003E-2</v>
      </c>
      <c r="AI71" s="633"/>
      <c r="AJ71" s="633">
        <v>-7.0000000000000007E-2</v>
      </c>
      <c r="AK71" s="633">
        <v>-0.05</v>
      </c>
      <c r="AL71" s="633">
        <v>-0.05</v>
      </c>
      <c r="AM71" s="633">
        <v>-0.05</v>
      </c>
    </row>
    <row r="72" spans="2:39">
      <c r="T72" s="690"/>
      <c r="AH72" s="819"/>
    </row>
    <row r="73" spans="2:39">
      <c r="T73" s="690"/>
    </row>
    <row r="74" spans="2:39">
      <c r="T74" s="690"/>
    </row>
  </sheetData>
  <phoneticPr fontId="39" type="noConversion"/>
  <pageMargins left="0.75" right="0.75" top="1" bottom="1" header="0.5" footer="0.5"/>
  <pageSetup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2:S70"/>
  <sheetViews>
    <sheetView zoomScaleNormal="100" workbookViewId="0">
      <pane xSplit="2" ySplit="2" topLeftCell="I3" activePane="bottomRight" state="frozen"/>
      <selection pane="topRight" activeCell="C1" sqref="C1"/>
      <selection pane="bottomLeft" activeCell="A3" sqref="A3"/>
      <selection pane="bottomRight" activeCell="I3" sqref="I3"/>
    </sheetView>
  </sheetViews>
  <sheetFormatPr defaultColWidth="8" defaultRowHeight="12.75" outlineLevelRow="1" outlineLevelCol="1"/>
  <cols>
    <col min="1" max="1" width="2.25" style="710" customWidth="1"/>
    <col min="2" max="2" width="42.375" style="708" bestFit="1" customWidth="1"/>
    <col min="3" max="8" width="8" style="708" hidden="1" customWidth="1" outlineLevel="1"/>
    <col min="9" max="9" width="9.75" style="708" bestFit="1" customWidth="1" collapsed="1"/>
    <col min="10" max="19" width="9.75" style="708" bestFit="1" customWidth="1"/>
    <col min="20" max="16384" width="8" style="708"/>
  </cols>
  <sheetData>
    <row r="2" spans="2:19">
      <c r="B2" s="712" t="s">
        <v>485</v>
      </c>
      <c r="C2" s="713" t="s">
        <v>486</v>
      </c>
      <c r="D2" s="713" t="s">
        <v>487</v>
      </c>
      <c r="E2" s="714" t="s">
        <v>488</v>
      </c>
      <c r="F2" s="714" t="s">
        <v>489</v>
      </c>
      <c r="G2" s="714" t="s">
        <v>490</v>
      </c>
      <c r="H2" s="714" t="s">
        <v>491</v>
      </c>
      <c r="I2" s="714" t="s">
        <v>492</v>
      </c>
      <c r="J2" s="714" t="s">
        <v>493</v>
      </c>
      <c r="K2" s="714" t="s">
        <v>494</v>
      </c>
      <c r="L2" s="715">
        <f t="shared" ref="L2:S2" si="0">K2+1</f>
        <v>2013</v>
      </c>
      <c r="M2" s="715">
        <f t="shared" si="0"/>
        <v>2014</v>
      </c>
      <c r="N2" s="715">
        <f t="shared" si="0"/>
        <v>2015</v>
      </c>
      <c r="O2" s="715">
        <f t="shared" si="0"/>
        <v>2016</v>
      </c>
      <c r="P2" s="715">
        <f t="shared" si="0"/>
        <v>2017</v>
      </c>
      <c r="Q2" s="715">
        <f t="shared" si="0"/>
        <v>2018</v>
      </c>
      <c r="R2" s="715">
        <f t="shared" si="0"/>
        <v>2019</v>
      </c>
      <c r="S2" s="715">
        <f t="shared" si="0"/>
        <v>2020</v>
      </c>
    </row>
    <row r="3" spans="2:19">
      <c r="B3" s="716" t="s">
        <v>533</v>
      </c>
    </row>
    <row r="4" spans="2:19">
      <c r="B4" s="708" t="s">
        <v>534</v>
      </c>
      <c r="C4" s="717"/>
      <c r="D4" s="717"/>
      <c r="E4" s="717"/>
      <c r="F4" s="717"/>
      <c r="G4" s="717"/>
      <c r="H4" s="717"/>
      <c r="I4" s="717">
        <f>309349689</f>
        <v>309349689</v>
      </c>
      <c r="J4" s="717">
        <f t="shared" ref="J4:S4" si="1">I4*(1+I5)</f>
        <v>312226641.10770005</v>
      </c>
      <c r="K4" s="717">
        <f t="shared" si="1"/>
        <v>315130348.87000167</v>
      </c>
      <c r="L4" s="717">
        <f t="shared" si="1"/>
        <v>318061061.11449271</v>
      </c>
      <c r="M4" s="717">
        <f t="shared" si="1"/>
        <v>321019028.98285753</v>
      </c>
      <c r="N4" s="717">
        <f t="shared" si="1"/>
        <v>324004505.95239812</v>
      </c>
      <c r="O4" s="717">
        <f t="shared" si="1"/>
        <v>327017747.85775542</v>
      </c>
      <c r="P4" s="717">
        <f t="shared" si="1"/>
        <v>330059012.91283256</v>
      </c>
      <c r="Q4" s="717">
        <f t="shared" si="1"/>
        <v>333128561.73292196</v>
      </c>
      <c r="R4" s="717">
        <f t="shared" si="1"/>
        <v>336226657.35703814</v>
      </c>
      <c r="S4" s="717">
        <f t="shared" si="1"/>
        <v>339353565.27045864</v>
      </c>
    </row>
    <row r="5" spans="2:19">
      <c r="B5" s="708" t="s">
        <v>535</v>
      </c>
      <c r="C5" s="717"/>
      <c r="D5" s="717"/>
      <c r="E5" s="717"/>
      <c r="F5" s="717"/>
      <c r="G5" s="717"/>
      <c r="H5" s="717"/>
      <c r="I5" s="718">
        <v>9.2999999999999992E-3</v>
      </c>
      <c r="J5" s="718">
        <v>9.2999999999999992E-3</v>
      </c>
      <c r="K5" s="718">
        <v>9.2999999999999992E-3</v>
      </c>
      <c r="L5" s="718">
        <v>9.2999999999999992E-3</v>
      </c>
      <c r="M5" s="718">
        <v>9.2999999999999992E-3</v>
      </c>
      <c r="N5" s="718">
        <v>9.2999999999999992E-3</v>
      </c>
      <c r="O5" s="718">
        <v>9.2999999999999992E-3</v>
      </c>
      <c r="P5" s="718">
        <v>9.2999999999999992E-3</v>
      </c>
      <c r="Q5" s="718">
        <v>9.2999999999999992E-3</v>
      </c>
      <c r="R5" s="718">
        <v>9.2999999999999992E-3</v>
      </c>
      <c r="S5" s="718">
        <v>9.2999999999999992E-3</v>
      </c>
    </row>
    <row r="6" spans="2:19">
      <c r="B6" s="708" t="s">
        <v>536</v>
      </c>
      <c r="J6" s="717">
        <v>25800000</v>
      </c>
      <c r="K6" s="717">
        <f t="shared" ref="K6:S6" si="2">K4*K7</f>
        <v>25766775.923529413</v>
      </c>
      <c r="L6" s="717">
        <f t="shared" si="2"/>
        <v>26006406.939618237</v>
      </c>
      <c r="M6" s="717">
        <f t="shared" si="2"/>
        <v>26248266.52415669</v>
      </c>
      <c r="N6" s="717">
        <f t="shared" si="2"/>
        <v>26492375.40283135</v>
      </c>
      <c r="O6" s="717">
        <f t="shared" si="2"/>
        <v>26738754.494077682</v>
      </c>
      <c r="P6" s="717">
        <f t="shared" si="2"/>
        <v>26987424.910872605</v>
      </c>
      <c r="Q6" s="717">
        <f t="shared" si="2"/>
        <v>27238407.962543726</v>
      </c>
      <c r="R6" s="717">
        <f t="shared" si="2"/>
        <v>27491725.156595383</v>
      </c>
      <c r="S6" s="717">
        <f t="shared" si="2"/>
        <v>27747398.200551722</v>
      </c>
    </row>
    <row r="7" spans="2:19">
      <c r="B7" s="708" t="s">
        <v>537</v>
      </c>
      <c r="J7" s="719">
        <f>J6/J4</f>
        <v>8.2632282461446008E-2</v>
      </c>
      <c r="K7" s="719">
        <v>8.1765453616017114E-2</v>
      </c>
      <c r="L7" s="719">
        <v>8.1765453616017114E-2</v>
      </c>
      <c r="M7" s="719">
        <v>8.1765453616017114E-2</v>
      </c>
      <c r="N7" s="719">
        <v>8.1765453616017114E-2</v>
      </c>
      <c r="O7" s="719">
        <v>8.1765453616017114E-2</v>
      </c>
      <c r="P7" s="719">
        <v>8.1765453616017114E-2</v>
      </c>
      <c r="Q7" s="719">
        <v>8.1765453616017114E-2</v>
      </c>
      <c r="R7" s="719">
        <v>8.1765453616017114E-2</v>
      </c>
      <c r="S7" s="719">
        <v>8.1765453616017114E-2</v>
      </c>
    </row>
    <row r="8" spans="2:19">
      <c r="B8" s="708" t="s">
        <v>538</v>
      </c>
      <c r="J8" s="719">
        <f>J9/J6</f>
        <v>0.72868217054263562</v>
      </c>
      <c r="K8" s="719">
        <v>0.72868217054263562</v>
      </c>
      <c r="L8" s="719">
        <v>0.72868217054263562</v>
      </c>
      <c r="M8" s="719">
        <v>0.72868217054263562</v>
      </c>
      <c r="N8" s="719">
        <v>0.72868217054263562</v>
      </c>
      <c r="O8" s="719">
        <v>0.72868217054263562</v>
      </c>
      <c r="P8" s="719">
        <v>0.72868217054263562</v>
      </c>
      <c r="Q8" s="719">
        <v>0.72868217054263562</v>
      </c>
      <c r="R8" s="719">
        <v>0.72868217054263562</v>
      </c>
      <c r="S8" s="719">
        <v>0.72868217054263562</v>
      </c>
    </row>
    <row r="9" spans="2:19">
      <c r="B9" s="708" t="s">
        <v>539</v>
      </c>
      <c r="J9" s="717">
        <v>18800000</v>
      </c>
      <c r="K9" s="717">
        <f t="shared" ref="K9:S9" si="3">K6*K8</f>
        <v>18775790.207843136</v>
      </c>
      <c r="L9" s="717">
        <f t="shared" si="3"/>
        <v>18950405.05677608</v>
      </c>
      <c r="M9" s="717">
        <f t="shared" si="3"/>
        <v>19126643.823804099</v>
      </c>
      <c r="N9" s="717">
        <f t="shared" si="3"/>
        <v>19304521.611365478</v>
      </c>
      <c r="O9" s="717">
        <f t="shared" si="3"/>
        <v>19484053.66235118</v>
      </c>
      <c r="P9" s="717">
        <f t="shared" si="3"/>
        <v>19665255.361411043</v>
      </c>
      <c r="Q9" s="717">
        <f t="shared" si="3"/>
        <v>19848142.236272171</v>
      </c>
      <c r="R9" s="717">
        <f t="shared" si="3"/>
        <v>20032729.959069502</v>
      </c>
      <c r="S9" s="717">
        <f t="shared" si="3"/>
        <v>20219034.34768885</v>
      </c>
    </row>
    <row r="10" spans="2:19">
      <c r="B10" s="708" t="s">
        <v>540</v>
      </c>
      <c r="J10" s="718">
        <v>7.0000000000000007E-2</v>
      </c>
      <c r="K10" s="718">
        <f t="shared" ref="K10:S10" si="4">J10</f>
        <v>7.0000000000000007E-2</v>
      </c>
      <c r="L10" s="718">
        <f t="shared" si="4"/>
        <v>7.0000000000000007E-2</v>
      </c>
      <c r="M10" s="718">
        <f t="shared" si="4"/>
        <v>7.0000000000000007E-2</v>
      </c>
      <c r="N10" s="718">
        <f t="shared" si="4"/>
        <v>7.0000000000000007E-2</v>
      </c>
      <c r="O10" s="718">
        <f t="shared" si="4"/>
        <v>7.0000000000000007E-2</v>
      </c>
      <c r="P10" s="718">
        <f t="shared" si="4"/>
        <v>7.0000000000000007E-2</v>
      </c>
      <c r="Q10" s="718">
        <f t="shared" si="4"/>
        <v>7.0000000000000007E-2</v>
      </c>
      <c r="R10" s="718">
        <f t="shared" si="4"/>
        <v>7.0000000000000007E-2</v>
      </c>
      <c r="S10" s="718">
        <f t="shared" si="4"/>
        <v>7.0000000000000007E-2</v>
      </c>
    </row>
    <row r="11" spans="2:19" ht="13.5" thickBot="1">
      <c r="B11" s="709" t="s">
        <v>541</v>
      </c>
      <c r="C11" s="709"/>
      <c r="D11" s="709"/>
      <c r="E11" s="709"/>
      <c r="F11" s="709"/>
      <c r="G11" s="709"/>
      <c r="H11" s="709"/>
      <c r="I11" s="709"/>
      <c r="J11" s="720">
        <f t="shared" ref="J11:S11" si="5">J9*J10</f>
        <v>1316000.0000000002</v>
      </c>
      <c r="K11" s="720">
        <f t="shared" si="5"/>
        <v>1314305.3145490196</v>
      </c>
      <c r="L11" s="720">
        <f t="shared" si="5"/>
        <v>1326528.3539743258</v>
      </c>
      <c r="M11" s="720">
        <f t="shared" si="5"/>
        <v>1338865.0676662871</v>
      </c>
      <c r="N11" s="720">
        <f t="shared" si="5"/>
        <v>1351316.5127955836</v>
      </c>
      <c r="O11" s="720">
        <f t="shared" si="5"/>
        <v>1363883.7563645828</v>
      </c>
      <c r="P11" s="720">
        <f t="shared" si="5"/>
        <v>1376567.8752987732</v>
      </c>
      <c r="Q11" s="720">
        <f t="shared" si="5"/>
        <v>1389369.9565390521</v>
      </c>
      <c r="R11" s="720">
        <f t="shared" si="5"/>
        <v>1402291.0971348654</v>
      </c>
      <c r="S11" s="720">
        <f t="shared" si="5"/>
        <v>1415332.4043382197</v>
      </c>
    </row>
    <row r="12" spans="2:19">
      <c r="B12" s="721" t="s">
        <v>542</v>
      </c>
      <c r="C12" s="721"/>
      <c r="D12" s="721"/>
      <c r="E12" s="721"/>
      <c r="F12" s="721"/>
      <c r="G12" s="721"/>
      <c r="H12" s="721"/>
      <c r="I12" s="721"/>
      <c r="J12" s="722">
        <v>0.125</v>
      </c>
      <c r="K12" s="722">
        <f>J12+0.5%</f>
        <v>0.13</v>
      </c>
      <c r="L12" s="722">
        <f t="shared" ref="L12:S12" si="6">K12+0.5%</f>
        <v>0.13500000000000001</v>
      </c>
      <c r="M12" s="722">
        <f t="shared" si="6"/>
        <v>0.14000000000000001</v>
      </c>
      <c r="N12" s="722">
        <f t="shared" si="6"/>
        <v>0.14500000000000002</v>
      </c>
      <c r="O12" s="722">
        <f t="shared" si="6"/>
        <v>0.15000000000000002</v>
      </c>
      <c r="P12" s="722">
        <f t="shared" si="6"/>
        <v>0.15500000000000003</v>
      </c>
      <c r="Q12" s="722">
        <f t="shared" si="6"/>
        <v>0.16000000000000003</v>
      </c>
      <c r="R12" s="722">
        <f t="shared" si="6"/>
        <v>0.16500000000000004</v>
      </c>
      <c r="S12" s="722">
        <f t="shared" si="6"/>
        <v>0.17000000000000004</v>
      </c>
    </row>
    <row r="13" spans="2:19" ht="13.5" thickBot="1">
      <c r="B13" s="721" t="s">
        <v>543</v>
      </c>
      <c r="C13" s="721"/>
      <c r="D13" s="721"/>
      <c r="E13" s="721"/>
      <c r="F13" s="721"/>
      <c r="G13" s="721"/>
      <c r="H13" s="721"/>
      <c r="I13" s="721"/>
      <c r="J13" s="720">
        <f t="shared" ref="J13:S13" si="7">J11*J12</f>
        <v>164500.00000000003</v>
      </c>
      <c r="K13" s="720">
        <f t="shared" si="7"/>
        <v>170859.69089137253</v>
      </c>
      <c r="L13" s="720">
        <f t="shared" si="7"/>
        <v>179081.32778653401</v>
      </c>
      <c r="M13" s="720">
        <f t="shared" si="7"/>
        <v>187441.1094732802</v>
      </c>
      <c r="N13" s="720">
        <f t="shared" si="7"/>
        <v>195940.89435535963</v>
      </c>
      <c r="O13" s="720">
        <f t="shared" si="7"/>
        <v>204582.56345468745</v>
      </c>
      <c r="P13" s="720">
        <f t="shared" si="7"/>
        <v>213368.02067130987</v>
      </c>
      <c r="Q13" s="720">
        <f t="shared" si="7"/>
        <v>222299.19304624837</v>
      </c>
      <c r="R13" s="720">
        <f t="shared" si="7"/>
        <v>231378.03102725284</v>
      </c>
      <c r="S13" s="720">
        <f t="shared" si="7"/>
        <v>240606.50873749741</v>
      </c>
    </row>
    <row r="14" spans="2:19">
      <c r="B14" s="723" t="s">
        <v>513</v>
      </c>
      <c r="C14" s="724"/>
      <c r="D14" s="724"/>
      <c r="E14" s="724"/>
      <c r="F14" s="724"/>
      <c r="G14" s="724"/>
      <c r="H14" s="724"/>
      <c r="I14" s="724"/>
      <c r="J14" s="724"/>
      <c r="K14" s="724"/>
      <c r="L14" s="724"/>
      <c r="M14" s="724"/>
      <c r="N14" s="725"/>
      <c r="O14" s="725"/>
      <c r="P14" s="725"/>
      <c r="Q14" s="725"/>
      <c r="R14" s="725"/>
      <c r="S14" s="725"/>
    </row>
    <row r="15" spans="2:19">
      <c r="B15" s="726" t="s">
        <v>515</v>
      </c>
      <c r="C15" s="724"/>
      <c r="D15" s="724"/>
      <c r="E15" s="724"/>
      <c r="F15" s="724"/>
      <c r="G15" s="724"/>
      <c r="H15" s="724"/>
      <c r="I15" s="724"/>
      <c r="J15" s="725"/>
      <c r="K15" s="725"/>
      <c r="L15" s="725">
        <v>0.67</v>
      </c>
      <c r="M15" s="725">
        <f>$L$15-M20*0.99</f>
        <v>0.62545000000000006</v>
      </c>
      <c r="N15" s="725">
        <f t="shared" ref="N15:S15" si="8">1-N16-N20-N21</f>
        <v>0.45265000000000016</v>
      </c>
      <c r="O15" s="725">
        <f t="shared" si="8"/>
        <v>0.38335000000000002</v>
      </c>
      <c r="P15" s="725">
        <f t="shared" si="8"/>
        <v>0.37345</v>
      </c>
      <c r="Q15" s="725">
        <f t="shared" si="8"/>
        <v>0.36354999999999998</v>
      </c>
      <c r="R15" s="725">
        <f t="shared" si="8"/>
        <v>0.3586000000000002</v>
      </c>
      <c r="S15" s="725">
        <f t="shared" si="8"/>
        <v>0.35364999999999996</v>
      </c>
    </row>
    <row r="16" spans="2:19">
      <c r="B16" s="726" t="s">
        <v>514</v>
      </c>
      <c r="C16" s="724"/>
      <c r="D16" s="724"/>
      <c r="E16" s="724"/>
      <c r="F16" s="724"/>
      <c r="G16" s="724"/>
      <c r="H16" s="724"/>
      <c r="I16" s="724"/>
      <c r="J16" s="725"/>
      <c r="K16" s="725"/>
      <c r="L16" s="1053">
        <v>0.16</v>
      </c>
      <c r="M16" s="725">
        <f>L16</f>
        <v>0.16</v>
      </c>
      <c r="N16" s="725">
        <f t="shared" ref="N16:S16" si="9">$M$16-0.01*N20</f>
        <v>0.1578</v>
      </c>
      <c r="O16" s="725">
        <f t="shared" si="9"/>
        <v>0.15710000000000002</v>
      </c>
      <c r="P16" s="725">
        <f t="shared" si="9"/>
        <v>0.157</v>
      </c>
      <c r="Q16" s="725">
        <f t="shared" si="9"/>
        <v>0.15690000000000001</v>
      </c>
      <c r="R16" s="725">
        <f t="shared" si="9"/>
        <v>0.15684999999999999</v>
      </c>
      <c r="S16" s="725">
        <f t="shared" si="9"/>
        <v>0.15679999999999999</v>
      </c>
    </row>
    <row r="17" spans="1:19" outlineLevel="1">
      <c r="B17" s="727" t="s">
        <v>778</v>
      </c>
      <c r="C17" s="728"/>
      <c r="D17" s="728"/>
      <c r="E17" s="728"/>
      <c r="F17" s="728"/>
      <c r="G17" s="728"/>
      <c r="H17" s="728"/>
      <c r="I17" s="728"/>
      <c r="J17" s="729"/>
      <c r="K17" s="729"/>
      <c r="L17" s="729"/>
      <c r="M17" s="729">
        <f>AVERAGE(0,19%)</f>
        <v>9.5000000000000001E-2</v>
      </c>
      <c r="N17" s="729">
        <f>AVERAGE(19%,28%)</f>
        <v>0.23500000000000001</v>
      </c>
      <c r="O17" s="729">
        <f>(P17-N17)/2+N17</f>
        <v>0.27</v>
      </c>
      <c r="P17" s="729">
        <f>AVERAGE(28%,33%)</f>
        <v>0.30500000000000005</v>
      </c>
      <c r="Q17" s="729">
        <f>P17*1.025</f>
        <v>0.31262500000000004</v>
      </c>
      <c r="R17" s="729">
        <f>Q17*1.025</f>
        <v>0.32044062500000003</v>
      </c>
      <c r="S17" s="729">
        <f>R17*1.025</f>
        <v>0.32845164062499999</v>
      </c>
    </row>
    <row r="18" spans="1:19" outlineLevel="1">
      <c r="B18" s="727" t="s">
        <v>780</v>
      </c>
      <c r="C18" s="728"/>
      <c r="D18" s="728"/>
      <c r="E18" s="728"/>
      <c r="F18" s="728"/>
      <c r="G18" s="728"/>
      <c r="H18" s="728"/>
      <c r="I18" s="728"/>
      <c r="J18" s="729"/>
      <c r="K18" s="729"/>
      <c r="L18" s="730">
        <v>0</v>
      </c>
      <c r="M18" s="730">
        <v>4.4999999999999998E-2</v>
      </c>
      <c r="N18" s="729">
        <v>0.22</v>
      </c>
      <c r="O18" s="729">
        <v>0.28999999999999998</v>
      </c>
      <c r="P18" s="729">
        <v>0.3</v>
      </c>
      <c r="Q18" s="729">
        <v>0.31</v>
      </c>
      <c r="R18" s="729">
        <v>0.315</v>
      </c>
      <c r="S18" s="729">
        <v>0.32</v>
      </c>
    </row>
    <row r="19" spans="1:19" outlineLevel="1">
      <c r="B19" s="727" t="s">
        <v>779</v>
      </c>
      <c r="C19" s="728"/>
      <c r="D19" s="728"/>
      <c r="E19" s="728"/>
      <c r="F19" s="728"/>
      <c r="G19" s="728"/>
      <c r="H19" s="728"/>
      <c r="I19" s="728"/>
      <c r="J19" s="729"/>
      <c r="K19" s="729"/>
      <c r="L19" s="729"/>
      <c r="M19" s="729">
        <f t="shared" ref="M19:S19" si="10">M18*0.667</f>
        <v>3.0015E-2</v>
      </c>
      <c r="N19" s="729">
        <f t="shared" si="10"/>
        <v>0.14674000000000001</v>
      </c>
      <c r="O19" s="729">
        <f t="shared" si="10"/>
        <v>0.19342999999999999</v>
      </c>
      <c r="P19" s="729">
        <f t="shared" si="10"/>
        <v>0.2001</v>
      </c>
      <c r="Q19" s="729">
        <f t="shared" si="10"/>
        <v>0.20677000000000001</v>
      </c>
      <c r="R19" s="729">
        <f t="shared" si="10"/>
        <v>0.21010500000000001</v>
      </c>
      <c r="S19" s="729">
        <f t="shared" si="10"/>
        <v>0.21344000000000002</v>
      </c>
    </row>
    <row r="20" spans="1:19">
      <c r="A20" s="711" t="s">
        <v>668</v>
      </c>
      <c r="B20" s="731" t="s">
        <v>221</v>
      </c>
      <c r="C20" s="728"/>
      <c r="D20" s="728"/>
      <c r="E20" s="728"/>
      <c r="F20" s="728"/>
      <c r="G20" s="728"/>
      <c r="H20" s="728"/>
      <c r="I20" s="728"/>
      <c r="J20" s="728"/>
      <c r="K20" s="728"/>
      <c r="L20" s="730">
        <v>0</v>
      </c>
      <c r="M20" s="732">
        <f>CHOOSE(DCF!$C$25,DME!M17,DME!M18,DME!M19)</f>
        <v>4.4999999999999998E-2</v>
      </c>
      <c r="N20" s="732">
        <f>CHOOSE(DCF!$C$25,DME!N17,DME!N18,DME!N19)</f>
        <v>0.22</v>
      </c>
      <c r="O20" s="732">
        <f>CHOOSE(DCF!$C$25,DME!O17,DME!O18,DME!O19)</f>
        <v>0.28999999999999998</v>
      </c>
      <c r="P20" s="732">
        <f>CHOOSE(DCF!$C$25,DME!P17,DME!P18,DME!P19)</f>
        <v>0.3</v>
      </c>
      <c r="Q20" s="732">
        <f>CHOOSE(DCF!$C$25,DME!Q17,DME!Q18,DME!Q19)</f>
        <v>0.31</v>
      </c>
      <c r="R20" s="732">
        <f>CHOOSE(DCF!$C$25,DME!R17,DME!R18,DME!R19)</f>
        <v>0.315</v>
      </c>
      <c r="S20" s="732">
        <f>CHOOSE(DCF!$C$25,DME!S17,DME!S18,DME!S19)</f>
        <v>0.32</v>
      </c>
    </row>
    <row r="21" spans="1:19">
      <c r="B21" s="726" t="s">
        <v>580</v>
      </c>
      <c r="C21" s="724"/>
      <c r="D21" s="724"/>
      <c r="E21" s="724"/>
      <c r="F21" s="724"/>
      <c r="G21" s="724"/>
      <c r="H21" s="724"/>
      <c r="I21" s="724"/>
      <c r="J21" s="724"/>
      <c r="K21" s="724"/>
      <c r="L21" s="725">
        <f>1-L15-L16-L20</f>
        <v>0.16999999999999996</v>
      </c>
      <c r="M21" s="725">
        <f>1-M15-M16-M20</f>
        <v>0.16954999999999992</v>
      </c>
      <c r="N21" s="725">
        <f t="shared" ref="N21:S21" si="11">M21</f>
        <v>0.16954999999999992</v>
      </c>
      <c r="O21" s="725">
        <f t="shared" si="11"/>
        <v>0.16954999999999992</v>
      </c>
      <c r="P21" s="725">
        <f t="shared" si="11"/>
        <v>0.16954999999999992</v>
      </c>
      <c r="Q21" s="725">
        <f t="shared" si="11"/>
        <v>0.16954999999999992</v>
      </c>
      <c r="R21" s="725">
        <f t="shared" si="11"/>
        <v>0.16954999999999992</v>
      </c>
      <c r="S21" s="725">
        <f t="shared" si="11"/>
        <v>0.16954999999999992</v>
      </c>
    </row>
    <row r="22" spans="1:19">
      <c r="B22" s="733" t="s">
        <v>516</v>
      </c>
      <c r="C22" s="724"/>
      <c r="D22" s="724"/>
      <c r="E22" s="724"/>
      <c r="F22" s="724"/>
      <c r="G22" s="724"/>
      <c r="H22" s="724"/>
      <c r="I22" s="724"/>
      <c r="J22" s="724"/>
      <c r="K22" s="724"/>
      <c r="L22" s="725"/>
      <c r="M22" s="725">
        <v>0.4</v>
      </c>
      <c r="N22" s="725">
        <v>0.25</v>
      </c>
      <c r="O22" s="725">
        <v>0.25</v>
      </c>
      <c r="P22" s="725">
        <v>0.25</v>
      </c>
      <c r="Q22" s="725">
        <v>0.25</v>
      </c>
      <c r="R22" s="725">
        <v>0.25</v>
      </c>
      <c r="S22" s="725">
        <v>0.25</v>
      </c>
    </row>
    <row r="23" spans="1:19">
      <c r="B23" s="733" t="s">
        <v>517</v>
      </c>
      <c r="C23" s="724"/>
      <c r="D23" s="724"/>
      <c r="E23" s="724"/>
      <c r="F23" s="724"/>
      <c r="G23" s="724"/>
      <c r="H23" s="724"/>
      <c r="I23" s="724"/>
      <c r="J23" s="724"/>
      <c r="K23" s="724"/>
      <c r="L23" s="725"/>
      <c r="M23" s="725">
        <f t="shared" ref="M23:S23" si="12">M24</f>
        <v>0.3</v>
      </c>
      <c r="N23" s="725">
        <f t="shared" si="12"/>
        <v>0.375</v>
      </c>
      <c r="O23" s="725">
        <f t="shared" si="12"/>
        <v>0.375</v>
      </c>
      <c r="P23" s="725">
        <f t="shared" si="12"/>
        <v>0.375</v>
      </c>
      <c r="Q23" s="725">
        <f t="shared" si="12"/>
        <v>0.375</v>
      </c>
      <c r="R23" s="725">
        <f t="shared" si="12"/>
        <v>0.375</v>
      </c>
      <c r="S23" s="725">
        <f t="shared" si="12"/>
        <v>0.375</v>
      </c>
    </row>
    <row r="24" spans="1:19">
      <c r="B24" s="733" t="s">
        <v>582</v>
      </c>
      <c r="C24" s="724"/>
      <c r="D24" s="724"/>
      <c r="E24" s="724"/>
      <c r="F24" s="724"/>
      <c r="G24" s="724"/>
      <c r="H24" s="724"/>
      <c r="I24" s="724"/>
      <c r="J24" s="724"/>
      <c r="K24" s="724"/>
      <c r="L24" s="725"/>
      <c r="M24" s="725">
        <f>(1-M22)/2</f>
        <v>0.3</v>
      </c>
      <c r="N24" s="725">
        <f t="shared" ref="N24:S24" si="13">(1-N22)/2</f>
        <v>0.375</v>
      </c>
      <c r="O24" s="725">
        <f t="shared" si="13"/>
        <v>0.375</v>
      </c>
      <c r="P24" s="725">
        <f t="shared" si="13"/>
        <v>0.375</v>
      </c>
      <c r="Q24" s="725">
        <f t="shared" si="13"/>
        <v>0.375</v>
      </c>
      <c r="R24" s="725">
        <f t="shared" si="13"/>
        <v>0.375</v>
      </c>
      <c r="S24" s="725">
        <f t="shared" si="13"/>
        <v>0.375</v>
      </c>
    </row>
    <row r="25" spans="1:19">
      <c r="B25" s="708" t="s">
        <v>519</v>
      </c>
      <c r="L25" s="717"/>
      <c r="M25" s="717">
        <f t="shared" ref="M25:S25" si="14">M20*M13</f>
        <v>8434.8499262976093</v>
      </c>
      <c r="N25" s="717">
        <f t="shared" si="14"/>
        <v>43106.996758179121</v>
      </c>
      <c r="O25" s="717">
        <f t="shared" si="14"/>
        <v>59328.943401859353</v>
      </c>
      <c r="P25" s="717">
        <f t="shared" si="14"/>
        <v>64010.406201392958</v>
      </c>
      <c r="Q25" s="717">
        <f t="shared" si="14"/>
        <v>68912.749844336999</v>
      </c>
      <c r="R25" s="717">
        <f t="shared" si="14"/>
        <v>72884.079773584643</v>
      </c>
      <c r="S25" s="717">
        <f t="shared" si="14"/>
        <v>76994.082795999173</v>
      </c>
    </row>
    <row r="26" spans="1:19">
      <c r="B26" s="734" t="s">
        <v>520</v>
      </c>
      <c r="M26" s="708">
        <v>1.66</v>
      </c>
      <c r="N26" s="708">
        <v>1.66</v>
      </c>
      <c r="O26" s="708">
        <f>N26</f>
        <v>1.66</v>
      </c>
      <c r="P26" s="708">
        <f>O26</f>
        <v>1.66</v>
      </c>
      <c r="Q26" s="708">
        <f>P26</f>
        <v>1.66</v>
      </c>
      <c r="R26" s="708">
        <f>Q26</f>
        <v>1.66</v>
      </c>
      <c r="S26" s="708">
        <f>R26</f>
        <v>1.66</v>
      </c>
    </row>
    <row r="27" spans="1:19">
      <c r="B27" s="734" t="s">
        <v>521</v>
      </c>
      <c r="L27" s="717"/>
      <c r="M27" s="735">
        <v>3</v>
      </c>
      <c r="N27" s="736">
        <f>'Eylea Dosing Schedule'!$O$16*DME!N22+(DME!N23+DME!N24)*5</f>
        <v>4.854166666666667</v>
      </c>
      <c r="O27" s="736">
        <f>'Eylea Dosing Schedule'!$O$16*DME!O22+(DME!O23+DME!O24)*5.5</f>
        <v>5.229166666666667</v>
      </c>
      <c r="P27" s="736">
        <f>'Eylea Dosing Schedule'!$O$16*DME!P22+(DME!P23+DME!P24)*6</f>
        <v>5.604166666666667</v>
      </c>
      <c r="Q27" s="736">
        <f>'Eylea Dosing Schedule'!$O$16*DME!Q22+(DME!Q23+DME!Q24)*6</f>
        <v>5.604166666666667</v>
      </c>
      <c r="R27" s="736">
        <f>'Eylea Dosing Schedule'!$O$16*DME!R22+(DME!R23+DME!R24)*6</f>
        <v>5.604166666666667</v>
      </c>
      <c r="S27" s="736">
        <f>'Eylea Dosing Schedule'!$O$16*DME!S22+(DME!S23+DME!S24)*6</f>
        <v>5.604166666666667</v>
      </c>
    </row>
    <row r="28" spans="1:19">
      <c r="B28" s="708" t="s">
        <v>526</v>
      </c>
      <c r="L28" s="717"/>
      <c r="M28" s="717">
        <f>M26*M27</f>
        <v>4.9799999999999995</v>
      </c>
      <c r="N28" s="717">
        <f t="shared" ref="N28:S28" si="15">N26*N27</f>
        <v>8.0579166666666673</v>
      </c>
      <c r="O28" s="717">
        <f t="shared" si="15"/>
        <v>8.680416666666666</v>
      </c>
      <c r="P28" s="717">
        <f t="shared" si="15"/>
        <v>9.3029166666666665</v>
      </c>
      <c r="Q28" s="717">
        <f t="shared" si="15"/>
        <v>9.3029166666666665</v>
      </c>
      <c r="R28" s="717">
        <f t="shared" si="15"/>
        <v>9.3029166666666665</v>
      </c>
      <c r="S28" s="717">
        <f t="shared" si="15"/>
        <v>9.3029166666666665</v>
      </c>
    </row>
    <row r="29" spans="1:19">
      <c r="B29" s="734" t="s">
        <v>532</v>
      </c>
      <c r="J29" s="737">
        <v>1850</v>
      </c>
      <c r="K29" s="737">
        <f>J29</f>
        <v>1850</v>
      </c>
      <c r="L29" s="737">
        <f>K29</f>
        <v>1850</v>
      </c>
      <c r="M29" s="737">
        <f t="shared" ref="M29:S29" si="16">L29*0.99</f>
        <v>1831.5</v>
      </c>
      <c r="N29" s="737">
        <f t="shared" si="16"/>
        <v>1813.1849999999999</v>
      </c>
      <c r="O29" s="737">
        <f t="shared" si="16"/>
        <v>1795.05315</v>
      </c>
      <c r="P29" s="737">
        <f t="shared" si="16"/>
        <v>1777.1026184999998</v>
      </c>
      <c r="Q29" s="737">
        <f t="shared" si="16"/>
        <v>1759.3315923149999</v>
      </c>
      <c r="R29" s="737">
        <f t="shared" si="16"/>
        <v>1741.7382763918499</v>
      </c>
      <c r="S29" s="737">
        <f t="shared" si="16"/>
        <v>1724.3208936279314</v>
      </c>
    </row>
    <row r="30" spans="1:19" ht="13.5" thickBot="1">
      <c r="B30" s="709" t="s">
        <v>544</v>
      </c>
      <c r="C30" s="709"/>
      <c r="D30" s="709"/>
      <c r="E30" s="709"/>
      <c r="F30" s="709"/>
      <c r="G30" s="709"/>
      <c r="H30" s="709"/>
      <c r="I30" s="709"/>
      <c r="J30" s="709"/>
      <c r="K30" s="709"/>
      <c r="L30" s="738"/>
      <c r="M30" s="738">
        <f>M25*M28*M29/1000000</f>
        <v>76.933169647270063</v>
      </c>
      <c r="N30" s="739">
        <f t="shared" ref="N30:S30" si="17">N25*N28*N29/1000000</f>
        <v>629.81450159769042</v>
      </c>
      <c r="O30" s="739">
        <f t="shared" si="17"/>
        <v>924.45228091989145</v>
      </c>
      <c r="P30" s="739">
        <f t="shared" si="17"/>
        <v>1058.2352421469288</v>
      </c>
      <c r="Q30" s="739">
        <f t="shared" si="17"/>
        <v>1127.8891323732339</v>
      </c>
      <c r="R30" s="739">
        <f t="shared" si="17"/>
        <v>1180.9586770007732</v>
      </c>
      <c r="S30" s="739">
        <f t="shared" si="17"/>
        <v>1235.078526527815</v>
      </c>
    </row>
    <row r="32" spans="1:19">
      <c r="B32" s="712" t="s">
        <v>561</v>
      </c>
      <c r="C32" s="713" t="s">
        <v>486</v>
      </c>
      <c r="D32" s="713" t="s">
        <v>487</v>
      </c>
      <c r="E32" s="714" t="s">
        <v>488</v>
      </c>
      <c r="F32" s="714" t="s">
        <v>489</v>
      </c>
      <c r="G32" s="714" t="s">
        <v>490</v>
      </c>
      <c r="H32" s="714" t="s">
        <v>491</v>
      </c>
      <c r="I32" s="714" t="s">
        <v>492</v>
      </c>
      <c r="J32" s="714" t="s">
        <v>493</v>
      </c>
      <c r="K32" s="714" t="s">
        <v>494</v>
      </c>
      <c r="L32" s="715">
        <f t="shared" ref="L32:S32" si="18">K32+1</f>
        <v>2013</v>
      </c>
      <c r="M32" s="715">
        <f t="shared" si="18"/>
        <v>2014</v>
      </c>
      <c r="N32" s="715">
        <f t="shared" si="18"/>
        <v>2015</v>
      </c>
      <c r="O32" s="715">
        <f t="shared" si="18"/>
        <v>2016</v>
      </c>
      <c r="P32" s="715">
        <f t="shared" si="18"/>
        <v>2017</v>
      </c>
      <c r="Q32" s="715">
        <f t="shared" si="18"/>
        <v>2018</v>
      </c>
      <c r="R32" s="715">
        <f t="shared" si="18"/>
        <v>2019</v>
      </c>
      <c r="S32" s="715">
        <f t="shared" si="18"/>
        <v>2020</v>
      </c>
    </row>
    <row r="33" spans="1:19">
      <c r="B33" s="716" t="s">
        <v>533</v>
      </c>
    </row>
    <row r="34" spans="1:19">
      <c r="B34" s="708" t="s">
        <v>564</v>
      </c>
      <c r="C34" s="717"/>
      <c r="D34" s="717"/>
      <c r="E34" s="717"/>
      <c r="F34" s="717"/>
      <c r="G34" s="717"/>
      <c r="H34" s="717"/>
      <c r="I34" s="717">
        <f>'Wet AMD'!I45*10^6</f>
        <v>652676106.02914369</v>
      </c>
      <c r="J34" s="717">
        <f>I34*(1+J35)</f>
        <v>653981458.241202</v>
      </c>
      <c r="K34" s="717">
        <f t="shared" ref="K34:S34" si="19">J34*(1+K35)</f>
        <v>655289421.15768445</v>
      </c>
      <c r="L34" s="717">
        <f t="shared" si="19"/>
        <v>656599999.99999976</v>
      </c>
      <c r="M34" s="717">
        <f t="shared" si="19"/>
        <v>657913199.99999976</v>
      </c>
      <c r="N34" s="717">
        <f t="shared" si="19"/>
        <v>659229026.39999974</v>
      </c>
      <c r="O34" s="717">
        <f t="shared" si="19"/>
        <v>660547484.4527998</v>
      </c>
      <c r="P34" s="717">
        <f t="shared" si="19"/>
        <v>661868579.42170537</v>
      </c>
      <c r="Q34" s="717">
        <f t="shared" si="19"/>
        <v>663192316.58054876</v>
      </c>
      <c r="R34" s="717">
        <f t="shared" si="19"/>
        <v>664518701.21370983</v>
      </c>
      <c r="S34" s="717">
        <f t="shared" si="19"/>
        <v>665847738.61613727</v>
      </c>
    </row>
    <row r="35" spans="1:19">
      <c r="B35" s="708" t="s">
        <v>531</v>
      </c>
      <c r="C35" s="717"/>
      <c r="D35" s="717"/>
      <c r="E35" s="717"/>
      <c r="F35" s="717"/>
      <c r="G35" s="717"/>
      <c r="H35" s="717"/>
      <c r="I35" s="718">
        <v>2E-3</v>
      </c>
      <c r="J35" s="718">
        <v>2E-3</v>
      </c>
      <c r="K35" s="718">
        <v>2E-3</v>
      </c>
      <c r="L35" s="718">
        <v>2E-3</v>
      </c>
      <c r="M35" s="718">
        <v>2E-3</v>
      </c>
      <c r="N35" s="718">
        <v>2E-3</v>
      </c>
      <c r="O35" s="718">
        <v>2E-3</v>
      </c>
      <c r="P35" s="718">
        <v>2E-3</v>
      </c>
      <c r="Q35" s="718">
        <v>2E-3</v>
      </c>
      <c r="R35" s="718">
        <v>2E-3</v>
      </c>
      <c r="S35" s="718">
        <v>2E-3</v>
      </c>
    </row>
    <row r="36" spans="1:19">
      <c r="B36" s="708" t="s">
        <v>536</v>
      </c>
      <c r="J36" s="717">
        <f t="shared" ref="J36:S36" si="20">J34*J37</f>
        <v>53473090.589556232</v>
      </c>
      <c r="K36" s="717">
        <f t="shared" si="20"/>
        <v>53580036.770735353</v>
      </c>
      <c r="L36" s="717">
        <f t="shared" si="20"/>
        <v>53687196.844276816</v>
      </c>
      <c r="M36" s="717">
        <f t="shared" si="20"/>
        <v>53794571.237965368</v>
      </c>
      <c r="N36" s="717">
        <f t="shared" si="20"/>
        <v>53902160.380441301</v>
      </c>
      <c r="O36" s="717">
        <f t="shared" si="20"/>
        <v>54009964.701202184</v>
      </c>
      <c r="P36" s="717">
        <f t="shared" si="20"/>
        <v>54117984.630604587</v>
      </c>
      <c r="Q36" s="717">
        <f t="shared" si="20"/>
        <v>54226220.599865794</v>
      </c>
      <c r="R36" s="717">
        <f t="shared" si="20"/>
        <v>54334673.041065529</v>
      </c>
      <c r="S36" s="717">
        <f t="shared" si="20"/>
        <v>54443342.387147658</v>
      </c>
    </row>
    <row r="37" spans="1:19">
      <c r="B37" s="708" t="s">
        <v>537</v>
      </c>
      <c r="J37" s="719">
        <v>8.1765453616017114E-2</v>
      </c>
      <c r="K37" s="719">
        <v>8.1765453616017114E-2</v>
      </c>
      <c r="L37" s="719">
        <v>8.1765453616017114E-2</v>
      </c>
      <c r="M37" s="719">
        <v>8.1765453616017114E-2</v>
      </c>
      <c r="N37" s="719">
        <v>8.1765453616017114E-2</v>
      </c>
      <c r="O37" s="719">
        <v>8.1765453616017114E-2</v>
      </c>
      <c r="P37" s="719">
        <v>8.1765453616017114E-2</v>
      </c>
      <c r="Q37" s="719">
        <v>8.1765453616017114E-2</v>
      </c>
      <c r="R37" s="719">
        <v>8.1765453616017114E-2</v>
      </c>
      <c r="S37" s="719">
        <v>8.1765453616017114E-2</v>
      </c>
    </row>
    <row r="38" spans="1:19">
      <c r="B38" s="708" t="s">
        <v>538</v>
      </c>
      <c r="J38" s="719">
        <v>0.72868217054263562</v>
      </c>
      <c r="K38" s="719">
        <v>0.72868217054263562</v>
      </c>
      <c r="L38" s="719">
        <v>0.72868217054263562</v>
      </c>
      <c r="M38" s="719">
        <v>0.72868217054263562</v>
      </c>
      <c r="N38" s="719">
        <v>0.72868217054263562</v>
      </c>
      <c r="O38" s="719">
        <v>0.72868217054263562</v>
      </c>
      <c r="P38" s="719">
        <v>0.72868217054263562</v>
      </c>
      <c r="Q38" s="719">
        <v>0.72868217054263562</v>
      </c>
      <c r="R38" s="719">
        <v>0.72868217054263562</v>
      </c>
      <c r="S38" s="719">
        <v>0.72868217054263562</v>
      </c>
    </row>
    <row r="39" spans="1:19">
      <c r="B39" s="708" t="s">
        <v>539</v>
      </c>
      <c r="J39" s="717">
        <f t="shared" ref="J39:S39" si="21">J36*J38</f>
        <v>38964887.716420822</v>
      </c>
      <c r="K39" s="717">
        <f t="shared" si="21"/>
        <v>39042817.491853669</v>
      </c>
      <c r="L39" s="717">
        <f t="shared" si="21"/>
        <v>39120903.126837365</v>
      </c>
      <c r="M39" s="717">
        <f t="shared" si="21"/>
        <v>39199144.933091044</v>
      </c>
      <c r="N39" s="717">
        <f t="shared" si="21"/>
        <v>39277543.222957224</v>
      </c>
      <c r="O39" s="717">
        <f t="shared" si="21"/>
        <v>39356098.309403136</v>
      </c>
      <c r="P39" s="717">
        <f t="shared" si="21"/>
        <v>39434810.506021947</v>
      </c>
      <c r="Q39" s="717">
        <f t="shared" si="21"/>
        <v>39513680.127033986</v>
      </c>
      <c r="R39" s="717">
        <f t="shared" si="21"/>
        <v>39592707.487288058</v>
      </c>
      <c r="S39" s="717">
        <f t="shared" si="21"/>
        <v>39671892.902262636</v>
      </c>
    </row>
    <row r="40" spans="1:19">
      <c r="B40" s="708" t="s">
        <v>540</v>
      </c>
      <c r="J40" s="718">
        <v>7.0000000000000007E-2</v>
      </c>
      <c r="K40" s="718">
        <v>7.0000000000000007E-2</v>
      </c>
      <c r="L40" s="718">
        <v>7.0000000000000007E-2</v>
      </c>
      <c r="M40" s="718">
        <v>7.0000000000000007E-2</v>
      </c>
      <c r="N40" s="718">
        <v>7.0000000000000007E-2</v>
      </c>
      <c r="O40" s="718">
        <v>7.0000000000000007E-2</v>
      </c>
      <c r="P40" s="718">
        <v>7.0000000000000007E-2</v>
      </c>
      <c r="Q40" s="718">
        <v>7.0000000000000007E-2</v>
      </c>
      <c r="R40" s="718">
        <v>7.0000000000000007E-2</v>
      </c>
      <c r="S40" s="718">
        <v>7.0000000000000007E-2</v>
      </c>
    </row>
    <row r="41" spans="1:19" ht="13.5" thickBot="1">
      <c r="B41" s="709" t="s">
        <v>545</v>
      </c>
      <c r="C41" s="709"/>
      <c r="D41" s="709"/>
      <c r="E41" s="709"/>
      <c r="F41" s="709"/>
      <c r="G41" s="709"/>
      <c r="H41" s="709"/>
      <c r="I41" s="709"/>
      <c r="J41" s="720">
        <f t="shared" ref="J41:S41" si="22">J39*J40</f>
        <v>2727542.1401494578</v>
      </c>
      <c r="K41" s="720">
        <f t="shared" si="22"/>
        <v>2732997.2244297573</v>
      </c>
      <c r="L41" s="720">
        <f t="shared" si="22"/>
        <v>2738463.2188786156</v>
      </c>
      <c r="M41" s="720">
        <f t="shared" si="22"/>
        <v>2743940.1453163736</v>
      </c>
      <c r="N41" s="720">
        <f t="shared" si="22"/>
        <v>2749428.0256070057</v>
      </c>
      <c r="O41" s="720">
        <f t="shared" si="22"/>
        <v>2754926.8816582197</v>
      </c>
      <c r="P41" s="720">
        <f t="shared" si="22"/>
        <v>2760436.7354215365</v>
      </c>
      <c r="Q41" s="720">
        <f t="shared" si="22"/>
        <v>2765957.6088923793</v>
      </c>
      <c r="R41" s="720">
        <f t="shared" si="22"/>
        <v>2771489.5241101645</v>
      </c>
      <c r="S41" s="720">
        <f t="shared" si="22"/>
        <v>2777032.5031583849</v>
      </c>
    </row>
    <row r="42" spans="1:19">
      <c r="B42" s="721" t="s">
        <v>542</v>
      </c>
      <c r="C42" s="721"/>
      <c r="D42" s="721"/>
      <c r="E42" s="721"/>
      <c r="F42" s="721"/>
      <c r="G42" s="721"/>
      <c r="H42" s="721"/>
      <c r="I42" s="721"/>
      <c r="J42" s="722">
        <f t="shared" ref="J42:K42" si="23">J12</f>
        <v>0.125</v>
      </c>
      <c r="K42" s="722">
        <f t="shared" si="23"/>
        <v>0.13</v>
      </c>
      <c r="L42" s="722">
        <f>K42</f>
        <v>0.13</v>
      </c>
      <c r="M42" s="722">
        <f>L12</f>
        <v>0.13500000000000001</v>
      </c>
      <c r="N42" s="722">
        <f t="shared" ref="N42" si="24">M12</f>
        <v>0.14000000000000001</v>
      </c>
      <c r="O42" s="722">
        <f>N42</f>
        <v>0.14000000000000001</v>
      </c>
      <c r="P42" s="722">
        <f t="shared" ref="P42:S42" si="25">O42</f>
        <v>0.14000000000000001</v>
      </c>
      <c r="Q42" s="722">
        <f t="shared" si="25"/>
        <v>0.14000000000000001</v>
      </c>
      <c r="R42" s="722">
        <f t="shared" si="25"/>
        <v>0.14000000000000001</v>
      </c>
      <c r="S42" s="722">
        <f t="shared" si="25"/>
        <v>0.14000000000000001</v>
      </c>
    </row>
    <row r="43" spans="1:19">
      <c r="B43" s="721" t="s">
        <v>567</v>
      </c>
      <c r="C43" s="721"/>
      <c r="D43" s="721"/>
      <c r="E43" s="721"/>
      <c r="F43" s="721"/>
      <c r="G43" s="721"/>
      <c r="H43" s="721"/>
      <c r="I43" s="721"/>
      <c r="J43" s="740">
        <f>J42*J41</f>
        <v>340942.76751868223</v>
      </c>
      <c r="K43" s="740">
        <f t="shared" ref="K43:S43" si="26">K42*K41</f>
        <v>355289.63917586848</v>
      </c>
      <c r="L43" s="740">
        <f t="shared" si="26"/>
        <v>356000.21845422004</v>
      </c>
      <c r="M43" s="740">
        <f t="shared" si="26"/>
        <v>370431.91961771046</v>
      </c>
      <c r="N43" s="740">
        <f t="shared" si="26"/>
        <v>384919.92358498083</v>
      </c>
      <c r="O43" s="740">
        <f t="shared" si="26"/>
        <v>385689.76343215082</v>
      </c>
      <c r="P43" s="740">
        <f t="shared" si="26"/>
        <v>386461.14295901515</v>
      </c>
      <c r="Q43" s="740">
        <f t="shared" si="26"/>
        <v>387234.06524493312</v>
      </c>
      <c r="R43" s="740">
        <f t="shared" si="26"/>
        <v>388008.53337542305</v>
      </c>
      <c r="S43" s="740">
        <f t="shared" si="26"/>
        <v>388784.5504421739</v>
      </c>
    </row>
    <row r="44" spans="1:19">
      <c r="B44" s="723" t="s">
        <v>513</v>
      </c>
      <c r="C44" s="724"/>
      <c r="D44" s="724"/>
      <c r="E44" s="724"/>
      <c r="F44" s="724"/>
      <c r="G44" s="724"/>
      <c r="H44" s="724"/>
      <c r="I44" s="724"/>
      <c r="J44" s="724"/>
      <c r="K44" s="724"/>
      <c r="L44" s="724"/>
      <c r="M44" s="724"/>
      <c r="N44" s="724"/>
      <c r="O44" s="724"/>
      <c r="P44" s="724"/>
      <c r="Q44" s="724"/>
      <c r="R44" s="724"/>
      <c r="S44" s="724"/>
    </row>
    <row r="45" spans="1:19" outlineLevel="1">
      <c r="B45" s="727" t="s">
        <v>778</v>
      </c>
      <c r="C45" s="728"/>
      <c r="D45" s="728"/>
      <c r="E45" s="728"/>
      <c r="F45" s="728"/>
      <c r="G45" s="728"/>
      <c r="H45" s="728"/>
      <c r="I45" s="728"/>
      <c r="J45" s="729"/>
      <c r="K45" s="729"/>
      <c r="L45" s="729"/>
      <c r="M45" s="729">
        <f>M46*1.5</f>
        <v>1.4999999999999999E-2</v>
      </c>
      <c r="N45" s="729">
        <f>N46*1.5</f>
        <v>0.11513053500000001</v>
      </c>
      <c r="O45" s="729">
        <f>O46*1.25</f>
        <v>0.15625</v>
      </c>
      <c r="P45" s="729">
        <f>P46*1.25</f>
        <v>0.21250000000000002</v>
      </c>
      <c r="Q45" s="729">
        <f>Q46*1.25</f>
        <v>0.28750000000000003</v>
      </c>
      <c r="R45" s="729">
        <f>R46*1.25</f>
        <v>0.3</v>
      </c>
      <c r="S45" s="729">
        <f>S46*1.25</f>
        <v>0.3125</v>
      </c>
    </row>
    <row r="46" spans="1:19" outlineLevel="1">
      <c r="B46" s="727" t="s">
        <v>780</v>
      </c>
      <c r="C46" s="728"/>
      <c r="D46" s="728"/>
      <c r="E46" s="728"/>
      <c r="F46" s="728"/>
      <c r="G46" s="728"/>
      <c r="H46" s="728"/>
      <c r="I46" s="728"/>
      <c r="J46" s="729"/>
      <c r="K46" s="729"/>
      <c r="L46" s="729">
        <v>0</v>
      </c>
      <c r="M46" s="729">
        <v>0.01</v>
      </c>
      <c r="N46" s="729">
        <f>J50</f>
        <v>7.6753689999999999E-2</v>
      </c>
      <c r="O46" s="729">
        <v>0.125</v>
      </c>
      <c r="P46" s="729">
        <v>0.17</v>
      </c>
      <c r="Q46" s="729">
        <v>0.23</v>
      </c>
      <c r="R46" s="729">
        <v>0.24</v>
      </c>
      <c r="S46" s="729">
        <v>0.25</v>
      </c>
    </row>
    <row r="47" spans="1:19" outlineLevel="1">
      <c r="B47" s="727" t="s">
        <v>779</v>
      </c>
      <c r="C47" s="728"/>
      <c r="D47" s="728"/>
      <c r="E47" s="728"/>
      <c r="F47" s="728"/>
      <c r="G47" s="728"/>
      <c r="H47" s="728"/>
      <c r="I47" s="728"/>
      <c r="J47" s="729"/>
      <c r="K47" s="729"/>
      <c r="L47" s="729"/>
      <c r="M47" s="729">
        <f t="shared" ref="M47:S47" si="27">M46*0.667</f>
        <v>6.6700000000000006E-3</v>
      </c>
      <c r="N47" s="729">
        <f t="shared" si="27"/>
        <v>5.1194711230000002E-2</v>
      </c>
      <c r="O47" s="729">
        <f t="shared" si="27"/>
        <v>8.3375000000000005E-2</v>
      </c>
      <c r="P47" s="729">
        <f t="shared" si="27"/>
        <v>0.11339000000000002</v>
      </c>
      <c r="Q47" s="729">
        <f t="shared" si="27"/>
        <v>0.15341000000000002</v>
      </c>
      <c r="R47" s="729">
        <f t="shared" si="27"/>
        <v>0.16008</v>
      </c>
      <c r="S47" s="729">
        <f t="shared" si="27"/>
        <v>0.16675000000000001</v>
      </c>
    </row>
    <row r="48" spans="1:19">
      <c r="A48" s="711" t="s">
        <v>668</v>
      </c>
      <c r="B48" s="731" t="s">
        <v>221</v>
      </c>
      <c r="C48" s="728"/>
      <c r="D48" s="728"/>
      <c r="E48" s="728"/>
      <c r="F48" s="728"/>
      <c r="G48" s="728"/>
      <c r="H48" s="728"/>
      <c r="I48" s="728"/>
      <c r="J48" s="729">
        <v>0</v>
      </c>
      <c r="K48" s="729">
        <v>0</v>
      </c>
      <c r="L48" s="730">
        <v>0</v>
      </c>
      <c r="M48" s="732">
        <f>CHOOSE(DCF!$C$25,DME!M45,DME!M46,DME!M47)</f>
        <v>0.01</v>
      </c>
      <c r="N48" s="732">
        <f>CHOOSE(DCF!$C$25,DME!N45,DME!N46,DME!N47)</f>
        <v>7.6753689999999999E-2</v>
      </c>
      <c r="O48" s="732">
        <f>CHOOSE(DCF!$C$25,DME!O45,DME!O46,DME!O47)</f>
        <v>0.125</v>
      </c>
      <c r="P48" s="732">
        <f>CHOOSE(DCF!$C$25,DME!P45,DME!P46,DME!P47)</f>
        <v>0.17</v>
      </c>
      <c r="Q48" s="732">
        <f>CHOOSE(DCF!$C$25,DME!Q45,DME!Q46,DME!Q47)</f>
        <v>0.23</v>
      </c>
      <c r="R48" s="732">
        <f>CHOOSE(DCF!$C$25,DME!R45,DME!R46,DME!R47)</f>
        <v>0.24</v>
      </c>
      <c r="S48" s="732">
        <f>CHOOSE(DCF!$C$25,DME!S45,DME!S46,DME!S47)</f>
        <v>0.25</v>
      </c>
    </row>
    <row r="49" spans="2:19">
      <c r="B49" s="726" t="s">
        <v>515</v>
      </c>
      <c r="C49" s="724"/>
      <c r="D49" s="724"/>
      <c r="E49" s="724"/>
      <c r="F49" s="724"/>
      <c r="G49" s="724"/>
      <c r="H49" s="724"/>
      <c r="I49" s="724"/>
      <c r="J49" s="725">
        <f>1-J50-J48</f>
        <v>0.92324631000000001</v>
      </c>
      <c r="K49" s="725">
        <f t="shared" ref="K49:S49" si="28">1-K50-K48</f>
        <v>0.82783499999999999</v>
      </c>
      <c r="L49" s="725">
        <f t="shared" si="28"/>
        <v>0.70062500000000005</v>
      </c>
      <c r="M49" s="725">
        <f t="shared" si="28"/>
        <v>0.65062500000000001</v>
      </c>
      <c r="N49" s="725">
        <f t="shared" si="28"/>
        <v>0.55387131000000001</v>
      </c>
      <c r="O49" s="725">
        <f t="shared" si="28"/>
        <v>0.47812499999999991</v>
      </c>
      <c r="P49" s="725">
        <f t="shared" si="28"/>
        <v>0.4056249999999999</v>
      </c>
      <c r="Q49" s="725">
        <f t="shared" si="28"/>
        <v>0.31812499999999999</v>
      </c>
      <c r="R49" s="725">
        <f t="shared" si="28"/>
        <v>0.2806249999999999</v>
      </c>
      <c r="S49" s="725">
        <f t="shared" si="28"/>
        <v>0.24312499999999992</v>
      </c>
    </row>
    <row r="50" spans="2:19">
      <c r="B50" s="726" t="s">
        <v>514</v>
      </c>
      <c r="C50" s="724"/>
      <c r="D50" s="724"/>
      <c r="E50" s="724"/>
      <c r="F50" s="724"/>
      <c r="G50" s="724"/>
      <c r="H50" s="724"/>
      <c r="I50" s="724"/>
      <c r="J50" s="1054">
        <v>7.6753689999999999E-2</v>
      </c>
      <c r="K50" s="1053">
        <v>0.17216500000000001</v>
      </c>
      <c r="L50" s="1053">
        <v>0.299375</v>
      </c>
      <c r="M50" s="725">
        <f>L50+4%</f>
        <v>0.33937499999999998</v>
      </c>
      <c r="N50" s="725">
        <f>M50+3%</f>
        <v>0.36937500000000001</v>
      </c>
      <c r="O50" s="725">
        <f>N50+2.75%</f>
        <v>0.39687500000000003</v>
      </c>
      <c r="P50" s="725">
        <f>O50+2.75%</f>
        <v>0.42437500000000006</v>
      </c>
      <c r="Q50" s="725">
        <f>P50+2.75%</f>
        <v>0.45187500000000008</v>
      </c>
      <c r="R50" s="725">
        <f>Q50+2.75%</f>
        <v>0.47937500000000011</v>
      </c>
      <c r="S50" s="725">
        <f>R50+2.75%</f>
        <v>0.50687500000000008</v>
      </c>
    </row>
    <row r="51" spans="2:19">
      <c r="B51" s="708" t="s">
        <v>519</v>
      </c>
      <c r="L51" s="717"/>
      <c r="M51" s="717"/>
      <c r="N51" s="717">
        <f t="shared" ref="N51:S51" si="29">N48*N43</f>
        <v>29544.024489665306</v>
      </c>
      <c r="O51" s="717">
        <f t="shared" si="29"/>
        <v>48211.220429018853</v>
      </c>
      <c r="P51" s="717">
        <f t="shared" si="29"/>
        <v>65698.394303032575</v>
      </c>
      <c r="Q51" s="717">
        <f t="shared" si="29"/>
        <v>89063.83500633463</v>
      </c>
      <c r="R51" s="717">
        <f t="shared" si="29"/>
        <v>93122.048010101527</v>
      </c>
      <c r="S51" s="717">
        <f t="shared" si="29"/>
        <v>97196.137610543476</v>
      </c>
    </row>
    <row r="52" spans="2:19">
      <c r="B52" s="734" t="s">
        <v>520</v>
      </c>
      <c r="N52" s="708">
        <v>1.66</v>
      </c>
      <c r="O52" s="708">
        <f>N52</f>
        <v>1.66</v>
      </c>
      <c r="P52" s="708">
        <f>O52</f>
        <v>1.66</v>
      </c>
      <c r="Q52" s="708">
        <f>P52</f>
        <v>1.66</v>
      </c>
      <c r="R52" s="708">
        <f>Q52</f>
        <v>1.66</v>
      </c>
      <c r="S52" s="708">
        <f>R52</f>
        <v>1.66</v>
      </c>
    </row>
    <row r="53" spans="2:19">
      <c r="B53" s="734" t="s">
        <v>521</v>
      </c>
      <c r="L53" s="717"/>
      <c r="M53" s="717"/>
      <c r="N53" s="736">
        <f t="shared" ref="N53:S53" si="30">N27</f>
        <v>4.854166666666667</v>
      </c>
      <c r="O53" s="736">
        <f t="shared" si="30"/>
        <v>5.229166666666667</v>
      </c>
      <c r="P53" s="736">
        <f t="shared" si="30"/>
        <v>5.604166666666667</v>
      </c>
      <c r="Q53" s="736">
        <f t="shared" si="30"/>
        <v>5.604166666666667</v>
      </c>
      <c r="R53" s="736">
        <f t="shared" si="30"/>
        <v>5.604166666666667</v>
      </c>
      <c r="S53" s="736">
        <f t="shared" si="30"/>
        <v>5.604166666666667</v>
      </c>
    </row>
    <row r="54" spans="2:19">
      <c r="B54" s="708" t="s">
        <v>526</v>
      </c>
      <c r="L54" s="717"/>
      <c r="M54" s="717"/>
      <c r="N54" s="717">
        <f t="shared" ref="N54:S54" si="31">N52*N53</f>
        <v>8.0579166666666673</v>
      </c>
      <c r="O54" s="717">
        <f t="shared" si="31"/>
        <v>8.680416666666666</v>
      </c>
      <c r="P54" s="717">
        <f t="shared" si="31"/>
        <v>9.3029166666666665</v>
      </c>
      <c r="Q54" s="717">
        <f t="shared" si="31"/>
        <v>9.3029166666666665</v>
      </c>
      <c r="R54" s="717">
        <f t="shared" si="31"/>
        <v>9.3029166666666665</v>
      </c>
      <c r="S54" s="717">
        <f t="shared" si="31"/>
        <v>9.3029166666666665</v>
      </c>
    </row>
    <row r="55" spans="2:19">
      <c r="B55" s="734" t="s">
        <v>532</v>
      </c>
      <c r="J55" s="737">
        <v>1320</v>
      </c>
      <c r="K55" s="737">
        <f t="shared" ref="K55:S55" si="32">J55*0.99</f>
        <v>1306.8</v>
      </c>
      <c r="L55" s="737">
        <f t="shared" si="32"/>
        <v>1293.732</v>
      </c>
      <c r="M55" s="737">
        <f t="shared" si="32"/>
        <v>1280.79468</v>
      </c>
      <c r="N55" s="737">
        <f t="shared" si="32"/>
        <v>1267.9867331999999</v>
      </c>
      <c r="O55" s="737">
        <f t="shared" si="32"/>
        <v>1255.3068658679999</v>
      </c>
      <c r="P55" s="737">
        <f t="shared" si="32"/>
        <v>1242.7537972093198</v>
      </c>
      <c r="Q55" s="737">
        <f t="shared" si="32"/>
        <v>1230.3262592372266</v>
      </c>
      <c r="R55" s="737">
        <f t="shared" si="32"/>
        <v>1218.0229966448544</v>
      </c>
      <c r="S55" s="737">
        <f t="shared" si="32"/>
        <v>1205.842766678406</v>
      </c>
    </row>
    <row r="56" spans="2:19" ht="13.5" thickBot="1">
      <c r="B56" s="709" t="s">
        <v>566</v>
      </c>
      <c r="C56" s="709"/>
      <c r="D56" s="709"/>
      <c r="E56" s="709"/>
      <c r="F56" s="709"/>
      <c r="G56" s="709"/>
      <c r="H56" s="709"/>
      <c r="I56" s="709"/>
      <c r="J56" s="709"/>
      <c r="K56" s="709"/>
      <c r="L56" s="738"/>
      <c r="M56" s="738"/>
      <c r="N56" s="738">
        <f>N51*N54*N55/1000000</f>
        <v>301.86109000362461</v>
      </c>
      <c r="O56" s="739">
        <f t="shared" ref="O56:S56" si="33">O51*O54*O55/1000000</f>
        <v>525.33774043755795</v>
      </c>
      <c r="P56" s="739">
        <f t="shared" si="33"/>
        <v>759.55457648925733</v>
      </c>
      <c r="Q56" s="739">
        <f t="shared" si="33"/>
        <v>1019.3910483572769</v>
      </c>
      <c r="R56" s="739">
        <f t="shared" si="33"/>
        <v>1055.1814248516016</v>
      </c>
      <c r="S56" s="739">
        <f t="shared" si="33"/>
        <v>1090.3321560669708</v>
      </c>
    </row>
    <row r="58" spans="2:19">
      <c r="N58" s="831">
        <f>N56*0.85</f>
        <v>256.58192650308092</v>
      </c>
      <c r="O58" s="831">
        <f>O56*0.95</f>
        <v>499.07085341568001</v>
      </c>
      <c r="P58" s="831">
        <f>P56*0.95</f>
        <v>721.5768476647944</v>
      </c>
    </row>
    <row r="69" spans="15:15">
      <c r="O69" s="754"/>
    </row>
    <row r="70" spans="15:15">
      <c r="O70" s="754"/>
    </row>
  </sheetData>
  <phoneticPr fontId="39" type="noConversion"/>
  <pageMargins left="0.75" right="0.75" top="1" bottom="1" header="0.5" footer="0.5"/>
  <pageSetup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O32"/>
  <sheetViews>
    <sheetView zoomScaleNormal="100" workbookViewId="0"/>
  </sheetViews>
  <sheetFormatPr defaultColWidth="8" defaultRowHeight="12.75"/>
  <cols>
    <col min="1" max="1" width="2.125" style="33" customWidth="1"/>
    <col min="2" max="2" width="8" style="33" customWidth="1"/>
    <col min="3" max="14" width="1.75" style="41" bestFit="1" customWidth="1"/>
    <col min="15" max="15" width="3.125" style="41" bestFit="1" customWidth="1"/>
    <col min="16" max="16384" width="8" style="33"/>
  </cols>
  <sheetData>
    <row r="2" spans="2:15">
      <c r="B2" s="34" t="s">
        <v>547</v>
      </c>
      <c r="C2" s="35"/>
      <c r="D2" s="35"/>
      <c r="E2" s="35"/>
      <c r="F2" s="35"/>
      <c r="G2" s="35"/>
      <c r="H2" s="35"/>
      <c r="I2" s="35"/>
      <c r="J2" s="35"/>
      <c r="K2" s="35"/>
      <c r="L2" s="35"/>
      <c r="M2" s="35"/>
      <c r="N2" s="35"/>
      <c r="O2" s="35"/>
    </row>
    <row r="3" spans="2:15">
      <c r="B3" s="36" t="s">
        <v>548</v>
      </c>
      <c r="C3" s="37">
        <v>1</v>
      </c>
      <c r="D3" s="37"/>
      <c r="E3" s="37"/>
      <c r="F3" s="37"/>
      <c r="G3" s="37"/>
      <c r="H3" s="37"/>
      <c r="I3" s="37"/>
      <c r="J3" s="37"/>
      <c r="K3" s="37"/>
      <c r="L3" s="37"/>
      <c r="M3" s="37"/>
      <c r="N3" s="37"/>
      <c r="O3" s="35"/>
    </row>
    <row r="4" spans="2:15">
      <c r="B4" s="36" t="s">
        <v>549</v>
      </c>
      <c r="C4" s="37">
        <v>1</v>
      </c>
      <c r="D4" s="37">
        <v>1</v>
      </c>
      <c r="E4" s="37"/>
      <c r="F4" s="37"/>
      <c r="G4" s="37"/>
      <c r="H4" s="37"/>
      <c r="I4" s="37"/>
      <c r="J4" s="37"/>
      <c r="K4" s="37"/>
      <c r="L4" s="37"/>
      <c r="M4" s="37"/>
      <c r="N4" s="37"/>
      <c r="O4" s="35"/>
    </row>
    <row r="5" spans="2:15">
      <c r="B5" s="36" t="s">
        <v>550</v>
      </c>
      <c r="C5" s="37">
        <v>1</v>
      </c>
      <c r="D5" s="37">
        <v>1</v>
      </c>
      <c r="E5" s="37">
        <v>1</v>
      </c>
      <c r="F5" s="37"/>
      <c r="G5" s="37"/>
      <c r="H5" s="37"/>
      <c r="I5" s="37"/>
      <c r="J5" s="37"/>
      <c r="K5" s="37"/>
      <c r="L5" s="37"/>
      <c r="M5" s="37"/>
      <c r="N5" s="37"/>
      <c r="O5" s="35"/>
    </row>
    <row r="6" spans="2:15">
      <c r="B6" s="36"/>
      <c r="C6" s="37">
        <f>SUM(C3:C5)</f>
        <v>3</v>
      </c>
      <c r="D6" s="37">
        <f>SUM(D3:D5)</f>
        <v>2</v>
      </c>
      <c r="E6" s="37">
        <f>SUM(E3:E5)</f>
        <v>1</v>
      </c>
      <c r="F6" s="37"/>
      <c r="G6" s="37"/>
      <c r="H6" s="37"/>
      <c r="I6" s="37"/>
      <c r="J6" s="37"/>
      <c r="K6" s="37"/>
      <c r="L6" s="37"/>
      <c r="M6" s="37"/>
      <c r="N6" s="37"/>
      <c r="O6" s="38">
        <f>AVERAGE(C6:E6)</f>
        <v>2</v>
      </c>
    </row>
    <row r="7" spans="2:15">
      <c r="B7" s="36" t="s">
        <v>551</v>
      </c>
      <c r="C7" s="37"/>
      <c r="D7" s="37">
        <v>1</v>
      </c>
      <c r="E7" s="37">
        <v>1</v>
      </c>
      <c r="F7" s="37">
        <v>1</v>
      </c>
      <c r="G7" s="37"/>
      <c r="H7" s="37"/>
      <c r="I7" s="37"/>
      <c r="J7" s="37"/>
      <c r="K7" s="37"/>
      <c r="L7" s="37"/>
      <c r="M7" s="37"/>
      <c r="N7" s="37"/>
      <c r="O7" s="35"/>
    </row>
    <row r="8" spans="2:15">
      <c r="B8" s="36" t="s">
        <v>552</v>
      </c>
      <c r="C8" s="37">
        <v>1</v>
      </c>
      <c r="D8" s="37"/>
      <c r="E8" s="37">
        <v>1</v>
      </c>
      <c r="F8" s="37">
        <v>1</v>
      </c>
      <c r="G8" s="37">
        <v>1</v>
      </c>
      <c r="H8" s="37"/>
      <c r="I8" s="37"/>
      <c r="J8" s="37"/>
      <c r="K8" s="37"/>
      <c r="L8" s="37"/>
      <c r="M8" s="37"/>
      <c r="N8" s="37"/>
      <c r="O8" s="35"/>
    </row>
    <row r="9" spans="2:15">
      <c r="B9" s="36" t="s">
        <v>553</v>
      </c>
      <c r="C9" s="37"/>
      <c r="D9" s="37">
        <v>1</v>
      </c>
      <c r="E9" s="37"/>
      <c r="F9" s="37">
        <v>1</v>
      </c>
      <c r="G9" s="37">
        <v>1</v>
      </c>
      <c r="H9" s="37">
        <v>1</v>
      </c>
      <c r="I9" s="37"/>
      <c r="J9" s="37"/>
      <c r="K9" s="37"/>
      <c r="L9" s="37"/>
      <c r="M9" s="37"/>
      <c r="N9" s="37"/>
      <c r="O9" s="35"/>
    </row>
    <row r="10" spans="2:15">
      <c r="B10" s="36" t="s">
        <v>554</v>
      </c>
      <c r="C10" s="37">
        <v>1</v>
      </c>
      <c r="D10" s="37"/>
      <c r="E10" s="37">
        <v>1</v>
      </c>
      <c r="F10" s="37"/>
      <c r="G10" s="37">
        <v>1</v>
      </c>
      <c r="H10" s="37">
        <v>1</v>
      </c>
      <c r="I10" s="37">
        <v>1</v>
      </c>
      <c r="J10" s="37"/>
      <c r="K10" s="37"/>
      <c r="L10" s="37"/>
      <c r="M10" s="37"/>
      <c r="N10" s="37"/>
      <c r="O10" s="35"/>
    </row>
    <row r="11" spans="2:15">
      <c r="B11" s="36" t="s">
        <v>555</v>
      </c>
      <c r="C11" s="37"/>
      <c r="D11" s="37">
        <v>1</v>
      </c>
      <c r="E11" s="37"/>
      <c r="F11" s="37">
        <v>1</v>
      </c>
      <c r="G11" s="37"/>
      <c r="H11" s="37">
        <v>1</v>
      </c>
      <c r="I11" s="37">
        <v>1</v>
      </c>
      <c r="J11" s="37">
        <v>1</v>
      </c>
      <c r="K11" s="37"/>
      <c r="L11" s="37"/>
      <c r="M11" s="37"/>
      <c r="N11" s="37"/>
      <c r="O11" s="35"/>
    </row>
    <row r="12" spans="2:15">
      <c r="B12" s="36" t="s">
        <v>556</v>
      </c>
      <c r="C12" s="37">
        <v>1</v>
      </c>
      <c r="D12" s="37"/>
      <c r="E12" s="37">
        <v>1</v>
      </c>
      <c r="F12" s="37"/>
      <c r="G12" s="37">
        <v>1</v>
      </c>
      <c r="H12" s="37"/>
      <c r="I12" s="37">
        <v>1</v>
      </c>
      <c r="J12" s="37">
        <v>1</v>
      </c>
      <c r="K12" s="37">
        <v>1</v>
      </c>
      <c r="L12" s="37"/>
      <c r="M12" s="37"/>
      <c r="N12" s="37"/>
      <c r="O12" s="35"/>
    </row>
    <row r="13" spans="2:15">
      <c r="B13" s="36" t="s">
        <v>557</v>
      </c>
      <c r="C13" s="37"/>
      <c r="D13" s="37">
        <v>1</v>
      </c>
      <c r="E13" s="37"/>
      <c r="F13" s="37">
        <v>1</v>
      </c>
      <c r="G13" s="37"/>
      <c r="H13" s="37">
        <v>1</v>
      </c>
      <c r="I13" s="37"/>
      <c r="J13" s="37">
        <v>1</v>
      </c>
      <c r="K13" s="37">
        <v>1</v>
      </c>
      <c r="L13" s="37">
        <v>1</v>
      </c>
      <c r="M13" s="37"/>
      <c r="N13" s="37"/>
      <c r="O13" s="35"/>
    </row>
    <row r="14" spans="2:15">
      <c r="B14" s="36" t="s">
        <v>558</v>
      </c>
      <c r="C14" s="37">
        <v>1</v>
      </c>
      <c r="D14" s="37"/>
      <c r="E14" s="37">
        <v>1</v>
      </c>
      <c r="F14" s="37"/>
      <c r="G14" s="37">
        <v>1</v>
      </c>
      <c r="H14" s="37"/>
      <c r="I14" s="37">
        <v>1</v>
      </c>
      <c r="J14" s="37"/>
      <c r="K14" s="37">
        <v>1</v>
      </c>
      <c r="L14" s="37">
        <v>1</v>
      </c>
      <c r="M14" s="37">
        <v>1</v>
      </c>
      <c r="N14" s="37"/>
      <c r="O14" s="35"/>
    </row>
    <row r="15" spans="2:15">
      <c r="B15" s="36" t="s">
        <v>559</v>
      </c>
      <c r="C15" s="37"/>
      <c r="D15" s="37">
        <v>1</v>
      </c>
      <c r="E15" s="37"/>
      <c r="F15" s="37">
        <v>1</v>
      </c>
      <c r="G15" s="37"/>
      <c r="H15" s="37">
        <v>1</v>
      </c>
      <c r="I15" s="37"/>
      <c r="J15" s="37">
        <v>1</v>
      </c>
      <c r="K15" s="37"/>
      <c r="L15" s="37">
        <v>1</v>
      </c>
      <c r="M15" s="37">
        <v>1</v>
      </c>
      <c r="N15" s="37">
        <v>1</v>
      </c>
      <c r="O15" s="35"/>
    </row>
    <row r="16" spans="2:15">
      <c r="B16" s="36"/>
      <c r="C16" s="39">
        <f>SUM(C3:C5)+SUM(C7:C15)</f>
        <v>7</v>
      </c>
      <c r="D16" s="39">
        <f>SUM(D3:D5)+SUM(D7:D15)</f>
        <v>7</v>
      </c>
      <c r="E16" s="39">
        <f>SUM(E3:E5)+SUM(E7:E15)</f>
        <v>6</v>
      </c>
      <c r="F16" s="39">
        <f t="shared" ref="F16:N16" si="0">SUM(F3:F15)</f>
        <v>6</v>
      </c>
      <c r="G16" s="39">
        <f t="shared" si="0"/>
        <v>5</v>
      </c>
      <c r="H16" s="39">
        <f t="shared" si="0"/>
        <v>5</v>
      </c>
      <c r="I16" s="39">
        <f t="shared" si="0"/>
        <v>4</v>
      </c>
      <c r="J16" s="39">
        <f t="shared" si="0"/>
        <v>4</v>
      </c>
      <c r="K16" s="39">
        <f t="shared" si="0"/>
        <v>3</v>
      </c>
      <c r="L16" s="39">
        <f t="shared" si="0"/>
        <v>3</v>
      </c>
      <c r="M16" s="39">
        <f t="shared" si="0"/>
        <v>2</v>
      </c>
      <c r="N16" s="39">
        <f t="shared" si="0"/>
        <v>1</v>
      </c>
      <c r="O16" s="38">
        <f>AVERAGE(C16:N16)</f>
        <v>4.416666666666667</v>
      </c>
    </row>
    <row r="17" spans="2:15">
      <c r="B17" s="36"/>
      <c r="C17" s="35"/>
      <c r="D17" s="35"/>
      <c r="E17" s="35"/>
      <c r="F17" s="35"/>
      <c r="G17" s="35"/>
      <c r="H17" s="35"/>
      <c r="I17" s="35"/>
      <c r="J17" s="35"/>
      <c r="K17" s="35"/>
      <c r="L17" s="35"/>
      <c r="M17" s="35"/>
      <c r="N17" s="35"/>
      <c r="O17" s="35"/>
    </row>
    <row r="18" spans="2:15">
      <c r="B18" s="34" t="s">
        <v>560</v>
      </c>
      <c r="C18" s="35"/>
      <c r="D18" s="35"/>
      <c r="E18" s="35"/>
      <c r="F18" s="35"/>
      <c r="G18" s="35"/>
      <c r="H18" s="35"/>
      <c r="I18" s="35"/>
      <c r="J18" s="35"/>
      <c r="K18" s="35"/>
      <c r="L18" s="35"/>
      <c r="M18" s="35"/>
      <c r="N18" s="35"/>
      <c r="O18" s="35"/>
    </row>
    <row r="19" spans="2:15">
      <c r="B19" s="34"/>
      <c r="C19" s="35"/>
      <c r="D19" s="35"/>
      <c r="E19" s="35"/>
      <c r="F19" s="35"/>
      <c r="G19" s="35"/>
      <c r="H19" s="35"/>
      <c r="I19" s="35"/>
      <c r="J19" s="35"/>
      <c r="K19" s="35"/>
      <c r="L19" s="35"/>
      <c r="M19" s="35"/>
      <c r="N19" s="35"/>
      <c r="O19" s="35"/>
    </row>
    <row r="20" spans="2:15">
      <c r="B20" s="36" t="s">
        <v>548</v>
      </c>
      <c r="C20" s="37">
        <v>1</v>
      </c>
      <c r="D20" s="37"/>
      <c r="E20" s="37">
        <v>1</v>
      </c>
      <c r="F20" s="37"/>
      <c r="G20" s="37">
        <v>1</v>
      </c>
      <c r="H20" s="37"/>
      <c r="I20" s="37">
        <v>1</v>
      </c>
      <c r="J20" s="37"/>
      <c r="K20" s="37">
        <v>1</v>
      </c>
      <c r="L20" s="37"/>
      <c r="M20" s="37">
        <v>1</v>
      </c>
      <c r="N20" s="37"/>
      <c r="O20" s="35"/>
    </row>
    <row r="21" spans="2:15">
      <c r="B21" s="36" t="s">
        <v>549</v>
      </c>
      <c r="C21" s="37"/>
      <c r="D21" s="37">
        <v>1</v>
      </c>
      <c r="E21" s="37"/>
      <c r="F21" s="37">
        <v>1</v>
      </c>
      <c r="G21" s="37"/>
      <c r="H21" s="37">
        <v>1</v>
      </c>
      <c r="I21" s="37"/>
      <c r="J21" s="37">
        <v>1</v>
      </c>
      <c r="K21" s="37"/>
      <c r="L21" s="37">
        <v>1</v>
      </c>
      <c r="M21" s="37"/>
      <c r="N21" s="37">
        <v>1</v>
      </c>
      <c r="O21" s="35"/>
    </row>
    <row r="22" spans="2:15">
      <c r="B22" s="36" t="s">
        <v>550</v>
      </c>
      <c r="C22" s="37">
        <v>1</v>
      </c>
      <c r="D22" s="37"/>
      <c r="E22" s="37">
        <v>1</v>
      </c>
      <c r="F22" s="37"/>
      <c r="G22" s="37">
        <v>1</v>
      </c>
      <c r="H22" s="37"/>
      <c r="I22" s="37">
        <v>1</v>
      </c>
      <c r="J22" s="37"/>
      <c r="K22" s="37">
        <v>1</v>
      </c>
      <c r="L22" s="37"/>
      <c r="M22" s="37">
        <v>1</v>
      </c>
      <c r="N22" s="37"/>
      <c r="O22" s="35"/>
    </row>
    <row r="23" spans="2:15">
      <c r="B23" s="36" t="s">
        <v>551</v>
      </c>
      <c r="C23" s="37"/>
      <c r="D23" s="37">
        <v>1</v>
      </c>
      <c r="E23" s="37"/>
      <c r="F23" s="37">
        <v>1</v>
      </c>
      <c r="G23" s="37"/>
      <c r="H23" s="37">
        <v>1</v>
      </c>
      <c r="I23" s="37"/>
      <c r="J23" s="37">
        <v>1</v>
      </c>
      <c r="K23" s="37"/>
      <c r="L23" s="37">
        <v>1</v>
      </c>
      <c r="M23" s="37"/>
      <c r="N23" s="37">
        <v>1</v>
      </c>
      <c r="O23" s="35"/>
    </row>
    <row r="24" spans="2:15">
      <c r="B24" s="36" t="s">
        <v>552</v>
      </c>
      <c r="C24" s="37">
        <v>1</v>
      </c>
      <c r="D24" s="37"/>
      <c r="E24" s="37">
        <v>1</v>
      </c>
      <c r="F24" s="37"/>
      <c r="G24" s="37">
        <v>1</v>
      </c>
      <c r="H24" s="37"/>
      <c r="I24" s="37">
        <v>1</v>
      </c>
      <c r="J24" s="37"/>
      <c r="K24" s="37">
        <v>1</v>
      </c>
      <c r="L24" s="37"/>
      <c r="M24" s="37">
        <v>1</v>
      </c>
      <c r="N24" s="37"/>
      <c r="O24" s="35"/>
    </row>
    <row r="25" spans="2:15">
      <c r="B25" s="36" t="s">
        <v>553</v>
      </c>
      <c r="C25" s="37"/>
      <c r="D25" s="37">
        <v>1</v>
      </c>
      <c r="E25" s="37"/>
      <c r="F25" s="37">
        <v>1</v>
      </c>
      <c r="G25" s="37"/>
      <c r="H25" s="37">
        <v>1</v>
      </c>
      <c r="I25" s="37"/>
      <c r="J25" s="37">
        <v>1</v>
      </c>
      <c r="K25" s="37"/>
      <c r="L25" s="37">
        <v>1</v>
      </c>
      <c r="M25" s="37"/>
      <c r="N25" s="37">
        <v>1</v>
      </c>
      <c r="O25" s="35"/>
    </row>
    <row r="26" spans="2:15">
      <c r="B26" s="36" t="s">
        <v>554</v>
      </c>
      <c r="C26" s="37">
        <v>1</v>
      </c>
      <c r="D26" s="37"/>
      <c r="E26" s="37">
        <v>1</v>
      </c>
      <c r="F26" s="37"/>
      <c r="G26" s="37">
        <v>1</v>
      </c>
      <c r="H26" s="37"/>
      <c r="I26" s="37">
        <v>1</v>
      </c>
      <c r="J26" s="37"/>
      <c r="K26" s="37">
        <v>1</v>
      </c>
      <c r="L26" s="37"/>
      <c r="M26" s="37">
        <v>1</v>
      </c>
      <c r="N26" s="37"/>
      <c r="O26" s="35"/>
    </row>
    <row r="27" spans="2:15">
      <c r="B27" s="36" t="s">
        <v>555</v>
      </c>
      <c r="C27" s="37"/>
      <c r="D27" s="37">
        <v>1</v>
      </c>
      <c r="E27" s="37"/>
      <c r="F27" s="37">
        <v>1</v>
      </c>
      <c r="G27" s="37"/>
      <c r="H27" s="37">
        <v>1</v>
      </c>
      <c r="I27" s="37"/>
      <c r="J27" s="37">
        <v>1</v>
      </c>
      <c r="K27" s="37"/>
      <c r="L27" s="37">
        <v>1</v>
      </c>
      <c r="M27" s="37"/>
      <c r="N27" s="37">
        <v>1</v>
      </c>
      <c r="O27" s="35"/>
    </row>
    <row r="28" spans="2:15">
      <c r="B28" s="36" t="s">
        <v>556</v>
      </c>
      <c r="C28" s="37">
        <v>1</v>
      </c>
      <c r="D28" s="37"/>
      <c r="E28" s="37">
        <v>1</v>
      </c>
      <c r="F28" s="37"/>
      <c r="G28" s="37">
        <v>1</v>
      </c>
      <c r="H28" s="37"/>
      <c r="I28" s="37">
        <v>1</v>
      </c>
      <c r="J28" s="37"/>
      <c r="K28" s="37">
        <v>1</v>
      </c>
      <c r="L28" s="37"/>
      <c r="M28" s="37">
        <v>1</v>
      </c>
      <c r="N28" s="37"/>
      <c r="O28" s="35"/>
    </row>
    <row r="29" spans="2:15">
      <c r="B29" s="36" t="s">
        <v>557</v>
      </c>
      <c r="C29" s="37"/>
      <c r="D29" s="37">
        <v>1</v>
      </c>
      <c r="E29" s="37"/>
      <c r="F29" s="37">
        <v>1</v>
      </c>
      <c r="G29" s="37"/>
      <c r="H29" s="37">
        <v>1</v>
      </c>
      <c r="I29" s="37"/>
      <c r="J29" s="37">
        <v>1</v>
      </c>
      <c r="K29" s="37"/>
      <c r="L29" s="37">
        <v>1</v>
      </c>
      <c r="M29" s="37"/>
      <c r="N29" s="37">
        <v>1</v>
      </c>
      <c r="O29" s="35"/>
    </row>
    <row r="30" spans="2:15">
      <c r="B30" s="36" t="s">
        <v>558</v>
      </c>
      <c r="C30" s="37">
        <v>1</v>
      </c>
      <c r="D30" s="37"/>
      <c r="E30" s="37">
        <v>1</v>
      </c>
      <c r="F30" s="37"/>
      <c r="G30" s="37">
        <v>1</v>
      </c>
      <c r="H30" s="37"/>
      <c r="I30" s="37">
        <v>1</v>
      </c>
      <c r="J30" s="37"/>
      <c r="K30" s="37">
        <v>1</v>
      </c>
      <c r="L30" s="37"/>
      <c r="M30" s="37">
        <v>1</v>
      </c>
      <c r="N30" s="37"/>
      <c r="O30" s="35"/>
    </row>
    <row r="31" spans="2:15">
      <c r="B31" s="36" t="s">
        <v>559</v>
      </c>
      <c r="C31" s="40"/>
      <c r="D31" s="40">
        <v>1</v>
      </c>
      <c r="E31" s="40"/>
      <c r="F31" s="40">
        <v>1</v>
      </c>
      <c r="G31" s="40"/>
      <c r="H31" s="40">
        <v>1</v>
      </c>
      <c r="I31" s="40"/>
      <c r="J31" s="40">
        <v>1</v>
      </c>
      <c r="K31" s="40"/>
      <c r="L31" s="40">
        <v>1</v>
      </c>
      <c r="M31" s="40"/>
      <c r="N31" s="37">
        <v>1</v>
      </c>
      <c r="O31" s="35"/>
    </row>
    <row r="32" spans="2:15">
      <c r="B32" s="36"/>
      <c r="C32" s="39">
        <f t="shared" ref="C32:N32" si="1">SUM(C20:C31)</f>
        <v>6</v>
      </c>
      <c r="D32" s="39">
        <f t="shared" si="1"/>
        <v>6</v>
      </c>
      <c r="E32" s="39">
        <f t="shared" si="1"/>
        <v>6</v>
      </c>
      <c r="F32" s="39">
        <f t="shared" si="1"/>
        <v>6</v>
      </c>
      <c r="G32" s="39">
        <f t="shared" si="1"/>
        <v>6</v>
      </c>
      <c r="H32" s="39">
        <f t="shared" si="1"/>
        <v>6</v>
      </c>
      <c r="I32" s="39">
        <f t="shared" si="1"/>
        <v>6</v>
      </c>
      <c r="J32" s="39">
        <f t="shared" si="1"/>
        <v>6</v>
      </c>
      <c r="K32" s="39">
        <f t="shared" si="1"/>
        <v>6</v>
      </c>
      <c r="L32" s="39">
        <f t="shared" si="1"/>
        <v>6</v>
      </c>
      <c r="M32" s="39">
        <f t="shared" si="1"/>
        <v>6</v>
      </c>
      <c r="N32" s="35">
        <f t="shared" si="1"/>
        <v>6</v>
      </c>
      <c r="O32" s="38">
        <f>AVERAGE(C32:N32)</f>
        <v>6</v>
      </c>
    </row>
  </sheetData>
  <phoneticPr fontId="39"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outlinePr summaryBelow="0"/>
  </sheetPr>
  <dimension ref="A1:CB245"/>
  <sheetViews>
    <sheetView zoomScale="85" zoomScaleNormal="85" workbookViewId="0">
      <selection sqref="A1:B1"/>
    </sheetView>
  </sheetViews>
  <sheetFormatPr defaultColWidth="10.75" defaultRowHeight="12.75" outlineLevelRow="2" outlineLevelCol="2"/>
  <cols>
    <col min="1" max="1" width="39" style="56" customWidth="1" outlineLevel="1"/>
    <col min="2" max="2" width="6.5" style="56" customWidth="1" outlineLevel="1"/>
    <col min="3" max="3" width="47.625" style="80" customWidth="1"/>
    <col min="4" max="7" width="10.75" style="56" hidden="1" customWidth="1" outlineLevel="2"/>
    <col min="8" max="8" width="10.75" style="56" hidden="1" customWidth="1" outlineLevel="1" collapsed="1"/>
    <col min="9" max="12" width="10.75" style="56" hidden="1" customWidth="1" outlineLevel="2"/>
    <col min="13" max="13" width="10.75" style="56" hidden="1" customWidth="1" outlineLevel="1" collapsed="1"/>
    <col min="14" max="17" width="10.75" style="56" hidden="1" customWidth="1" outlineLevel="2"/>
    <col min="18" max="18" width="10.75" style="56" hidden="1" customWidth="1" outlineLevel="1" collapsed="1"/>
    <col min="19" max="22" width="10.75" style="56" hidden="1" customWidth="1" outlineLevel="2"/>
    <col min="23" max="23" width="10.75" style="56" hidden="1" customWidth="1" outlineLevel="1" collapsed="1"/>
    <col min="24" max="27" width="10.75" style="56" hidden="1" customWidth="1" outlineLevel="2"/>
    <col min="28" max="28" width="10.75" style="56" hidden="1" customWidth="1" outlineLevel="1" collapsed="1"/>
    <col min="29" max="32" width="10.75" style="56" hidden="1" customWidth="1" outlineLevel="2"/>
    <col min="33" max="33" width="10.75" style="56" hidden="1" customWidth="1" outlineLevel="1" collapsed="1"/>
    <col min="34" max="37" width="10.75" style="56" hidden="1" customWidth="1" outlineLevel="2"/>
    <col min="38" max="38" width="10.75" style="56" hidden="1" customWidth="1" outlineLevel="1" collapsed="1"/>
    <col min="39" max="42" width="10.75" style="56" hidden="1" customWidth="1" outlineLevel="2"/>
    <col min="43" max="43" width="10.75" style="56" hidden="1" customWidth="1" outlineLevel="1" collapsed="1"/>
    <col min="44" max="44" width="9.5" style="56" customWidth="1" collapsed="1"/>
    <col min="45" max="48" width="10.75" style="56" hidden="1" customWidth="1" outlineLevel="1"/>
    <col min="49" max="49" width="10.75" style="56" customWidth="1" collapsed="1"/>
    <col min="50" max="53" width="10.75" style="56" hidden="1" customWidth="1" outlineLevel="1"/>
    <col min="54" max="54" width="10.75" style="56" customWidth="1" collapsed="1"/>
    <col min="55" max="58" width="10.75" style="56" hidden="1" customWidth="1" outlineLevel="1"/>
    <col min="59" max="59" width="10.75" style="56" customWidth="1" collapsed="1"/>
    <col min="60" max="63" width="10.75" style="56" hidden="1" customWidth="1" outlineLevel="1"/>
    <col min="64" max="64" width="10.75" style="56" customWidth="1" collapsed="1"/>
    <col min="65" max="68" width="10.75" style="56" hidden="1" customWidth="1" outlineLevel="1"/>
    <col min="69" max="69" width="10.75" style="56" customWidth="1" collapsed="1"/>
    <col min="70" max="73" width="10.75" style="56" hidden="1" customWidth="1" outlineLevel="1"/>
    <col min="74" max="74" width="10.75" style="56" customWidth="1" collapsed="1"/>
    <col min="75" max="78" width="10.75" style="56" hidden="1" customWidth="1" outlineLevel="1"/>
    <col min="79" max="79" width="10.75" style="56" customWidth="1" collapsed="1"/>
    <col min="80" max="16384" width="10.75" style="56"/>
  </cols>
  <sheetData>
    <row r="1" spans="1:79" ht="24.75" customHeight="1">
      <c r="A1" s="1114" t="s">
        <v>274</v>
      </c>
      <c r="B1" s="1114"/>
      <c r="C1" s="53" t="s">
        <v>275</v>
      </c>
      <c r="D1" s="54" t="s">
        <v>276</v>
      </c>
      <c r="E1" s="54" t="s">
        <v>277</v>
      </c>
      <c r="F1" s="54" t="s">
        <v>278</v>
      </c>
      <c r="G1" s="54" t="s">
        <v>279</v>
      </c>
      <c r="H1" s="54">
        <v>2006</v>
      </c>
      <c r="I1" s="54" t="s">
        <v>280</v>
      </c>
      <c r="J1" s="54" t="s">
        <v>281</v>
      </c>
      <c r="K1" s="54" t="s">
        <v>282</v>
      </c>
      <c r="L1" s="55" t="s">
        <v>283</v>
      </c>
      <c r="M1" s="55">
        <v>2007</v>
      </c>
      <c r="N1" s="55" t="s">
        <v>284</v>
      </c>
      <c r="O1" s="55" t="s">
        <v>285</v>
      </c>
      <c r="P1" s="55" t="s">
        <v>286</v>
      </c>
      <c r="Q1" s="55" t="s">
        <v>287</v>
      </c>
      <c r="R1" s="55">
        <v>2008</v>
      </c>
      <c r="S1" s="55" t="s">
        <v>288</v>
      </c>
      <c r="T1" s="55" t="s">
        <v>289</v>
      </c>
      <c r="U1" s="55" t="s">
        <v>290</v>
      </c>
      <c r="V1" s="55" t="s">
        <v>291</v>
      </c>
      <c r="W1" s="55">
        <v>2009</v>
      </c>
      <c r="X1" s="55" t="s">
        <v>292</v>
      </c>
      <c r="Y1" s="55" t="s">
        <v>293</v>
      </c>
      <c r="Z1" s="55" t="s">
        <v>294</v>
      </c>
      <c r="AA1" s="55" t="s">
        <v>295</v>
      </c>
      <c r="AB1" s="55">
        <v>2010</v>
      </c>
      <c r="AC1" s="55" t="s">
        <v>296</v>
      </c>
      <c r="AD1" s="55" t="s">
        <v>297</v>
      </c>
      <c r="AE1" s="55" t="s">
        <v>298</v>
      </c>
      <c r="AF1" s="55" t="s">
        <v>299</v>
      </c>
      <c r="AG1" s="55">
        <v>2011</v>
      </c>
      <c r="AH1" s="55" t="s">
        <v>300</v>
      </c>
      <c r="AI1" s="55" t="s">
        <v>301</v>
      </c>
      <c r="AJ1" s="55" t="s">
        <v>302</v>
      </c>
      <c r="AK1" s="55" t="s">
        <v>303</v>
      </c>
      <c r="AL1" s="55">
        <v>2012</v>
      </c>
      <c r="AM1" s="55" t="s">
        <v>304</v>
      </c>
      <c r="AN1" s="55" t="s">
        <v>305</v>
      </c>
      <c r="AO1" s="55" t="s">
        <v>306</v>
      </c>
      <c r="AP1" s="54" t="s">
        <v>307</v>
      </c>
      <c r="AQ1" s="54">
        <v>2013</v>
      </c>
      <c r="AR1" s="53" t="s">
        <v>308</v>
      </c>
      <c r="AS1" s="55" t="s">
        <v>309</v>
      </c>
      <c r="AT1" s="55" t="s">
        <v>310</v>
      </c>
      <c r="AU1" s="55" t="s">
        <v>311</v>
      </c>
      <c r="AV1" s="54" t="s">
        <v>312</v>
      </c>
      <c r="AW1" s="54">
        <v>2014</v>
      </c>
      <c r="AX1" s="55" t="s">
        <v>313</v>
      </c>
      <c r="AY1" s="55" t="s">
        <v>314</v>
      </c>
      <c r="AZ1" s="55" t="s">
        <v>315</v>
      </c>
      <c r="BA1" s="54" t="s">
        <v>316</v>
      </c>
      <c r="BB1" s="54">
        <v>2015</v>
      </c>
      <c r="BC1" s="55" t="s">
        <v>317</v>
      </c>
      <c r="BD1" s="55" t="s">
        <v>318</v>
      </c>
      <c r="BE1" s="55" t="s">
        <v>319</v>
      </c>
      <c r="BF1" s="54" t="s">
        <v>320</v>
      </c>
      <c r="BG1" s="54">
        <v>2016</v>
      </c>
      <c r="BH1" s="55" t="s">
        <v>321</v>
      </c>
      <c r="BI1" s="55" t="s">
        <v>322</v>
      </c>
      <c r="BJ1" s="55" t="s">
        <v>323</v>
      </c>
      <c r="BK1" s="54" t="s">
        <v>324</v>
      </c>
      <c r="BL1" s="54">
        <v>2017</v>
      </c>
      <c r="BM1" s="55" t="s">
        <v>325</v>
      </c>
      <c r="BN1" s="55" t="s">
        <v>326</v>
      </c>
      <c r="BO1" s="55" t="s">
        <v>327</v>
      </c>
      <c r="BP1" s="54" t="s">
        <v>328</v>
      </c>
      <c r="BQ1" s="54">
        <v>2018</v>
      </c>
      <c r="BR1" s="55" t="s">
        <v>329</v>
      </c>
      <c r="BS1" s="55" t="s">
        <v>330</v>
      </c>
      <c r="BT1" s="55" t="s">
        <v>331</v>
      </c>
      <c r="BU1" s="54" t="s">
        <v>332</v>
      </c>
      <c r="BV1" s="54">
        <v>2019</v>
      </c>
      <c r="BW1" s="55" t="s">
        <v>333</v>
      </c>
      <c r="BX1" s="55" t="s">
        <v>334</v>
      </c>
      <c r="BY1" s="55" t="s">
        <v>335</v>
      </c>
      <c r="BZ1" s="54" t="s">
        <v>336</v>
      </c>
      <c r="CA1" s="54">
        <v>2020</v>
      </c>
    </row>
    <row r="2" spans="1:79" ht="12.75" customHeight="1">
      <c r="A2" s="54"/>
      <c r="B2" s="57">
        <v>1</v>
      </c>
      <c r="C2" s="58" t="s">
        <v>337</v>
      </c>
      <c r="D2" s="54"/>
      <c r="E2" s="54"/>
      <c r="F2" s="54"/>
      <c r="G2" s="54"/>
      <c r="H2" s="54"/>
      <c r="I2" s="54"/>
      <c r="J2" s="54"/>
      <c r="K2" s="54"/>
      <c r="L2" s="55"/>
      <c r="M2" s="55"/>
      <c r="N2" s="55"/>
      <c r="O2" s="55"/>
      <c r="P2" s="55"/>
      <c r="Q2" s="55"/>
      <c r="R2" s="55"/>
      <c r="S2" s="55"/>
      <c r="T2" s="55"/>
      <c r="U2" s="55"/>
      <c r="V2" s="55"/>
      <c r="W2" s="55"/>
      <c r="X2" s="55"/>
      <c r="Y2" s="55"/>
      <c r="Z2" s="55"/>
      <c r="AA2" s="55"/>
      <c r="AB2" s="55"/>
      <c r="AC2" s="55"/>
      <c r="AD2" s="55"/>
      <c r="AE2" s="55"/>
      <c r="AF2" s="55"/>
      <c r="AG2" s="55"/>
      <c r="AH2" s="55"/>
      <c r="AI2" s="55"/>
      <c r="AJ2" s="55"/>
      <c r="AK2" s="55"/>
      <c r="AL2" s="55"/>
      <c r="AM2" s="55"/>
      <c r="AN2" s="55"/>
      <c r="AO2" s="55"/>
      <c r="AP2" s="54"/>
      <c r="AQ2" s="54"/>
      <c r="AR2" s="53"/>
      <c r="AS2" s="55"/>
      <c r="AT2" s="55"/>
      <c r="AU2" s="55"/>
      <c r="AV2" s="54"/>
      <c r="AW2" s="54"/>
      <c r="AX2" s="55"/>
      <c r="AY2" s="55"/>
      <c r="AZ2" s="55"/>
      <c r="BA2" s="54"/>
      <c r="BB2" s="54"/>
      <c r="BC2" s="55"/>
      <c r="BD2" s="55"/>
      <c r="BE2" s="55"/>
      <c r="BF2" s="54"/>
      <c r="BG2" s="54"/>
      <c r="BH2" s="55"/>
      <c r="BI2" s="55"/>
      <c r="BJ2" s="55"/>
      <c r="BK2" s="54"/>
      <c r="BL2" s="54"/>
      <c r="BM2" s="55"/>
      <c r="BN2" s="55"/>
      <c r="BO2" s="55"/>
      <c r="BP2" s="54"/>
      <c r="BQ2" s="54"/>
      <c r="BR2" s="55"/>
      <c r="BS2" s="55"/>
      <c r="BT2" s="55"/>
      <c r="BU2" s="54"/>
      <c r="BV2" s="54"/>
      <c r="BW2" s="55"/>
      <c r="BX2" s="55"/>
      <c r="BY2" s="55"/>
      <c r="BZ2" s="54"/>
      <c r="CA2" s="54"/>
    </row>
    <row r="3" spans="1:79">
      <c r="B3" s="59">
        <v>2</v>
      </c>
      <c r="C3" s="60">
        <f>DCF!C25</f>
        <v>2</v>
      </c>
      <c r="D3" s="61"/>
      <c r="E3" s="61"/>
      <c r="F3" s="61"/>
      <c r="G3" s="61"/>
      <c r="H3" s="61"/>
      <c r="I3" s="61"/>
      <c r="J3" s="61"/>
      <c r="K3" s="61"/>
      <c r="L3" s="55"/>
      <c r="M3" s="55"/>
      <c r="N3" s="55"/>
      <c r="O3" s="55"/>
      <c r="P3" s="55"/>
      <c r="Q3" s="55"/>
      <c r="R3" s="55"/>
      <c r="S3" s="55"/>
      <c r="T3" s="55"/>
      <c r="U3" s="55"/>
      <c r="V3" s="55"/>
      <c r="W3" s="55"/>
      <c r="X3" s="55"/>
      <c r="Y3" s="55"/>
      <c r="Z3" s="55"/>
      <c r="AA3" s="55"/>
      <c r="AB3" s="55"/>
      <c r="AC3" s="55"/>
      <c r="AD3" s="55"/>
      <c r="AE3" s="55"/>
      <c r="AF3" s="55"/>
      <c r="AG3" s="55"/>
      <c r="AH3" s="55"/>
      <c r="AI3" s="55"/>
      <c r="AJ3" s="55"/>
      <c r="AK3" s="55"/>
      <c r="AL3" s="55"/>
      <c r="AM3" s="55"/>
      <c r="AN3" s="55"/>
      <c r="AO3" s="55"/>
      <c r="AP3" s="61"/>
      <c r="AQ3" s="61"/>
      <c r="AR3" s="61"/>
      <c r="AS3" s="55"/>
      <c r="AT3" s="55"/>
      <c r="AU3" s="55"/>
      <c r="AV3" s="61"/>
      <c r="AW3" s="61"/>
      <c r="AX3" s="55"/>
      <c r="AY3" s="55"/>
      <c r="AZ3" s="55"/>
      <c r="BA3" s="61"/>
      <c r="BB3" s="61"/>
      <c r="BC3" s="55"/>
      <c r="BD3" s="55"/>
      <c r="BE3" s="55"/>
      <c r="BF3" s="61"/>
      <c r="BG3" s="61"/>
      <c r="BH3" s="55"/>
      <c r="BI3" s="55"/>
      <c r="BJ3" s="55"/>
      <c r="BK3" s="61"/>
      <c r="BL3" s="61"/>
      <c r="BM3" s="55"/>
      <c r="BN3" s="55"/>
      <c r="BO3" s="55"/>
      <c r="BP3" s="61"/>
      <c r="BQ3" s="61"/>
      <c r="BR3" s="55"/>
      <c r="BS3" s="55"/>
      <c r="BT3" s="55"/>
      <c r="BU3" s="61"/>
      <c r="BV3" s="61"/>
      <c r="BW3" s="55"/>
      <c r="BX3" s="55"/>
      <c r="BY3" s="55"/>
      <c r="BZ3" s="61"/>
      <c r="CA3" s="61"/>
    </row>
    <row r="4" spans="1:79">
      <c r="B4" s="59">
        <v>3</v>
      </c>
      <c r="C4" s="62" t="s">
        <v>338</v>
      </c>
      <c r="D4" s="63">
        <f t="shared" ref="D4:AO4" si="0">D195+D196+D197+D198+D199</f>
        <v>26.153209933333333</v>
      </c>
      <c r="E4" s="63">
        <f t="shared" si="0"/>
        <v>27.392293666666667</v>
      </c>
      <c r="F4" s="63">
        <f t="shared" si="0"/>
        <v>28.257009933333332</v>
      </c>
      <c r="G4" s="63">
        <f t="shared" si="0"/>
        <v>28.582336300000001</v>
      </c>
      <c r="H4" s="63">
        <f t="shared" si="0"/>
        <v>27.596212458333333</v>
      </c>
      <c r="I4" s="63">
        <f t="shared" si="0"/>
        <v>28.70524898888889</v>
      </c>
      <c r="J4" s="63">
        <f t="shared" si="0"/>
        <v>29.624846466666668</v>
      </c>
      <c r="K4" s="63">
        <f t="shared" si="0"/>
        <v>29.134489088888888</v>
      </c>
      <c r="L4" s="63">
        <f t="shared" si="0"/>
        <v>29.739882355555558</v>
      </c>
      <c r="M4" s="63">
        <f t="shared" si="0"/>
        <v>29.301116725</v>
      </c>
      <c r="N4" s="63">
        <f t="shared" si="0"/>
        <v>29.478349377777775</v>
      </c>
      <c r="O4" s="63">
        <f t="shared" si="0"/>
        <v>29.857347066666666</v>
      </c>
      <c r="P4" s="63">
        <f t="shared" si="0"/>
        <v>30.187764622222225</v>
      </c>
      <c r="Q4" s="63">
        <f t="shared" si="0"/>
        <v>29.997633611111112</v>
      </c>
      <c r="R4" s="63">
        <f t="shared" si="0"/>
        <v>29.880273669444446</v>
      </c>
      <c r="S4" s="63">
        <f t="shared" si="0"/>
        <v>31.808853200000001</v>
      </c>
      <c r="T4" s="63">
        <f t="shared" si="0"/>
        <v>32.282211933333329</v>
      </c>
      <c r="U4" s="63">
        <f t="shared" si="0"/>
        <v>32.502600355555558</v>
      </c>
      <c r="V4" s="63">
        <f t="shared" si="0"/>
        <v>33.702471233333334</v>
      </c>
      <c r="W4" s="63">
        <f t="shared" si="0"/>
        <v>32.574034180555557</v>
      </c>
      <c r="X4" s="63">
        <f t="shared" si="0"/>
        <v>34.366477288888888</v>
      </c>
      <c r="Y4" s="63">
        <f t="shared" si="0"/>
        <v>34.45490848888889</v>
      </c>
      <c r="Z4" s="63">
        <f t="shared" si="0"/>
        <v>34.04631832222222</v>
      </c>
      <c r="AA4" s="63">
        <f t="shared" si="0"/>
        <v>34.300948088888887</v>
      </c>
      <c r="AB4" s="63">
        <f t="shared" si="0"/>
        <v>34.292163047222225</v>
      </c>
      <c r="AC4" s="63">
        <f t="shared" si="0"/>
        <v>35.023974922222223</v>
      </c>
      <c r="AD4" s="63">
        <f t="shared" si="0"/>
        <v>35.518317388888889</v>
      </c>
      <c r="AE4" s="63">
        <f t="shared" si="0"/>
        <v>34.282956922222219</v>
      </c>
      <c r="AF4" s="63">
        <f t="shared" si="0"/>
        <v>34.935874633333334</v>
      </c>
      <c r="AG4" s="63">
        <f t="shared" si="0"/>
        <v>34.94028096666667</v>
      </c>
      <c r="AH4" s="63">
        <f t="shared" si="0"/>
        <v>34.714212011111108</v>
      </c>
      <c r="AI4" s="63">
        <f t="shared" si="0"/>
        <v>34.541565466666668</v>
      </c>
      <c r="AJ4" s="63">
        <f t="shared" si="0"/>
        <v>34.554653088888891</v>
      </c>
      <c r="AK4" s="63">
        <f t="shared" si="0"/>
        <v>35.461282055555557</v>
      </c>
      <c r="AL4" s="63">
        <f t="shared" si="0"/>
        <v>34.817928155555556</v>
      </c>
      <c r="AM4" s="63">
        <f t="shared" si="0"/>
        <v>35.242192544444443</v>
      </c>
      <c r="AN4" s="63">
        <f t="shared" si="0"/>
        <v>35.818508377777775</v>
      </c>
      <c r="AO4" s="63">
        <f t="shared" si="0"/>
        <v>34.078275088888887</v>
      </c>
      <c r="AP4" s="63">
        <f>AVERAGE(AK4,AM4,AN4,AO4)</f>
        <v>35.15006451666666</v>
      </c>
      <c r="AQ4" s="63">
        <f>AVERAGE(AM4:AP4)</f>
        <v>35.072260131944446</v>
      </c>
      <c r="AR4" s="63"/>
      <c r="AS4" s="64"/>
      <c r="AT4" s="64"/>
      <c r="AU4" s="64"/>
      <c r="AV4" s="65"/>
      <c r="AW4" s="66">
        <f>AQ4*(1+AW5)</f>
        <v>35.773705334583333</v>
      </c>
      <c r="AX4" s="67"/>
      <c r="AY4" s="67"/>
      <c r="AZ4" s="67"/>
      <c r="BA4" s="66"/>
      <c r="BB4" s="66">
        <f>AW4*(1+BB5)</f>
        <v>36.489179441274999</v>
      </c>
      <c r="BC4" s="67"/>
      <c r="BD4" s="67"/>
      <c r="BE4" s="67"/>
      <c r="BF4" s="66"/>
      <c r="BG4" s="66">
        <f>BB4*(1+BG5)</f>
        <v>37.218963030100497</v>
      </c>
      <c r="BH4" s="67"/>
      <c r="BI4" s="67"/>
      <c r="BJ4" s="67"/>
      <c r="BK4" s="66"/>
      <c r="BL4" s="66">
        <f>BG4*(1+BL5)</f>
        <v>37.963342290702506</v>
      </c>
      <c r="BM4" s="67"/>
      <c r="BN4" s="67"/>
      <c r="BO4" s="67"/>
      <c r="BP4" s="66"/>
      <c r="BQ4" s="66">
        <f>BL4*(1+BQ5)</f>
        <v>38.72260913651656</v>
      </c>
      <c r="BR4" s="67"/>
      <c r="BS4" s="67"/>
      <c r="BT4" s="67"/>
      <c r="BU4" s="66"/>
      <c r="BV4" s="66">
        <f>BQ4*(1+BV5)</f>
        <v>39.497061319246889</v>
      </c>
      <c r="BW4" s="67"/>
      <c r="BX4" s="67"/>
      <c r="BY4" s="67"/>
      <c r="BZ4" s="66"/>
      <c r="CA4" s="66">
        <f>BV4*(1+CA5)</f>
        <v>40.287002545631829</v>
      </c>
    </row>
    <row r="5" spans="1:79">
      <c r="A5" s="68" t="s">
        <v>339</v>
      </c>
      <c r="B5" s="69">
        <f>CHOOSE(C3,4%,2%,0%)</f>
        <v>0.02</v>
      </c>
      <c r="C5" s="70" t="s">
        <v>340</v>
      </c>
      <c r="D5" s="71"/>
      <c r="E5" s="71"/>
      <c r="F5" s="71"/>
      <c r="G5" s="71"/>
      <c r="H5" s="71"/>
      <c r="I5" s="71"/>
      <c r="J5" s="71"/>
      <c r="K5" s="71"/>
      <c r="L5" s="71"/>
      <c r="M5" s="72">
        <f>M4/H4-1</f>
        <v>6.1780371826055891E-2</v>
      </c>
      <c r="N5" s="71"/>
      <c r="O5" s="71"/>
      <c r="P5" s="71"/>
      <c r="Q5" s="71"/>
      <c r="R5" s="72">
        <f>R4/M4-1</f>
        <v>1.9765695276395601E-2</v>
      </c>
      <c r="S5" s="71"/>
      <c r="T5" s="71"/>
      <c r="U5" s="71"/>
      <c r="V5" s="71"/>
      <c r="W5" s="72">
        <f>W4/R4-1</f>
        <v>9.0151801851324764E-2</v>
      </c>
      <c r="X5" s="71"/>
      <c r="Y5" s="71"/>
      <c r="Z5" s="71"/>
      <c r="AA5" s="71"/>
      <c r="AB5" s="72">
        <f>AB4/W4-1</f>
        <v>5.2745351010046848E-2</v>
      </c>
      <c r="AC5" s="71"/>
      <c r="AD5" s="71"/>
      <c r="AE5" s="71"/>
      <c r="AF5" s="71"/>
      <c r="AG5" s="72">
        <f>AG4/AB4-1</f>
        <v>1.8899884459080418E-2</v>
      </c>
      <c r="AH5" s="71"/>
      <c r="AI5" s="71"/>
      <c r="AJ5" s="71"/>
      <c r="AK5" s="71"/>
      <c r="AL5" s="72">
        <f>AL4/AG4-1</f>
        <v>-3.5017695257756332E-3</v>
      </c>
      <c r="AM5" s="71"/>
      <c r="AN5" s="71"/>
      <c r="AO5" s="71"/>
      <c r="AP5" s="71"/>
      <c r="AQ5" s="72">
        <f>AQ4/AL4-1</f>
        <v>7.3046269511676254E-3</v>
      </c>
      <c r="AR5" s="72"/>
      <c r="AS5" s="73"/>
      <c r="AT5" s="73"/>
      <c r="AU5" s="73"/>
      <c r="AV5" s="74"/>
      <c r="AW5" s="75">
        <f>$B$5</f>
        <v>0.02</v>
      </c>
      <c r="AX5" s="76"/>
      <c r="AY5" s="76"/>
      <c r="AZ5" s="76"/>
      <c r="BA5" s="77"/>
      <c r="BB5" s="75">
        <f>$B$5</f>
        <v>0.02</v>
      </c>
      <c r="BC5" s="76"/>
      <c r="BD5" s="76"/>
      <c r="BE5" s="76"/>
      <c r="BF5" s="77"/>
      <c r="BG5" s="75">
        <f>$B$5</f>
        <v>0.02</v>
      </c>
      <c r="BH5" s="76"/>
      <c r="BI5" s="76"/>
      <c r="BJ5" s="76"/>
      <c r="BK5" s="77"/>
      <c r="BL5" s="75">
        <f>$B$5</f>
        <v>0.02</v>
      </c>
      <c r="BM5" s="76"/>
      <c r="BN5" s="76"/>
      <c r="BO5" s="76"/>
      <c r="BP5" s="77"/>
      <c r="BQ5" s="75">
        <f>$B$5</f>
        <v>0.02</v>
      </c>
      <c r="BR5" s="76"/>
      <c r="BS5" s="76"/>
      <c r="BT5" s="76"/>
      <c r="BU5" s="77"/>
      <c r="BV5" s="75">
        <f>$B$5</f>
        <v>0.02</v>
      </c>
      <c r="BW5" s="76"/>
      <c r="BX5" s="76"/>
      <c r="BY5" s="76"/>
      <c r="BZ5" s="77"/>
      <c r="CA5" s="75">
        <f>$B$5</f>
        <v>0.02</v>
      </c>
    </row>
    <row r="6" spans="1:79">
      <c r="A6" s="78"/>
      <c r="B6" s="79"/>
      <c r="C6" s="80" t="s">
        <v>341</v>
      </c>
      <c r="D6" s="81">
        <f t="shared" ref="D6:AQ6" si="1">D4*D7</f>
        <v>16.738054357333333</v>
      </c>
      <c r="E6" s="81">
        <f t="shared" si="1"/>
        <v>17.531067946666667</v>
      </c>
      <c r="F6" s="81">
        <f t="shared" si="1"/>
        <v>18.084486357333333</v>
      </c>
      <c r="G6" s="81">
        <f t="shared" si="1"/>
        <v>18.292695232</v>
      </c>
      <c r="H6" s="81">
        <f t="shared" si="1"/>
        <v>17.661575973333335</v>
      </c>
      <c r="I6" s="81">
        <f t="shared" si="1"/>
        <v>18.371359352888891</v>
      </c>
      <c r="J6" s="81">
        <f t="shared" si="1"/>
        <v>18.95990173866667</v>
      </c>
      <c r="K6" s="81">
        <f t="shared" si="1"/>
        <v>18.646073016888888</v>
      </c>
      <c r="L6" s="81">
        <f t="shared" si="1"/>
        <v>19.033524707555557</v>
      </c>
      <c r="M6" s="81">
        <f t="shared" si="1"/>
        <v>18.752714703999999</v>
      </c>
      <c r="N6" s="81">
        <f t="shared" si="1"/>
        <v>18.866143601777775</v>
      </c>
      <c r="O6" s="81">
        <f t="shared" si="1"/>
        <v>19.108702122666667</v>
      </c>
      <c r="P6" s="81">
        <f t="shared" si="1"/>
        <v>19.320169358222223</v>
      </c>
      <c r="Q6" s="81">
        <f t="shared" si="1"/>
        <v>19.198485511111112</v>
      </c>
      <c r="R6" s="81">
        <f t="shared" si="1"/>
        <v>19.123375148444445</v>
      </c>
      <c r="S6" s="81">
        <f t="shared" si="1"/>
        <v>20.357666048000002</v>
      </c>
      <c r="T6" s="81">
        <f t="shared" si="1"/>
        <v>20.660615637333333</v>
      </c>
      <c r="U6" s="81">
        <f t="shared" si="1"/>
        <v>20.801664227555559</v>
      </c>
      <c r="V6" s="81">
        <f t="shared" si="1"/>
        <v>21.569581589333335</v>
      </c>
      <c r="W6" s="81">
        <f t="shared" si="1"/>
        <v>20.847381875555556</v>
      </c>
      <c r="X6" s="81">
        <f t="shared" si="1"/>
        <v>21.994545464888887</v>
      </c>
      <c r="Y6" s="81">
        <f t="shared" si="1"/>
        <v>22.05114143288889</v>
      </c>
      <c r="Z6" s="81">
        <f t="shared" si="1"/>
        <v>21.78964372622222</v>
      </c>
      <c r="AA6" s="81">
        <f t="shared" si="1"/>
        <v>21.952606776888889</v>
      </c>
      <c r="AB6" s="81">
        <f t="shared" si="1"/>
        <v>21.946984350222223</v>
      </c>
      <c r="AC6" s="81">
        <f t="shared" si="1"/>
        <v>22.415343950222223</v>
      </c>
      <c r="AD6" s="81">
        <f t="shared" si="1"/>
        <v>22.731723128888888</v>
      </c>
      <c r="AE6" s="81">
        <f t="shared" si="1"/>
        <v>21.94109243022222</v>
      </c>
      <c r="AF6" s="81">
        <f t="shared" si="1"/>
        <v>22.358959765333335</v>
      </c>
      <c r="AG6" s="81">
        <f t="shared" si="1"/>
        <v>22.361779818666669</v>
      </c>
      <c r="AH6" s="81">
        <f t="shared" si="1"/>
        <v>22.217095687111108</v>
      </c>
      <c r="AI6" s="81">
        <f t="shared" si="1"/>
        <v>22.106601898666668</v>
      </c>
      <c r="AJ6" s="81">
        <f t="shared" si="1"/>
        <v>22.114977976888891</v>
      </c>
      <c r="AK6" s="81">
        <f t="shared" si="1"/>
        <v>22.695220515555558</v>
      </c>
      <c r="AL6" s="81">
        <f t="shared" si="1"/>
        <v>22.283474019555555</v>
      </c>
      <c r="AM6" s="81">
        <f t="shared" si="1"/>
        <v>22.555003228444445</v>
      </c>
      <c r="AN6" s="81">
        <f t="shared" si="1"/>
        <v>22.923845361777776</v>
      </c>
      <c r="AO6" s="81">
        <f t="shared" si="1"/>
        <v>21.810096056888888</v>
      </c>
      <c r="AP6" s="81">
        <f t="shared" si="1"/>
        <v>22.496041290666664</v>
      </c>
      <c r="AQ6" s="81">
        <f t="shared" si="1"/>
        <v>22.446246484444448</v>
      </c>
      <c r="AR6" s="81"/>
      <c r="AW6" s="82">
        <f>AW4*AW7</f>
        <v>22.895171414133333</v>
      </c>
      <c r="AX6" s="82"/>
      <c r="AY6" s="82"/>
      <c r="AZ6" s="82"/>
      <c r="BA6" s="82"/>
      <c r="BB6" s="82">
        <f>BB4*BB7</f>
        <v>23.353074842416</v>
      </c>
      <c r="BC6" s="82"/>
      <c r="BD6" s="82"/>
      <c r="BE6" s="82"/>
      <c r="BF6" s="82"/>
      <c r="BG6" s="82">
        <f>BG4*BG7</f>
        <v>23.82013633926432</v>
      </c>
      <c r="BH6" s="82"/>
      <c r="BI6" s="82"/>
      <c r="BJ6" s="82"/>
      <c r="BK6" s="82"/>
      <c r="BL6" s="82">
        <f>BL4*BL7</f>
        <v>24.296539066049604</v>
      </c>
      <c r="BM6" s="82"/>
      <c r="BN6" s="82"/>
      <c r="BO6" s="82"/>
      <c r="BP6" s="82"/>
      <c r="BQ6" s="82">
        <f>BQ4*BQ7</f>
        <v>24.782469847370599</v>
      </c>
      <c r="BR6" s="82"/>
      <c r="BS6" s="82"/>
      <c r="BT6" s="82"/>
      <c r="BU6" s="82"/>
      <c r="BV6" s="82">
        <f>BV4*BV7</f>
        <v>25.27811924431801</v>
      </c>
      <c r="BW6" s="82"/>
      <c r="BX6" s="82"/>
      <c r="BY6" s="82"/>
      <c r="BZ6" s="82"/>
      <c r="CA6" s="82">
        <f>CA4*CA7</f>
        <v>25.78368162920437</v>
      </c>
    </row>
    <row r="7" spans="1:79">
      <c r="A7" s="68" t="s">
        <v>342</v>
      </c>
      <c r="B7" s="83">
        <v>0.64</v>
      </c>
      <c r="C7" s="70" t="s">
        <v>342</v>
      </c>
      <c r="D7" s="72">
        <f t="shared" ref="D7:AQ7" si="2">$B$7</f>
        <v>0.64</v>
      </c>
      <c r="E7" s="72">
        <f t="shared" si="2"/>
        <v>0.64</v>
      </c>
      <c r="F7" s="72">
        <f t="shared" si="2"/>
        <v>0.64</v>
      </c>
      <c r="G7" s="72">
        <f t="shared" si="2"/>
        <v>0.64</v>
      </c>
      <c r="H7" s="72">
        <f t="shared" si="2"/>
        <v>0.64</v>
      </c>
      <c r="I7" s="72">
        <f t="shared" si="2"/>
        <v>0.64</v>
      </c>
      <c r="J7" s="72">
        <f t="shared" si="2"/>
        <v>0.64</v>
      </c>
      <c r="K7" s="72">
        <f t="shared" si="2"/>
        <v>0.64</v>
      </c>
      <c r="L7" s="72">
        <f t="shared" si="2"/>
        <v>0.64</v>
      </c>
      <c r="M7" s="72">
        <f t="shared" si="2"/>
        <v>0.64</v>
      </c>
      <c r="N7" s="72">
        <f t="shared" si="2"/>
        <v>0.64</v>
      </c>
      <c r="O7" s="72">
        <f t="shared" si="2"/>
        <v>0.64</v>
      </c>
      <c r="P7" s="72">
        <f t="shared" si="2"/>
        <v>0.64</v>
      </c>
      <c r="Q7" s="72">
        <f t="shared" si="2"/>
        <v>0.64</v>
      </c>
      <c r="R7" s="72">
        <f t="shared" si="2"/>
        <v>0.64</v>
      </c>
      <c r="S7" s="72">
        <f t="shared" si="2"/>
        <v>0.64</v>
      </c>
      <c r="T7" s="72">
        <f t="shared" si="2"/>
        <v>0.64</v>
      </c>
      <c r="U7" s="72">
        <f t="shared" si="2"/>
        <v>0.64</v>
      </c>
      <c r="V7" s="72">
        <f t="shared" si="2"/>
        <v>0.64</v>
      </c>
      <c r="W7" s="72">
        <f t="shared" si="2"/>
        <v>0.64</v>
      </c>
      <c r="X7" s="72">
        <f t="shared" si="2"/>
        <v>0.64</v>
      </c>
      <c r="Y7" s="72">
        <f t="shared" si="2"/>
        <v>0.64</v>
      </c>
      <c r="Z7" s="72">
        <f t="shared" si="2"/>
        <v>0.64</v>
      </c>
      <c r="AA7" s="72">
        <f t="shared" si="2"/>
        <v>0.64</v>
      </c>
      <c r="AB7" s="72">
        <f t="shared" si="2"/>
        <v>0.64</v>
      </c>
      <c r="AC7" s="72">
        <f t="shared" si="2"/>
        <v>0.64</v>
      </c>
      <c r="AD7" s="72">
        <f t="shared" si="2"/>
        <v>0.64</v>
      </c>
      <c r="AE7" s="72">
        <f t="shared" si="2"/>
        <v>0.64</v>
      </c>
      <c r="AF7" s="72">
        <f t="shared" si="2"/>
        <v>0.64</v>
      </c>
      <c r="AG7" s="72">
        <f t="shared" si="2"/>
        <v>0.64</v>
      </c>
      <c r="AH7" s="72">
        <f t="shared" si="2"/>
        <v>0.64</v>
      </c>
      <c r="AI7" s="72">
        <f t="shared" si="2"/>
        <v>0.64</v>
      </c>
      <c r="AJ7" s="72">
        <f t="shared" si="2"/>
        <v>0.64</v>
      </c>
      <c r="AK7" s="72">
        <f t="shared" si="2"/>
        <v>0.64</v>
      </c>
      <c r="AL7" s="72">
        <f t="shared" si="2"/>
        <v>0.64</v>
      </c>
      <c r="AM7" s="72">
        <f t="shared" si="2"/>
        <v>0.64</v>
      </c>
      <c r="AN7" s="72">
        <f t="shared" si="2"/>
        <v>0.64</v>
      </c>
      <c r="AO7" s="72">
        <f t="shared" si="2"/>
        <v>0.64</v>
      </c>
      <c r="AP7" s="72">
        <f t="shared" si="2"/>
        <v>0.64</v>
      </c>
      <c r="AQ7" s="72">
        <f t="shared" si="2"/>
        <v>0.64</v>
      </c>
      <c r="AR7" s="72"/>
      <c r="AS7" s="72">
        <f t="shared" ref="AS7:CA7" si="3">$B$7</f>
        <v>0.64</v>
      </c>
      <c r="AT7" s="72">
        <f t="shared" si="3"/>
        <v>0.64</v>
      </c>
      <c r="AU7" s="72">
        <f t="shared" si="3"/>
        <v>0.64</v>
      </c>
      <c r="AV7" s="72">
        <f t="shared" si="3"/>
        <v>0.64</v>
      </c>
      <c r="AW7" s="72">
        <f t="shared" si="3"/>
        <v>0.64</v>
      </c>
      <c r="AX7" s="72">
        <f t="shared" si="3"/>
        <v>0.64</v>
      </c>
      <c r="AY7" s="72">
        <f t="shared" si="3"/>
        <v>0.64</v>
      </c>
      <c r="AZ7" s="72">
        <f t="shared" si="3"/>
        <v>0.64</v>
      </c>
      <c r="BA7" s="72">
        <f t="shared" si="3"/>
        <v>0.64</v>
      </c>
      <c r="BB7" s="72">
        <f t="shared" si="3"/>
        <v>0.64</v>
      </c>
      <c r="BC7" s="72">
        <f t="shared" si="3"/>
        <v>0.64</v>
      </c>
      <c r="BD7" s="72">
        <f t="shared" si="3"/>
        <v>0.64</v>
      </c>
      <c r="BE7" s="72">
        <f t="shared" si="3"/>
        <v>0.64</v>
      </c>
      <c r="BF7" s="72">
        <f t="shared" si="3"/>
        <v>0.64</v>
      </c>
      <c r="BG7" s="72">
        <f t="shared" si="3"/>
        <v>0.64</v>
      </c>
      <c r="BH7" s="72">
        <f t="shared" si="3"/>
        <v>0.64</v>
      </c>
      <c r="BI7" s="72">
        <f t="shared" si="3"/>
        <v>0.64</v>
      </c>
      <c r="BJ7" s="72">
        <f t="shared" si="3"/>
        <v>0.64</v>
      </c>
      <c r="BK7" s="72">
        <f t="shared" si="3"/>
        <v>0.64</v>
      </c>
      <c r="BL7" s="72">
        <f t="shared" si="3"/>
        <v>0.64</v>
      </c>
      <c r="BM7" s="72">
        <f t="shared" si="3"/>
        <v>0.64</v>
      </c>
      <c r="BN7" s="72">
        <f t="shared" si="3"/>
        <v>0.64</v>
      </c>
      <c r="BO7" s="72">
        <f t="shared" si="3"/>
        <v>0.64</v>
      </c>
      <c r="BP7" s="72">
        <f t="shared" si="3"/>
        <v>0.64</v>
      </c>
      <c r="BQ7" s="72">
        <f t="shared" si="3"/>
        <v>0.64</v>
      </c>
      <c r="BR7" s="72">
        <f t="shared" si="3"/>
        <v>0.64</v>
      </c>
      <c r="BS7" s="72">
        <f t="shared" si="3"/>
        <v>0.64</v>
      </c>
      <c r="BT7" s="72">
        <f t="shared" si="3"/>
        <v>0.64</v>
      </c>
      <c r="BU7" s="72">
        <f t="shared" si="3"/>
        <v>0.64</v>
      </c>
      <c r="BV7" s="72">
        <f t="shared" si="3"/>
        <v>0.64</v>
      </c>
      <c r="BW7" s="72">
        <f t="shared" si="3"/>
        <v>0.64</v>
      </c>
      <c r="BX7" s="72">
        <f t="shared" si="3"/>
        <v>0.64</v>
      </c>
      <c r="BY7" s="72">
        <f t="shared" si="3"/>
        <v>0.64</v>
      </c>
      <c r="BZ7" s="72">
        <f t="shared" si="3"/>
        <v>0.64</v>
      </c>
      <c r="CA7" s="72">
        <f t="shared" si="3"/>
        <v>0.64</v>
      </c>
    </row>
    <row r="8" spans="1:79">
      <c r="A8" s="78"/>
      <c r="B8" s="79"/>
      <c r="C8" s="80" t="s">
        <v>343</v>
      </c>
      <c r="D8" s="84">
        <f t="shared" ref="D8:AO8" si="4">D196+D197</f>
        <v>3.445692666666667</v>
      </c>
      <c r="E8" s="84">
        <f t="shared" si="4"/>
        <v>3.7401607888888888</v>
      </c>
      <c r="F8" s="84">
        <f t="shared" si="4"/>
        <v>3.971422911111111</v>
      </c>
      <c r="G8" s="84">
        <f t="shared" si="4"/>
        <v>4.2115650000000002</v>
      </c>
      <c r="H8" s="84">
        <f t="shared" si="4"/>
        <v>3.8422103416666666</v>
      </c>
      <c r="I8" s="84">
        <f t="shared" si="4"/>
        <v>4.4789948888888889</v>
      </c>
      <c r="J8" s="84">
        <f t="shared" si="4"/>
        <v>4.6728954444444444</v>
      </c>
      <c r="K8" s="84">
        <f t="shared" si="4"/>
        <v>4.7871594444444447</v>
      </c>
      <c r="L8" s="84">
        <f t="shared" si="4"/>
        <v>4.8750214444444442</v>
      </c>
      <c r="M8" s="84">
        <f t="shared" si="4"/>
        <v>4.7035178055555553</v>
      </c>
      <c r="N8" s="84">
        <f t="shared" si="4"/>
        <v>4.3890349999999998</v>
      </c>
      <c r="O8" s="84">
        <f t="shared" si="4"/>
        <v>3.6773555555555557</v>
      </c>
      <c r="P8" s="84">
        <f t="shared" si="4"/>
        <v>3.4662388888888893</v>
      </c>
      <c r="Q8" s="84">
        <f t="shared" si="4"/>
        <v>3.0904891111111112</v>
      </c>
      <c r="R8" s="84">
        <f t="shared" si="4"/>
        <v>3.6557796388888883</v>
      </c>
      <c r="S8" s="84">
        <f t="shared" si="4"/>
        <v>2.9488252222222222</v>
      </c>
      <c r="T8" s="84">
        <f t="shared" si="4"/>
        <v>2.822891666666667</v>
      </c>
      <c r="U8" s="84">
        <f t="shared" si="4"/>
        <v>2.746169222222222</v>
      </c>
      <c r="V8" s="84">
        <f t="shared" si="4"/>
        <v>2.6040487777777779</v>
      </c>
      <c r="W8" s="84">
        <f t="shared" si="4"/>
        <v>2.7804837222222218</v>
      </c>
      <c r="X8" s="84">
        <f t="shared" si="4"/>
        <v>2.5842143333333336</v>
      </c>
      <c r="Y8" s="84">
        <f t="shared" si="4"/>
        <v>2.4333431111111112</v>
      </c>
      <c r="Z8" s="84">
        <f t="shared" si="4"/>
        <v>2.3145531111111111</v>
      </c>
      <c r="AA8" s="84">
        <f t="shared" si="4"/>
        <v>2.2693692222222221</v>
      </c>
      <c r="AB8" s="84">
        <f t="shared" si="4"/>
        <v>2.4003699444444448</v>
      </c>
      <c r="AC8" s="84">
        <f t="shared" si="4"/>
        <v>2.2232450000000004</v>
      </c>
      <c r="AD8" s="84">
        <f t="shared" si="4"/>
        <v>2.1036520000000003</v>
      </c>
      <c r="AE8" s="84">
        <f t="shared" si="4"/>
        <v>2.0020876666666667</v>
      </c>
      <c r="AF8" s="84">
        <f t="shared" si="4"/>
        <v>1.9138831111111112</v>
      </c>
      <c r="AG8" s="84">
        <f t="shared" si="4"/>
        <v>2.0607169444444446</v>
      </c>
      <c r="AH8" s="84">
        <f t="shared" si="4"/>
        <v>1.8864722222222223</v>
      </c>
      <c r="AI8" s="84">
        <f t="shared" si="4"/>
        <v>1.7988975555555555</v>
      </c>
      <c r="AJ8" s="84">
        <f t="shared" si="4"/>
        <v>1.7541652222222222</v>
      </c>
      <c r="AK8" s="84">
        <f t="shared" si="4"/>
        <v>1.7226131111111109</v>
      </c>
      <c r="AL8" s="84">
        <f t="shared" si="4"/>
        <v>1.7905370277777779</v>
      </c>
      <c r="AM8" s="84">
        <f t="shared" si="4"/>
        <v>1.6845874444444444</v>
      </c>
      <c r="AN8" s="84">
        <f t="shared" si="4"/>
        <v>1.6367131555555554</v>
      </c>
      <c r="AO8" s="84">
        <f t="shared" si="4"/>
        <v>1.5362085555555556</v>
      </c>
      <c r="AP8" s="84">
        <f>AP9*AP6</f>
        <v>1.600368797862169</v>
      </c>
      <c r="AQ8" s="84">
        <f>AVERAGE(AM8:AP8)</f>
        <v>1.614469488354431</v>
      </c>
      <c r="AR8" s="84"/>
      <c r="AW8" s="84">
        <f>AW9*AW6</f>
        <v>1.6698912261189744</v>
      </c>
      <c r="AX8" s="84"/>
      <c r="AY8" s="84"/>
      <c r="AZ8" s="84"/>
      <c r="BA8" s="84"/>
      <c r="BB8" s="84">
        <f>BB9*BB6</f>
        <v>1.7549004121648379</v>
      </c>
      <c r="BC8" s="84"/>
      <c r="BD8" s="84"/>
      <c r="BE8" s="84"/>
      <c r="BF8" s="84"/>
      <c r="BG8" s="84">
        <f>BG9*BG6</f>
        <v>1.8442371625449214</v>
      </c>
      <c r="BH8" s="84"/>
      <c r="BI8" s="84"/>
      <c r="BJ8" s="84"/>
      <c r="BK8" s="84"/>
      <c r="BL8" s="84">
        <f>BL9*BL6</f>
        <v>1.9381217806633393</v>
      </c>
      <c r="BM8" s="84"/>
      <c r="BN8" s="84"/>
      <c r="BO8" s="84"/>
      <c r="BP8" s="84"/>
      <c r="BQ8" s="84">
        <f>BQ9*BQ6</f>
        <v>2.0367857849140036</v>
      </c>
      <c r="BR8" s="84"/>
      <c r="BS8" s="84"/>
      <c r="BT8" s="84"/>
      <c r="BU8" s="84"/>
      <c r="BV8" s="84">
        <f>BV9*BV6</f>
        <v>2.1404724796023364</v>
      </c>
      <c r="BW8" s="84"/>
      <c r="BX8" s="84"/>
      <c r="BY8" s="84"/>
      <c r="BZ8" s="84"/>
      <c r="CA8" s="84">
        <f>CA9*CA6</f>
        <v>2.2494375549309025</v>
      </c>
    </row>
    <row r="9" spans="1:79">
      <c r="A9" s="68" t="s">
        <v>344</v>
      </c>
      <c r="B9" s="79" t="str">
        <f>CHOOSE(C3,"No","No","Yes")</f>
        <v>No</v>
      </c>
      <c r="C9" s="70" t="s">
        <v>345</v>
      </c>
      <c r="D9" s="85">
        <f t="shared" ref="D9:AO9" si="5">D8/D6</f>
        <v>0.20585980861969352</v>
      </c>
      <c r="E9" s="85">
        <f t="shared" si="5"/>
        <v>0.21334472037113048</v>
      </c>
      <c r="F9" s="85">
        <f t="shared" si="5"/>
        <v>0.21960385452145745</v>
      </c>
      <c r="G9" s="85">
        <f t="shared" si="5"/>
        <v>0.23023206512688049</v>
      </c>
      <c r="H9" s="85">
        <f t="shared" si="5"/>
        <v>0.21754629074256457</v>
      </c>
      <c r="I9" s="85">
        <f t="shared" si="5"/>
        <v>0.24380312870993773</v>
      </c>
      <c r="J9" s="85">
        <f t="shared" si="5"/>
        <v>0.24646200749630359</v>
      </c>
      <c r="K9" s="85">
        <f t="shared" si="5"/>
        <v>0.25673821185342466</v>
      </c>
      <c r="L9" s="85">
        <f t="shared" si="5"/>
        <v>0.25612814858769978</v>
      </c>
      <c r="M9" s="85">
        <f t="shared" si="5"/>
        <v>0.25081796848070664</v>
      </c>
      <c r="N9" s="85">
        <f t="shared" si="5"/>
        <v>0.23264081375837808</v>
      </c>
      <c r="O9" s="85">
        <f t="shared" si="5"/>
        <v>0.19244402534243762</v>
      </c>
      <c r="P9" s="85">
        <f t="shared" si="5"/>
        <v>0.17941037806760929</v>
      </c>
      <c r="Q9" s="85">
        <f t="shared" si="5"/>
        <v>0.16097567223844259</v>
      </c>
      <c r="R9" s="85">
        <f t="shared" si="5"/>
        <v>0.19116811810211551</v>
      </c>
      <c r="S9" s="85">
        <f t="shared" si="5"/>
        <v>0.14485084956543551</v>
      </c>
      <c r="T9" s="85">
        <f t="shared" si="5"/>
        <v>0.13663153684374033</v>
      </c>
      <c r="U9" s="85">
        <f t="shared" si="5"/>
        <v>0.13201680366441187</v>
      </c>
      <c r="V9" s="85">
        <f t="shared" si="5"/>
        <v>0.12072782992997608</v>
      </c>
      <c r="W9" s="85">
        <f t="shared" si="5"/>
        <v>0.13337328105849386</v>
      </c>
      <c r="X9" s="85">
        <f t="shared" si="5"/>
        <v>0.11749341842315671</v>
      </c>
      <c r="Y9" s="85">
        <f t="shared" si="5"/>
        <v>0.11034998430883142</v>
      </c>
      <c r="Z9" s="85">
        <f t="shared" si="5"/>
        <v>0.10622262301268001</v>
      </c>
      <c r="AA9" s="85">
        <f t="shared" si="5"/>
        <v>0.10337584257243439</v>
      </c>
      <c r="AB9" s="85">
        <f t="shared" si="5"/>
        <v>0.10937128792458177</v>
      </c>
      <c r="AC9" s="85">
        <f t="shared" si="5"/>
        <v>9.9184068062357772E-2</v>
      </c>
      <c r="AD9" s="85">
        <f t="shared" si="5"/>
        <v>9.2542566530143436E-2</v>
      </c>
      <c r="AE9" s="85">
        <f t="shared" si="5"/>
        <v>9.1248312864720446E-2</v>
      </c>
      <c r="AF9" s="85">
        <f t="shared" si="5"/>
        <v>8.5598039050032632E-2</v>
      </c>
      <c r="AG9" s="85">
        <f t="shared" si="5"/>
        <v>9.2153529869042225E-2</v>
      </c>
      <c r="AH9" s="85">
        <f t="shared" si="5"/>
        <v>8.4910838427753141E-2</v>
      </c>
      <c r="AI9" s="85">
        <f t="shared" si="5"/>
        <v>8.1373770776776586E-2</v>
      </c>
      <c r="AJ9" s="85">
        <f t="shared" si="5"/>
        <v>7.9320233737306942E-2</v>
      </c>
      <c r="AK9" s="85">
        <f t="shared" si="5"/>
        <v>7.590202130578165E-2</v>
      </c>
      <c r="AL9" s="85">
        <f t="shared" si="5"/>
        <v>8.0352687655723537E-2</v>
      </c>
      <c r="AM9" s="85">
        <f t="shared" si="5"/>
        <v>7.4687971772045086E-2</v>
      </c>
      <c r="AN9" s="85">
        <f t="shared" si="5"/>
        <v>7.139784489580181E-2</v>
      </c>
      <c r="AO9" s="85">
        <f t="shared" si="5"/>
        <v>7.0435662069004604E-2</v>
      </c>
      <c r="AP9" s="85">
        <f>IF($B$9="No",$AO$9*1.01,-0.0519*LN(AP10)+0.2314)</f>
        <v>7.1140018689694648E-2</v>
      </c>
      <c r="AQ9" s="85">
        <f>AQ8/AQ6</f>
        <v>7.1926034024142091E-2</v>
      </c>
      <c r="AR9" s="85"/>
      <c r="AS9" s="867">
        <v>7.1851418876591591E-2</v>
      </c>
      <c r="AT9" s="867">
        <v>7.2569933065357514E-2</v>
      </c>
      <c r="AU9" s="867">
        <v>7.3295632396011084E-2</v>
      </c>
      <c r="AV9" s="867">
        <v>7.40285887199712E-2</v>
      </c>
      <c r="AW9" s="866">
        <v>7.2936393264482841E-2</v>
      </c>
      <c r="AX9" s="867">
        <v>7.40285887199712E-2</v>
      </c>
      <c r="AY9" s="867">
        <v>7.476887460717091E-2</v>
      </c>
      <c r="AZ9" s="867">
        <v>7.5516563353242624E-2</v>
      </c>
      <c r="BA9" s="867">
        <v>7.6271728986775048E-2</v>
      </c>
      <c r="BB9" s="866">
        <v>7.5146438916789945E-2</v>
      </c>
      <c r="BC9" s="867">
        <v>7.6271728986775048E-2</v>
      </c>
      <c r="BD9" s="867">
        <v>7.7034446276642798E-2</v>
      </c>
      <c r="BE9" s="867">
        <v>7.7804790739409227E-2</v>
      </c>
      <c r="BF9" s="867">
        <v>7.8582838646803321E-2</v>
      </c>
      <c r="BG9" s="866">
        <v>7.7423451162407592E-2</v>
      </c>
      <c r="BH9" s="867">
        <v>7.8582838646803321E-2</v>
      </c>
      <c r="BI9" s="867">
        <v>7.9368667033271362E-2</v>
      </c>
      <c r="BJ9" s="867">
        <v>8.016235370360407E-2</v>
      </c>
      <c r="BK9" s="867">
        <v>8.0963977240640111E-2</v>
      </c>
      <c r="BL9" s="866">
        <v>7.9769459156079719E-2</v>
      </c>
      <c r="BM9" s="867">
        <v>8.0963977240640111E-2</v>
      </c>
      <c r="BN9" s="867">
        <v>8.1773617013046515E-2</v>
      </c>
      <c r="BO9" s="867">
        <v>8.259135318317698E-2</v>
      </c>
      <c r="BP9" s="867">
        <v>8.341726671500875E-2</v>
      </c>
      <c r="BQ9" s="866">
        <v>8.2186553537968082E-2</v>
      </c>
      <c r="BR9" s="867">
        <v>8.341726671500875E-2</v>
      </c>
      <c r="BS9" s="867">
        <v>8.4251439382158844E-2</v>
      </c>
      <c r="BT9" s="867">
        <v>8.5093953775980433E-2</v>
      </c>
      <c r="BU9" s="867">
        <v>8.5944893313740237E-2</v>
      </c>
      <c r="BV9" s="866">
        <v>8.4676888296722069E-2</v>
      </c>
      <c r="BW9" s="867">
        <v>8.5944893313740237E-2</v>
      </c>
      <c r="BX9" s="867">
        <v>8.6804342246877636E-2</v>
      </c>
      <c r="BY9" s="867">
        <v>8.7672385669346417E-2</v>
      </c>
      <c r="BZ9" s="867">
        <v>8.8549109526039879E-2</v>
      </c>
      <c r="CA9" s="866">
        <v>8.7242682689001053E-2</v>
      </c>
    </row>
    <row r="10" spans="1:79" hidden="1">
      <c r="A10" s="68"/>
      <c r="B10" s="79"/>
      <c r="C10" s="68"/>
      <c r="D10" s="86"/>
      <c r="E10" s="86"/>
      <c r="F10" s="86"/>
      <c r="G10" s="86"/>
      <c r="H10" s="86"/>
      <c r="I10" s="86"/>
      <c r="J10" s="86"/>
      <c r="K10" s="86"/>
      <c r="L10" s="86"/>
      <c r="M10" s="86"/>
      <c r="N10" s="86"/>
      <c r="O10" s="86"/>
      <c r="P10" s="86"/>
      <c r="Q10" s="86"/>
      <c r="R10" s="86"/>
      <c r="S10" s="86"/>
      <c r="T10" s="86"/>
      <c r="U10" s="86"/>
      <c r="V10" s="86"/>
      <c r="W10" s="86"/>
      <c r="X10" s="86"/>
      <c r="Y10" s="86"/>
      <c r="Z10" s="86"/>
      <c r="AA10" s="86"/>
      <c r="AB10" s="86"/>
      <c r="AC10" s="86"/>
      <c r="AD10" s="86"/>
      <c r="AE10" s="86"/>
      <c r="AF10" s="86"/>
      <c r="AG10" s="86"/>
      <c r="AH10" s="86"/>
      <c r="AI10" s="86"/>
      <c r="AJ10" s="86"/>
      <c r="AK10" s="86"/>
      <c r="AL10" s="86"/>
      <c r="AM10" s="86"/>
      <c r="AN10" s="86"/>
      <c r="AO10" s="86"/>
      <c r="AP10" s="87">
        <v>24</v>
      </c>
      <c r="AQ10" s="88"/>
      <c r="AR10" s="88"/>
      <c r="AS10" s="89">
        <f>AP10+1</f>
        <v>25</v>
      </c>
      <c r="AT10" s="89">
        <f>AS10+1</f>
        <v>26</v>
      </c>
      <c r="AU10" s="89">
        <f>AT10+1</f>
        <v>27</v>
      </c>
      <c r="AV10" s="89">
        <f>AU10+1</f>
        <v>28</v>
      </c>
      <c r="AW10" s="90"/>
      <c r="AX10" s="89">
        <f>AV10+1</f>
        <v>29</v>
      </c>
      <c r="AY10" s="89">
        <f>AX10+1</f>
        <v>30</v>
      </c>
      <c r="AZ10" s="89">
        <f>AY10+1</f>
        <v>31</v>
      </c>
      <c r="BA10" s="89">
        <f>AZ10+1</f>
        <v>32</v>
      </c>
      <c r="BB10" s="90"/>
      <c r="BC10" s="89">
        <f>BA10+1</f>
        <v>33</v>
      </c>
      <c r="BD10" s="89">
        <f>BC10+1</f>
        <v>34</v>
      </c>
      <c r="BE10" s="89">
        <f>BD10+1</f>
        <v>35</v>
      </c>
      <c r="BF10" s="89">
        <f>BE10+1</f>
        <v>36</v>
      </c>
      <c r="BG10" s="90"/>
      <c r="BH10" s="89">
        <f>BF10+1</f>
        <v>37</v>
      </c>
      <c r="BI10" s="89">
        <f>BH10+1</f>
        <v>38</v>
      </c>
      <c r="BJ10" s="89">
        <f>BI10+1</f>
        <v>39</v>
      </c>
      <c r="BK10" s="89">
        <f>BJ10+1</f>
        <v>40</v>
      </c>
      <c r="BL10" s="90"/>
      <c r="BM10" s="89">
        <f>BK10+1</f>
        <v>41</v>
      </c>
      <c r="BN10" s="89">
        <f>BM10+1</f>
        <v>42</v>
      </c>
      <c r="BO10" s="89">
        <f>BN10+1</f>
        <v>43</v>
      </c>
      <c r="BP10" s="89">
        <f>BO10+1</f>
        <v>44</v>
      </c>
      <c r="BQ10" s="90"/>
      <c r="BR10" s="89">
        <f>BP10+1</f>
        <v>45</v>
      </c>
      <c r="BS10" s="89">
        <f>BR10+1</f>
        <v>46</v>
      </c>
      <c r="BT10" s="89">
        <f>BS10+1</f>
        <v>47</v>
      </c>
      <c r="BU10" s="89">
        <f>BT10+1</f>
        <v>48</v>
      </c>
      <c r="BV10" s="90"/>
      <c r="BW10" s="89">
        <f>BU10+1</f>
        <v>49</v>
      </c>
      <c r="BX10" s="89">
        <f>BW10+1</f>
        <v>50</v>
      </c>
      <c r="BY10" s="89">
        <f>BX10+1</f>
        <v>51</v>
      </c>
      <c r="BZ10" s="89">
        <f>BY10+1</f>
        <v>52</v>
      </c>
      <c r="CA10" s="91"/>
    </row>
    <row r="11" spans="1:79">
      <c r="A11" s="92"/>
      <c r="B11" s="59"/>
      <c r="C11" s="80" t="s">
        <v>346</v>
      </c>
      <c r="D11" s="81">
        <f t="shared" ref="D11:AQ11" si="6">D8*D12</f>
        <v>1.2404493600000002</v>
      </c>
      <c r="E11" s="81">
        <f t="shared" si="6"/>
        <v>1.3464578839999999</v>
      </c>
      <c r="F11" s="81">
        <f t="shared" si="6"/>
        <v>1.429712248</v>
      </c>
      <c r="G11" s="81">
        <f t="shared" si="6"/>
        <v>1.5161633999999999</v>
      </c>
      <c r="H11" s="81">
        <f t="shared" si="6"/>
        <v>1.383195723</v>
      </c>
      <c r="I11" s="81">
        <f t="shared" si="6"/>
        <v>1.61243816</v>
      </c>
      <c r="J11" s="81">
        <f t="shared" si="6"/>
        <v>1.6822423599999998</v>
      </c>
      <c r="K11" s="81">
        <f t="shared" si="6"/>
        <v>1.7233773999999999</v>
      </c>
      <c r="L11" s="81">
        <f t="shared" si="6"/>
        <v>1.7550077199999998</v>
      </c>
      <c r="M11" s="81">
        <f t="shared" si="6"/>
        <v>1.6932664099999999</v>
      </c>
      <c r="N11" s="81">
        <f t="shared" si="6"/>
        <v>1.5800525999999999</v>
      </c>
      <c r="O11" s="81">
        <f t="shared" si="6"/>
        <v>1.3238479999999999</v>
      </c>
      <c r="P11" s="81">
        <f t="shared" si="6"/>
        <v>1.247846</v>
      </c>
      <c r="Q11" s="81">
        <f t="shared" si="6"/>
        <v>1.11257608</v>
      </c>
      <c r="R11" s="81">
        <f t="shared" si="6"/>
        <v>1.3160806699999998</v>
      </c>
      <c r="S11" s="81">
        <f t="shared" si="6"/>
        <v>1.06157708</v>
      </c>
      <c r="T11" s="81">
        <f t="shared" si="6"/>
        <v>1.0162410000000002</v>
      </c>
      <c r="U11" s="81">
        <f t="shared" si="6"/>
        <v>0.9886209199999999</v>
      </c>
      <c r="V11" s="81">
        <f t="shared" si="6"/>
        <v>0.93745756000000002</v>
      </c>
      <c r="W11" s="81">
        <f t="shared" si="6"/>
        <v>1.0009741399999998</v>
      </c>
      <c r="X11" s="81">
        <f t="shared" si="6"/>
        <v>0.93031716000000009</v>
      </c>
      <c r="Y11" s="81">
        <f t="shared" si="6"/>
        <v>0.87600352000000004</v>
      </c>
      <c r="Z11" s="81">
        <f t="shared" si="6"/>
        <v>0.83323912</v>
      </c>
      <c r="AA11" s="81">
        <f t="shared" si="6"/>
        <v>0.81697291999999999</v>
      </c>
      <c r="AB11" s="81">
        <f t="shared" si="6"/>
        <v>0.86413318000000017</v>
      </c>
      <c r="AC11" s="81">
        <f t="shared" si="6"/>
        <v>0.80036820000000009</v>
      </c>
      <c r="AD11" s="81">
        <f t="shared" si="6"/>
        <v>0.75731472000000011</v>
      </c>
      <c r="AE11" s="81">
        <f t="shared" si="6"/>
        <v>0.72075155999999996</v>
      </c>
      <c r="AF11" s="81">
        <f t="shared" si="6"/>
        <v>0.68899792000000004</v>
      </c>
      <c r="AG11" s="81">
        <f t="shared" si="6"/>
        <v>0.74185810000000008</v>
      </c>
      <c r="AH11" s="81">
        <f t="shared" si="6"/>
        <v>0.67913000000000001</v>
      </c>
      <c r="AI11" s="81">
        <f t="shared" si="6"/>
        <v>0.64760311999999998</v>
      </c>
      <c r="AJ11" s="81">
        <f t="shared" si="6"/>
        <v>0.63149948</v>
      </c>
      <c r="AK11" s="81">
        <f t="shared" si="6"/>
        <v>0.62014071999999987</v>
      </c>
      <c r="AL11" s="81">
        <f t="shared" si="6"/>
        <v>0.64459333000000008</v>
      </c>
      <c r="AM11" s="81">
        <f t="shared" si="6"/>
        <v>0.60645147999999993</v>
      </c>
      <c r="AN11" s="81">
        <f t="shared" si="6"/>
        <v>0.58921673599999991</v>
      </c>
      <c r="AO11" s="81">
        <f t="shared" si="6"/>
        <v>0.55303508000000001</v>
      </c>
      <c r="AP11" s="81">
        <f t="shared" si="6"/>
        <v>0.57613276723038087</v>
      </c>
      <c r="AQ11" s="81">
        <f t="shared" si="6"/>
        <v>0.58120901580759521</v>
      </c>
      <c r="AR11" s="81"/>
      <c r="AW11" s="93">
        <f>AW8*AW12*10^3</f>
        <v>601.16084140283078</v>
      </c>
      <c r="AX11" s="84"/>
      <c r="AY11" s="84"/>
      <c r="AZ11" s="84"/>
      <c r="BA11" s="84"/>
      <c r="BB11" s="93">
        <f>BB8*BB12*10^3</f>
        <v>631.76414837934158</v>
      </c>
      <c r="BC11" s="84"/>
      <c r="BD11" s="84"/>
      <c r="BE11" s="84"/>
      <c r="BF11" s="84"/>
      <c r="BG11" s="93">
        <f>BG8*BG12*10^3</f>
        <v>663.92537851617169</v>
      </c>
      <c r="BH11" s="84"/>
      <c r="BI11" s="84"/>
      <c r="BJ11" s="84"/>
      <c r="BK11" s="84"/>
      <c r="BL11" s="93">
        <f>BL8*BL12*10^3</f>
        <v>697.72384103880211</v>
      </c>
      <c r="BM11" s="84"/>
      <c r="BN11" s="84"/>
      <c r="BO11" s="84"/>
      <c r="BP11" s="84"/>
      <c r="BQ11" s="93">
        <f>BQ8*BQ12*10^3</f>
        <v>733.24288256904129</v>
      </c>
      <c r="BR11" s="84"/>
      <c r="BS11" s="84"/>
      <c r="BT11" s="84"/>
      <c r="BU11" s="84"/>
      <c r="BV11" s="93">
        <f>BV8*BV12*10^3</f>
        <v>770.5700926568411</v>
      </c>
      <c r="BW11" s="84"/>
      <c r="BX11" s="84"/>
      <c r="BY11" s="84"/>
      <c r="BZ11" s="84"/>
      <c r="CA11" s="93">
        <f>CA8*CA12*10^3</f>
        <v>809.79751977512478</v>
      </c>
    </row>
    <row r="12" spans="1:79">
      <c r="A12" s="68" t="s">
        <v>347</v>
      </c>
      <c r="B12" s="83">
        <v>0.36</v>
      </c>
      <c r="C12" s="70" t="s">
        <v>347</v>
      </c>
      <c r="D12" s="72">
        <f t="shared" ref="D12:AQ12" si="7">$B$12</f>
        <v>0.36</v>
      </c>
      <c r="E12" s="72">
        <f t="shared" si="7"/>
        <v>0.36</v>
      </c>
      <c r="F12" s="72">
        <f t="shared" si="7"/>
        <v>0.36</v>
      </c>
      <c r="G12" s="72">
        <f t="shared" si="7"/>
        <v>0.36</v>
      </c>
      <c r="H12" s="72">
        <f t="shared" si="7"/>
        <v>0.36</v>
      </c>
      <c r="I12" s="72">
        <f t="shared" si="7"/>
        <v>0.36</v>
      </c>
      <c r="J12" s="72">
        <f t="shared" si="7"/>
        <v>0.36</v>
      </c>
      <c r="K12" s="72">
        <f t="shared" si="7"/>
        <v>0.36</v>
      </c>
      <c r="L12" s="72">
        <f t="shared" si="7"/>
        <v>0.36</v>
      </c>
      <c r="M12" s="72">
        <f t="shared" si="7"/>
        <v>0.36</v>
      </c>
      <c r="N12" s="72">
        <f t="shared" si="7"/>
        <v>0.36</v>
      </c>
      <c r="O12" s="72">
        <f t="shared" si="7"/>
        <v>0.36</v>
      </c>
      <c r="P12" s="72">
        <f t="shared" si="7"/>
        <v>0.36</v>
      </c>
      <c r="Q12" s="72">
        <f t="shared" si="7"/>
        <v>0.36</v>
      </c>
      <c r="R12" s="72">
        <f t="shared" si="7"/>
        <v>0.36</v>
      </c>
      <c r="S12" s="72">
        <f t="shared" si="7"/>
        <v>0.36</v>
      </c>
      <c r="T12" s="72">
        <f t="shared" si="7"/>
        <v>0.36</v>
      </c>
      <c r="U12" s="72">
        <f t="shared" si="7"/>
        <v>0.36</v>
      </c>
      <c r="V12" s="72">
        <f t="shared" si="7"/>
        <v>0.36</v>
      </c>
      <c r="W12" s="72">
        <f t="shared" si="7"/>
        <v>0.36</v>
      </c>
      <c r="X12" s="72">
        <f t="shared" si="7"/>
        <v>0.36</v>
      </c>
      <c r="Y12" s="72">
        <f t="shared" si="7"/>
        <v>0.36</v>
      </c>
      <c r="Z12" s="72">
        <f t="shared" si="7"/>
        <v>0.36</v>
      </c>
      <c r="AA12" s="72">
        <f t="shared" si="7"/>
        <v>0.36</v>
      </c>
      <c r="AB12" s="72">
        <f t="shared" si="7"/>
        <v>0.36</v>
      </c>
      <c r="AC12" s="72">
        <f t="shared" si="7"/>
        <v>0.36</v>
      </c>
      <c r="AD12" s="72">
        <f t="shared" si="7"/>
        <v>0.36</v>
      </c>
      <c r="AE12" s="72">
        <f t="shared" si="7"/>
        <v>0.36</v>
      </c>
      <c r="AF12" s="72">
        <f t="shared" si="7"/>
        <v>0.36</v>
      </c>
      <c r="AG12" s="72">
        <f t="shared" si="7"/>
        <v>0.36</v>
      </c>
      <c r="AH12" s="72">
        <f t="shared" si="7"/>
        <v>0.36</v>
      </c>
      <c r="AI12" s="72">
        <f t="shared" si="7"/>
        <v>0.36</v>
      </c>
      <c r="AJ12" s="72">
        <f t="shared" si="7"/>
        <v>0.36</v>
      </c>
      <c r="AK12" s="72">
        <f t="shared" si="7"/>
        <v>0.36</v>
      </c>
      <c r="AL12" s="72">
        <f t="shared" si="7"/>
        <v>0.36</v>
      </c>
      <c r="AM12" s="72">
        <f t="shared" si="7"/>
        <v>0.36</v>
      </c>
      <c r="AN12" s="72">
        <f t="shared" si="7"/>
        <v>0.36</v>
      </c>
      <c r="AO12" s="72">
        <f t="shared" si="7"/>
        <v>0.36</v>
      </c>
      <c r="AP12" s="72">
        <f t="shared" si="7"/>
        <v>0.36</v>
      </c>
      <c r="AQ12" s="72">
        <f t="shared" si="7"/>
        <v>0.36</v>
      </c>
      <c r="AR12" s="72"/>
      <c r="AS12" s="72">
        <f t="shared" ref="AS12:CA12" si="8">$B$12</f>
        <v>0.36</v>
      </c>
      <c r="AT12" s="72">
        <f t="shared" si="8"/>
        <v>0.36</v>
      </c>
      <c r="AU12" s="72">
        <f t="shared" si="8"/>
        <v>0.36</v>
      </c>
      <c r="AV12" s="72">
        <f t="shared" si="8"/>
        <v>0.36</v>
      </c>
      <c r="AW12" s="72">
        <f t="shared" si="8"/>
        <v>0.36</v>
      </c>
      <c r="AX12" s="72">
        <f t="shared" si="8"/>
        <v>0.36</v>
      </c>
      <c r="AY12" s="72">
        <f t="shared" si="8"/>
        <v>0.36</v>
      </c>
      <c r="AZ12" s="72">
        <f t="shared" si="8"/>
        <v>0.36</v>
      </c>
      <c r="BA12" s="72">
        <f t="shared" si="8"/>
        <v>0.36</v>
      </c>
      <c r="BB12" s="72">
        <f t="shared" si="8"/>
        <v>0.36</v>
      </c>
      <c r="BC12" s="72">
        <f t="shared" si="8"/>
        <v>0.36</v>
      </c>
      <c r="BD12" s="72">
        <f t="shared" si="8"/>
        <v>0.36</v>
      </c>
      <c r="BE12" s="72">
        <f t="shared" si="8"/>
        <v>0.36</v>
      </c>
      <c r="BF12" s="72">
        <f t="shared" si="8"/>
        <v>0.36</v>
      </c>
      <c r="BG12" s="72">
        <f t="shared" si="8"/>
        <v>0.36</v>
      </c>
      <c r="BH12" s="72">
        <f t="shared" si="8"/>
        <v>0.36</v>
      </c>
      <c r="BI12" s="72">
        <f t="shared" si="8"/>
        <v>0.36</v>
      </c>
      <c r="BJ12" s="72">
        <f t="shared" si="8"/>
        <v>0.36</v>
      </c>
      <c r="BK12" s="72">
        <f t="shared" si="8"/>
        <v>0.36</v>
      </c>
      <c r="BL12" s="72">
        <f t="shared" si="8"/>
        <v>0.36</v>
      </c>
      <c r="BM12" s="72">
        <f t="shared" si="8"/>
        <v>0.36</v>
      </c>
      <c r="BN12" s="72">
        <f t="shared" si="8"/>
        <v>0.36</v>
      </c>
      <c r="BO12" s="72">
        <f t="shared" si="8"/>
        <v>0.36</v>
      </c>
      <c r="BP12" s="72">
        <f t="shared" si="8"/>
        <v>0.36</v>
      </c>
      <c r="BQ12" s="72">
        <f t="shared" si="8"/>
        <v>0.36</v>
      </c>
      <c r="BR12" s="72">
        <f t="shared" si="8"/>
        <v>0.36</v>
      </c>
      <c r="BS12" s="72">
        <f t="shared" si="8"/>
        <v>0.36</v>
      </c>
      <c r="BT12" s="72">
        <f t="shared" si="8"/>
        <v>0.36</v>
      </c>
      <c r="BU12" s="72">
        <f t="shared" si="8"/>
        <v>0.36</v>
      </c>
      <c r="BV12" s="72">
        <f t="shared" si="8"/>
        <v>0.36</v>
      </c>
      <c r="BW12" s="72">
        <f t="shared" si="8"/>
        <v>0.36</v>
      </c>
      <c r="BX12" s="72">
        <f t="shared" si="8"/>
        <v>0.36</v>
      </c>
      <c r="BY12" s="72">
        <f t="shared" si="8"/>
        <v>0.36</v>
      </c>
      <c r="BZ12" s="72">
        <f t="shared" si="8"/>
        <v>0.36</v>
      </c>
      <c r="CA12" s="72">
        <f t="shared" si="8"/>
        <v>0.36</v>
      </c>
    </row>
    <row r="13" spans="1:79">
      <c r="A13" s="78"/>
      <c r="B13" s="79"/>
      <c r="C13" s="832" t="s">
        <v>804</v>
      </c>
      <c r="D13" s="94">
        <f t="shared" ref="D13:AQ13" si="9">D11*D14</f>
        <v>0</v>
      </c>
      <c r="E13" s="94">
        <f t="shared" si="9"/>
        <v>0</v>
      </c>
      <c r="F13" s="94">
        <f t="shared" si="9"/>
        <v>0</v>
      </c>
      <c r="G13" s="94">
        <f t="shared" si="9"/>
        <v>0</v>
      </c>
      <c r="H13" s="94">
        <f t="shared" si="9"/>
        <v>0</v>
      </c>
      <c r="I13" s="94">
        <f t="shared" si="9"/>
        <v>0</v>
      </c>
      <c r="J13" s="94">
        <f t="shared" si="9"/>
        <v>0</v>
      </c>
      <c r="K13" s="94">
        <f t="shared" si="9"/>
        <v>0</v>
      </c>
      <c r="L13" s="94">
        <f t="shared" si="9"/>
        <v>0</v>
      </c>
      <c r="M13" s="94">
        <f t="shared" si="9"/>
        <v>0</v>
      </c>
      <c r="N13" s="94">
        <f t="shared" si="9"/>
        <v>0</v>
      </c>
      <c r="O13" s="94">
        <f t="shared" si="9"/>
        <v>0</v>
      </c>
      <c r="P13" s="94">
        <f t="shared" si="9"/>
        <v>0</v>
      </c>
      <c r="Q13" s="94">
        <f t="shared" si="9"/>
        <v>0</v>
      </c>
      <c r="R13" s="94">
        <f t="shared" si="9"/>
        <v>0</v>
      </c>
      <c r="S13" s="94">
        <f t="shared" si="9"/>
        <v>0</v>
      </c>
      <c r="T13" s="94">
        <f t="shared" si="9"/>
        <v>0</v>
      </c>
      <c r="U13" s="94">
        <f t="shared" si="9"/>
        <v>0</v>
      </c>
      <c r="V13" s="94">
        <f t="shared" si="9"/>
        <v>0</v>
      </c>
      <c r="W13" s="94">
        <f t="shared" si="9"/>
        <v>0</v>
      </c>
      <c r="X13" s="94">
        <f t="shared" si="9"/>
        <v>0</v>
      </c>
      <c r="Y13" s="94">
        <f t="shared" si="9"/>
        <v>0</v>
      </c>
      <c r="Z13" s="94">
        <f t="shared" si="9"/>
        <v>0</v>
      </c>
      <c r="AA13" s="94">
        <f t="shared" si="9"/>
        <v>0</v>
      </c>
      <c r="AB13" s="94">
        <f t="shared" si="9"/>
        <v>0</v>
      </c>
      <c r="AC13" s="94">
        <f t="shared" si="9"/>
        <v>0</v>
      </c>
      <c r="AD13" s="94">
        <f t="shared" si="9"/>
        <v>0</v>
      </c>
      <c r="AE13" s="94">
        <f t="shared" si="9"/>
        <v>0</v>
      </c>
      <c r="AF13" s="94">
        <f t="shared" si="9"/>
        <v>0</v>
      </c>
      <c r="AG13" s="94">
        <f t="shared" si="9"/>
        <v>0</v>
      </c>
      <c r="AH13" s="94">
        <f t="shared" si="9"/>
        <v>0</v>
      </c>
      <c r="AI13" s="94">
        <f t="shared" si="9"/>
        <v>0</v>
      </c>
      <c r="AJ13" s="94">
        <f t="shared" si="9"/>
        <v>0</v>
      </c>
      <c r="AK13" s="94">
        <f t="shared" si="9"/>
        <v>0</v>
      </c>
      <c r="AL13" s="94">
        <f t="shared" si="9"/>
        <v>0</v>
      </c>
      <c r="AM13" s="94">
        <f t="shared" si="9"/>
        <v>0</v>
      </c>
      <c r="AN13" s="94">
        <f t="shared" si="9"/>
        <v>0</v>
      </c>
      <c r="AO13" s="94">
        <f t="shared" si="9"/>
        <v>0</v>
      </c>
      <c r="AP13" s="94">
        <f t="shared" si="9"/>
        <v>0</v>
      </c>
      <c r="AQ13" s="94">
        <f t="shared" si="9"/>
        <v>0</v>
      </c>
      <c r="AR13" s="94"/>
      <c r="AS13" s="95"/>
      <c r="AT13" s="95"/>
      <c r="AU13" s="95"/>
      <c r="AV13" s="95"/>
      <c r="AW13" s="96">
        <f>AW11*AW14</f>
        <v>0</v>
      </c>
      <c r="AX13" s="95"/>
      <c r="AY13" s="95"/>
      <c r="AZ13" s="95"/>
      <c r="BA13" s="95"/>
      <c r="BB13" s="96">
        <f>BB11*BB14</f>
        <v>1.2635282967586832</v>
      </c>
      <c r="BC13" s="96"/>
      <c r="BD13" s="96"/>
      <c r="BE13" s="96"/>
      <c r="BF13" s="96"/>
      <c r="BG13" s="96">
        <f>BG11*BG14</f>
        <v>19.917761355485151</v>
      </c>
      <c r="BH13" s="96"/>
      <c r="BI13" s="96"/>
      <c r="BJ13" s="96"/>
      <c r="BK13" s="96"/>
      <c r="BL13" s="96">
        <f>BL11*BL14</f>
        <v>69.772384103880214</v>
      </c>
      <c r="BM13" s="96"/>
      <c r="BN13" s="96"/>
      <c r="BO13" s="96"/>
      <c r="BP13" s="96"/>
      <c r="BQ13" s="96">
        <f>BQ11*BQ14</f>
        <v>183.31072064226032</v>
      </c>
      <c r="BR13" s="96"/>
      <c r="BS13" s="96"/>
      <c r="BT13" s="96"/>
      <c r="BU13" s="96"/>
      <c r="BV13" s="96">
        <f>BV11*BV14</f>
        <v>269.69953242989436</v>
      </c>
      <c r="BW13" s="96"/>
      <c r="BX13" s="96"/>
      <c r="BY13" s="96"/>
      <c r="BZ13" s="96"/>
      <c r="CA13" s="96">
        <f>CA11*CA14</f>
        <v>323.91900791004991</v>
      </c>
    </row>
    <row r="14" spans="1:79">
      <c r="A14" s="68" t="s">
        <v>348</v>
      </c>
      <c r="B14" s="83">
        <f>CHOOSE(C3,80%,60%,40%)</f>
        <v>0.6</v>
      </c>
      <c r="C14" s="70" t="s">
        <v>349</v>
      </c>
      <c r="D14" s="97">
        <v>0</v>
      </c>
      <c r="E14" s="97">
        <v>0</v>
      </c>
      <c r="F14" s="97">
        <v>0</v>
      </c>
      <c r="G14" s="97">
        <v>0</v>
      </c>
      <c r="H14" s="97">
        <v>0</v>
      </c>
      <c r="I14" s="97">
        <v>0</v>
      </c>
      <c r="J14" s="97">
        <v>0</v>
      </c>
      <c r="K14" s="97">
        <v>0</v>
      </c>
      <c r="L14" s="97">
        <v>0</v>
      </c>
      <c r="M14" s="97">
        <v>0</v>
      </c>
      <c r="N14" s="97">
        <v>0</v>
      </c>
      <c r="O14" s="97">
        <v>0</v>
      </c>
      <c r="P14" s="97">
        <v>0</v>
      </c>
      <c r="Q14" s="97">
        <v>0</v>
      </c>
      <c r="R14" s="97">
        <v>0</v>
      </c>
      <c r="S14" s="97">
        <v>0</v>
      </c>
      <c r="T14" s="97">
        <v>0</v>
      </c>
      <c r="U14" s="97">
        <v>0</v>
      </c>
      <c r="V14" s="97">
        <v>0</v>
      </c>
      <c r="W14" s="97">
        <v>0</v>
      </c>
      <c r="X14" s="97">
        <v>0</v>
      </c>
      <c r="Y14" s="97">
        <v>0</v>
      </c>
      <c r="Z14" s="97">
        <v>0</v>
      </c>
      <c r="AA14" s="97">
        <v>0</v>
      </c>
      <c r="AB14" s="97">
        <v>0</v>
      </c>
      <c r="AC14" s="97">
        <v>0</v>
      </c>
      <c r="AD14" s="97">
        <v>0</v>
      </c>
      <c r="AE14" s="97">
        <v>0</v>
      </c>
      <c r="AF14" s="97">
        <v>0</v>
      </c>
      <c r="AG14" s="97">
        <v>0</v>
      </c>
      <c r="AH14" s="97">
        <v>0</v>
      </c>
      <c r="AI14" s="97">
        <v>0</v>
      </c>
      <c r="AJ14" s="97">
        <v>0</v>
      </c>
      <c r="AK14" s="97">
        <v>0</v>
      </c>
      <c r="AL14" s="97">
        <v>0</v>
      </c>
      <c r="AM14" s="97">
        <v>0</v>
      </c>
      <c r="AN14" s="97">
        <v>0</v>
      </c>
      <c r="AO14" s="97">
        <v>0</v>
      </c>
      <c r="AP14" s="97">
        <v>0</v>
      </c>
      <c r="AQ14" s="97">
        <v>0</v>
      </c>
      <c r="AR14" s="97"/>
      <c r="AS14" s="98"/>
      <c r="AT14" s="98"/>
      <c r="AU14" s="98"/>
      <c r="AV14" s="98"/>
      <c r="AW14" s="97">
        <v>0</v>
      </c>
      <c r="AX14" s="98"/>
      <c r="AY14" s="98"/>
      <c r="AZ14" s="98"/>
      <c r="BA14" s="98"/>
      <c r="BB14" s="865">
        <v>2E-3</v>
      </c>
      <c r="BC14" s="864"/>
      <c r="BD14" s="864"/>
      <c r="BE14" s="864"/>
      <c r="BF14" s="864"/>
      <c r="BG14" s="865">
        <v>0.03</v>
      </c>
      <c r="BH14" s="864"/>
      <c r="BI14" s="864"/>
      <c r="BJ14" s="864"/>
      <c r="BK14" s="864"/>
      <c r="BL14" s="865">
        <v>0.1</v>
      </c>
      <c r="BM14" s="864"/>
      <c r="BN14" s="864"/>
      <c r="BO14" s="864"/>
      <c r="BP14" s="864"/>
      <c r="BQ14" s="865">
        <v>0.25</v>
      </c>
      <c r="BR14" s="864"/>
      <c r="BS14" s="864"/>
      <c r="BT14" s="864"/>
      <c r="BU14" s="864"/>
      <c r="BV14" s="865">
        <v>0.35</v>
      </c>
      <c r="BW14" s="864"/>
      <c r="BX14" s="864"/>
      <c r="BY14" s="864"/>
      <c r="BZ14" s="864"/>
      <c r="CA14" s="865">
        <v>0.4</v>
      </c>
    </row>
    <row r="15" spans="1:79">
      <c r="B15" s="79"/>
      <c r="D15" s="99"/>
      <c r="E15" s="99"/>
      <c r="F15" s="99"/>
      <c r="G15" s="99"/>
      <c r="H15" s="99"/>
      <c r="I15" s="99"/>
      <c r="J15" s="99"/>
      <c r="K15" s="99"/>
      <c r="L15" s="99"/>
      <c r="M15" s="99"/>
      <c r="N15" s="99"/>
      <c r="O15" s="99"/>
      <c r="P15" s="99"/>
      <c r="Q15" s="99"/>
      <c r="R15" s="99"/>
      <c r="S15" s="99"/>
      <c r="T15" s="99"/>
      <c r="U15" s="99"/>
      <c r="V15" s="99"/>
      <c r="W15" s="99"/>
      <c r="X15" s="99"/>
      <c r="Y15" s="99"/>
      <c r="Z15" s="99"/>
      <c r="AA15" s="99"/>
      <c r="AB15" s="99"/>
      <c r="AC15" s="99"/>
      <c r="AD15" s="99"/>
      <c r="AE15" s="99"/>
      <c r="AF15" s="99"/>
      <c r="AG15" s="99"/>
      <c r="AH15" s="99"/>
      <c r="AI15" s="99"/>
      <c r="AJ15" s="99"/>
      <c r="AK15" s="99"/>
      <c r="AL15" s="99"/>
      <c r="AM15" s="99"/>
      <c r="AN15" s="99"/>
      <c r="AO15" s="99"/>
      <c r="AP15" s="99"/>
      <c r="AQ15" s="99"/>
      <c r="AR15" s="99"/>
      <c r="BG15" s="868"/>
      <c r="BL15" s="868"/>
      <c r="BQ15" s="868"/>
      <c r="BV15" s="868"/>
      <c r="CA15" s="868"/>
    </row>
    <row r="16" spans="1:79">
      <c r="B16" s="79"/>
      <c r="C16" s="62" t="s">
        <v>350</v>
      </c>
      <c r="D16" s="100"/>
      <c r="E16" s="100"/>
      <c r="F16" s="100"/>
      <c r="G16" s="100"/>
      <c r="H16" s="100"/>
      <c r="I16" s="100"/>
      <c r="J16" s="100"/>
      <c r="K16" s="100"/>
      <c r="L16" s="100"/>
      <c r="M16" s="100"/>
      <c r="N16" s="100"/>
      <c r="O16" s="100"/>
      <c r="P16" s="100"/>
      <c r="Q16" s="100"/>
      <c r="R16" s="100"/>
      <c r="S16" s="100"/>
      <c r="T16" s="100"/>
      <c r="U16" s="100"/>
      <c r="V16" s="100"/>
      <c r="W16" s="100"/>
      <c r="X16" s="100"/>
      <c r="Y16" s="100"/>
      <c r="Z16" s="100"/>
      <c r="AA16" s="100"/>
      <c r="AB16" s="100"/>
      <c r="AC16" s="100"/>
      <c r="AD16" s="100"/>
      <c r="AE16" s="100"/>
      <c r="AF16" s="100"/>
      <c r="AG16" s="100"/>
      <c r="AH16" s="100"/>
      <c r="AI16" s="100"/>
      <c r="AJ16" s="100"/>
      <c r="AK16" s="100"/>
      <c r="AL16" s="100"/>
      <c r="AM16" s="100"/>
      <c r="AN16" s="100"/>
      <c r="AO16" s="100"/>
      <c r="AP16" s="100"/>
      <c r="AQ16" s="100"/>
      <c r="AR16" s="100"/>
      <c r="AS16" s="100"/>
      <c r="AT16" s="100"/>
      <c r="AU16" s="100"/>
      <c r="AV16" s="100"/>
      <c r="AW16" s="100"/>
      <c r="AX16" s="100"/>
      <c r="AY16" s="100"/>
      <c r="AZ16" s="100"/>
      <c r="BA16" s="100"/>
      <c r="BB16" s="100"/>
      <c r="BC16" s="100"/>
      <c r="BD16" s="100"/>
      <c r="BE16" s="100"/>
      <c r="BF16" s="100"/>
      <c r="BG16" s="100"/>
      <c r="BH16" s="100"/>
      <c r="BI16" s="100"/>
      <c r="BJ16" s="100"/>
      <c r="BK16" s="100"/>
      <c r="BL16" s="100"/>
      <c r="BM16" s="100"/>
      <c r="BN16" s="100"/>
      <c r="BO16" s="100"/>
      <c r="BP16" s="100"/>
      <c r="BQ16" s="100"/>
      <c r="BR16" s="100"/>
      <c r="BS16" s="100"/>
      <c r="BT16" s="100"/>
      <c r="BU16" s="100"/>
      <c r="BV16" s="100"/>
      <c r="BW16" s="100"/>
      <c r="BX16" s="100"/>
      <c r="BY16" s="100"/>
      <c r="BZ16" s="100"/>
      <c r="CA16" s="65"/>
    </row>
    <row r="17" spans="2:79">
      <c r="B17" s="79"/>
      <c r="C17" s="101" t="s">
        <v>351</v>
      </c>
      <c r="D17" s="102"/>
      <c r="E17" s="102"/>
      <c r="F17" s="102"/>
      <c r="G17" s="102"/>
      <c r="H17" s="102"/>
      <c r="I17" s="102"/>
      <c r="J17" s="102"/>
      <c r="K17" s="102"/>
      <c r="L17" s="102"/>
      <c r="M17" s="102"/>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c r="AK17" s="102"/>
      <c r="AL17" s="102"/>
      <c r="AM17" s="102"/>
      <c r="AN17" s="102"/>
      <c r="AO17" s="102"/>
      <c r="AP17" s="102"/>
      <c r="AQ17" s="102"/>
      <c r="AR17" s="102"/>
      <c r="AS17" s="103"/>
      <c r="AT17" s="103"/>
      <c r="AU17" s="103"/>
      <c r="AV17" s="103"/>
      <c r="AW17" s="91"/>
      <c r="AX17" s="91"/>
      <c r="AY17" s="91"/>
      <c r="AZ17" s="91"/>
      <c r="BA17" s="91"/>
      <c r="BB17" s="97">
        <v>0.5</v>
      </c>
      <c r="BC17" s="104"/>
      <c r="BD17" s="104"/>
      <c r="BE17" s="104"/>
      <c r="BF17" s="104"/>
      <c r="BG17" s="97">
        <v>0.5</v>
      </c>
      <c r="BH17" s="104"/>
      <c r="BI17" s="104"/>
      <c r="BJ17" s="104"/>
      <c r="BK17" s="104"/>
      <c r="BL17" s="97">
        <v>0.5</v>
      </c>
      <c r="BM17" s="104"/>
      <c r="BN17" s="104"/>
      <c r="BO17" s="104"/>
      <c r="BP17" s="104"/>
      <c r="BQ17" s="97">
        <f>BL17-5%</f>
        <v>0.45</v>
      </c>
      <c r="BR17" s="104"/>
      <c r="BS17" s="104"/>
      <c r="BT17" s="104"/>
      <c r="BU17" s="104"/>
      <c r="BV17" s="97">
        <f>BQ17-2.5%</f>
        <v>0.42499999999999999</v>
      </c>
      <c r="BW17" s="104"/>
      <c r="BX17" s="104"/>
      <c r="BY17" s="104"/>
      <c r="BZ17" s="104"/>
      <c r="CA17" s="97">
        <f>BV17-2.5%</f>
        <v>0.39999999999999997</v>
      </c>
    </row>
    <row r="18" spans="2:79">
      <c r="B18" s="79"/>
      <c r="C18" s="101" t="s">
        <v>352</v>
      </c>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2"/>
      <c r="AQ18" s="102"/>
      <c r="AR18" s="102"/>
      <c r="AS18" s="103"/>
      <c r="AT18" s="103"/>
      <c r="AU18" s="103"/>
      <c r="AV18" s="103"/>
      <c r="AW18" s="91"/>
      <c r="AX18" s="103"/>
      <c r="AY18" s="103"/>
      <c r="AZ18" s="103"/>
      <c r="BA18" s="103"/>
      <c r="BB18" s="97">
        <v>0.5</v>
      </c>
      <c r="BC18" s="104"/>
      <c r="BD18" s="104"/>
      <c r="BE18" s="104"/>
      <c r="BF18" s="104"/>
      <c r="BG18" s="97">
        <v>0.5</v>
      </c>
      <c r="BH18" s="104"/>
      <c r="BI18" s="104"/>
      <c r="BJ18" s="104"/>
      <c r="BK18" s="104"/>
      <c r="BL18" s="97">
        <v>0.5</v>
      </c>
      <c r="BM18" s="104"/>
      <c r="BN18" s="104"/>
      <c r="BO18" s="104"/>
      <c r="BP18" s="104"/>
      <c r="BQ18" s="97">
        <f>BL18-5%</f>
        <v>0.45</v>
      </c>
      <c r="BR18" s="104"/>
      <c r="BS18" s="104"/>
      <c r="BT18" s="104"/>
      <c r="BU18" s="104"/>
      <c r="BV18" s="97">
        <f>BQ18-2.5%</f>
        <v>0.42499999999999999</v>
      </c>
      <c r="BW18" s="104"/>
      <c r="BX18" s="104"/>
      <c r="BY18" s="104"/>
      <c r="BZ18" s="104"/>
      <c r="CA18" s="97">
        <f>BV18-2.5%</f>
        <v>0.39999999999999997</v>
      </c>
    </row>
    <row r="19" spans="2:79" collapsed="1">
      <c r="B19" s="79"/>
      <c r="C19" s="101" t="s">
        <v>353</v>
      </c>
      <c r="D19" s="102"/>
      <c r="E19" s="102"/>
      <c r="F19" s="102"/>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102"/>
      <c r="AP19" s="102"/>
      <c r="AQ19" s="102"/>
      <c r="AR19" s="102"/>
      <c r="AS19" s="103"/>
      <c r="AT19" s="103"/>
      <c r="AU19" s="103"/>
      <c r="AV19" s="103"/>
      <c r="AW19" s="91"/>
      <c r="AX19" s="103"/>
      <c r="AY19" s="103"/>
      <c r="AZ19" s="103"/>
      <c r="BA19" s="103"/>
      <c r="BB19" s="97">
        <f>1-BB17-BB18</f>
        <v>0</v>
      </c>
      <c r="BC19" s="97">
        <f t="shared" ref="BC19:CA19" si="10">1-BC17-BC18</f>
        <v>1</v>
      </c>
      <c r="BD19" s="97">
        <f t="shared" si="10"/>
        <v>1</v>
      </c>
      <c r="BE19" s="97">
        <f t="shared" si="10"/>
        <v>1</v>
      </c>
      <c r="BF19" s="97">
        <f t="shared" si="10"/>
        <v>1</v>
      </c>
      <c r="BG19" s="97">
        <f t="shared" si="10"/>
        <v>0</v>
      </c>
      <c r="BH19" s="97">
        <f t="shared" si="10"/>
        <v>1</v>
      </c>
      <c r="BI19" s="97">
        <f t="shared" si="10"/>
        <v>1</v>
      </c>
      <c r="BJ19" s="97">
        <f t="shared" si="10"/>
        <v>1</v>
      </c>
      <c r="BK19" s="97">
        <f t="shared" si="10"/>
        <v>1</v>
      </c>
      <c r="BL19" s="97">
        <f t="shared" si="10"/>
        <v>0</v>
      </c>
      <c r="BM19" s="97">
        <f t="shared" si="10"/>
        <v>1</v>
      </c>
      <c r="BN19" s="97">
        <f t="shared" si="10"/>
        <v>1</v>
      </c>
      <c r="BO19" s="97">
        <f t="shared" si="10"/>
        <v>1</v>
      </c>
      <c r="BP19" s="97">
        <f t="shared" si="10"/>
        <v>1</v>
      </c>
      <c r="BQ19" s="97">
        <f t="shared" si="10"/>
        <v>0.10000000000000003</v>
      </c>
      <c r="BR19" s="97">
        <f t="shared" si="10"/>
        <v>1</v>
      </c>
      <c r="BS19" s="97">
        <f t="shared" si="10"/>
        <v>1</v>
      </c>
      <c r="BT19" s="97">
        <f t="shared" si="10"/>
        <v>1</v>
      </c>
      <c r="BU19" s="97">
        <f t="shared" si="10"/>
        <v>1</v>
      </c>
      <c r="BV19" s="97">
        <f t="shared" si="10"/>
        <v>0.14999999999999997</v>
      </c>
      <c r="BW19" s="97">
        <f t="shared" si="10"/>
        <v>1</v>
      </c>
      <c r="BX19" s="97">
        <f t="shared" si="10"/>
        <v>1</v>
      </c>
      <c r="BY19" s="97">
        <f t="shared" si="10"/>
        <v>1</v>
      </c>
      <c r="BZ19" s="97">
        <f t="shared" si="10"/>
        <v>1</v>
      </c>
      <c r="CA19" s="97">
        <f t="shared" si="10"/>
        <v>0.20000000000000012</v>
      </c>
    </row>
    <row r="20" spans="2:79" hidden="1" outlineLevel="1">
      <c r="B20" s="79"/>
      <c r="C20" s="105" t="s">
        <v>354</v>
      </c>
      <c r="D20" s="106"/>
      <c r="E20" s="106"/>
      <c r="F20" s="106"/>
      <c r="G20" s="106"/>
      <c r="H20" s="106"/>
      <c r="I20" s="106"/>
      <c r="J20" s="106"/>
      <c r="K20" s="106"/>
      <c r="L20" s="106"/>
      <c r="M20" s="106"/>
      <c r="N20" s="106"/>
      <c r="O20" s="106"/>
      <c r="P20" s="106"/>
      <c r="Q20" s="106"/>
      <c r="R20" s="106"/>
      <c r="S20" s="106"/>
      <c r="T20" s="106"/>
      <c r="U20" s="106"/>
      <c r="V20" s="106"/>
      <c r="W20" s="106"/>
      <c r="X20" s="106"/>
      <c r="Y20" s="106"/>
      <c r="Z20" s="106"/>
      <c r="AA20" s="106"/>
      <c r="AB20" s="106"/>
      <c r="AC20" s="106"/>
      <c r="AD20" s="106"/>
      <c r="AE20" s="106"/>
      <c r="AF20" s="106"/>
      <c r="AG20" s="106"/>
      <c r="AH20" s="106"/>
      <c r="AI20" s="106"/>
      <c r="AJ20" s="106"/>
      <c r="AK20" s="106"/>
      <c r="AL20" s="106"/>
      <c r="AM20" s="106"/>
      <c r="AN20" s="106"/>
      <c r="AO20" s="106"/>
      <c r="AP20" s="106"/>
      <c r="AQ20" s="106"/>
      <c r="AR20" s="106"/>
      <c r="AW20" s="106">
        <f>AW$19/5</f>
        <v>0</v>
      </c>
      <c r="BB20" s="106">
        <f>BB$19/5</f>
        <v>0</v>
      </c>
      <c r="BG20" s="106">
        <f>BG$19/5</f>
        <v>0</v>
      </c>
      <c r="BL20" s="106">
        <f>BL$19/5</f>
        <v>0</v>
      </c>
      <c r="BQ20" s="106">
        <f>BQ$19/5</f>
        <v>2.0000000000000007E-2</v>
      </c>
      <c r="BV20" s="106">
        <f>BV$19/5</f>
        <v>2.9999999999999992E-2</v>
      </c>
      <c r="CA20" s="106">
        <f>CA$19/5</f>
        <v>4.0000000000000022E-2</v>
      </c>
    </row>
    <row r="21" spans="2:79" hidden="1" outlineLevel="1">
      <c r="B21" s="79"/>
      <c r="C21" s="105" t="s">
        <v>355</v>
      </c>
      <c r="D21" s="106"/>
      <c r="E21" s="106"/>
      <c r="F21" s="106"/>
      <c r="G21" s="106"/>
      <c r="H21" s="106"/>
      <c r="I21" s="106"/>
      <c r="J21" s="106"/>
      <c r="K21" s="106"/>
      <c r="L21" s="106"/>
      <c r="M21" s="106"/>
      <c r="N21" s="106"/>
      <c r="O21" s="106"/>
      <c r="P21" s="106"/>
      <c r="Q21" s="106"/>
      <c r="R21" s="106"/>
      <c r="S21" s="106"/>
      <c r="T21" s="106"/>
      <c r="U21" s="106"/>
      <c r="V21" s="106"/>
      <c r="W21" s="106"/>
      <c r="X21" s="106"/>
      <c r="Y21" s="106"/>
      <c r="Z21" s="106"/>
      <c r="AA21" s="106"/>
      <c r="AB21" s="106"/>
      <c r="AC21" s="106"/>
      <c r="AD21" s="106"/>
      <c r="AE21" s="106"/>
      <c r="AF21" s="106"/>
      <c r="AG21" s="106"/>
      <c r="AH21" s="106"/>
      <c r="AI21" s="106"/>
      <c r="AJ21" s="106"/>
      <c r="AK21" s="106"/>
      <c r="AL21" s="106"/>
      <c r="AM21" s="106"/>
      <c r="AN21" s="106"/>
      <c r="AO21" s="106"/>
      <c r="AP21" s="106"/>
      <c r="AQ21" s="106"/>
      <c r="AR21" s="106"/>
      <c r="AW21" s="106">
        <f>AW$19/5</f>
        <v>0</v>
      </c>
      <c r="BB21" s="106">
        <f>BB$19/5</f>
        <v>0</v>
      </c>
      <c r="BG21" s="106">
        <f>BG$19/5</f>
        <v>0</v>
      </c>
      <c r="BL21" s="106">
        <f>BL$19/5</f>
        <v>0</v>
      </c>
      <c r="BQ21" s="106">
        <f>BQ$19/5</f>
        <v>2.0000000000000007E-2</v>
      </c>
      <c r="BV21" s="106">
        <f>BV$19/5</f>
        <v>2.9999999999999992E-2</v>
      </c>
      <c r="CA21" s="106">
        <f>CA$19/5</f>
        <v>4.0000000000000022E-2</v>
      </c>
    </row>
    <row r="22" spans="2:79" hidden="1" outlineLevel="1">
      <c r="B22" s="79"/>
      <c r="C22" s="105" t="s">
        <v>356</v>
      </c>
      <c r="D22" s="106"/>
      <c r="E22" s="106"/>
      <c r="F22" s="106"/>
      <c r="G22" s="106"/>
      <c r="H22" s="106"/>
      <c r="I22" s="106"/>
      <c r="J22" s="106"/>
      <c r="K22" s="106"/>
      <c r="L22" s="106"/>
      <c r="M22" s="106"/>
      <c r="N22" s="106"/>
      <c r="O22" s="106"/>
      <c r="P22" s="106"/>
      <c r="Q22" s="106"/>
      <c r="R22" s="106"/>
      <c r="S22" s="106"/>
      <c r="T22" s="106"/>
      <c r="U22" s="106"/>
      <c r="V22" s="106"/>
      <c r="W22" s="106"/>
      <c r="X22" s="106"/>
      <c r="Y22" s="106"/>
      <c r="Z22" s="106"/>
      <c r="AA22" s="106"/>
      <c r="AB22" s="106"/>
      <c r="AC22" s="106"/>
      <c r="AD22" s="106"/>
      <c r="AE22" s="106"/>
      <c r="AF22" s="106"/>
      <c r="AG22" s="106"/>
      <c r="AH22" s="106"/>
      <c r="AI22" s="106"/>
      <c r="AJ22" s="106"/>
      <c r="AK22" s="106"/>
      <c r="AL22" s="106"/>
      <c r="AM22" s="106"/>
      <c r="AN22" s="106"/>
      <c r="AO22" s="106"/>
      <c r="AP22" s="106"/>
      <c r="AQ22" s="106"/>
      <c r="AR22" s="106"/>
      <c r="AW22" s="106">
        <f>AW$19/5</f>
        <v>0</v>
      </c>
      <c r="BB22" s="106">
        <f>BB$19/5</f>
        <v>0</v>
      </c>
      <c r="BG22" s="106">
        <f>BG$19/5</f>
        <v>0</v>
      </c>
      <c r="BL22" s="106">
        <f>BL$19/5</f>
        <v>0</v>
      </c>
      <c r="BQ22" s="106">
        <f>BQ$19/5</f>
        <v>2.0000000000000007E-2</v>
      </c>
      <c r="BV22" s="106">
        <f>BV$19/5</f>
        <v>2.9999999999999992E-2</v>
      </c>
      <c r="CA22" s="106">
        <f>CA$19/5</f>
        <v>4.0000000000000022E-2</v>
      </c>
    </row>
    <row r="23" spans="2:79" hidden="1" outlineLevel="1">
      <c r="B23" s="79"/>
      <c r="C23" s="105" t="s">
        <v>357</v>
      </c>
      <c r="D23" s="106"/>
      <c r="E23" s="106"/>
      <c r="F23" s="106"/>
      <c r="G23" s="106"/>
      <c r="H23" s="106"/>
      <c r="I23" s="106"/>
      <c r="J23" s="106"/>
      <c r="K23" s="106"/>
      <c r="L23" s="106"/>
      <c r="M23" s="106"/>
      <c r="N23" s="106"/>
      <c r="O23" s="106"/>
      <c r="P23" s="106"/>
      <c r="Q23" s="106"/>
      <c r="R23" s="106"/>
      <c r="S23" s="106"/>
      <c r="T23" s="106"/>
      <c r="U23" s="106"/>
      <c r="V23" s="106"/>
      <c r="W23" s="106"/>
      <c r="X23" s="106"/>
      <c r="Y23" s="106"/>
      <c r="Z23" s="106"/>
      <c r="AA23" s="106"/>
      <c r="AB23" s="106"/>
      <c r="AC23" s="106"/>
      <c r="AD23" s="106"/>
      <c r="AE23" s="106"/>
      <c r="AF23" s="106"/>
      <c r="AG23" s="106"/>
      <c r="AH23" s="106"/>
      <c r="AI23" s="106"/>
      <c r="AJ23" s="106"/>
      <c r="AK23" s="106"/>
      <c r="AL23" s="106"/>
      <c r="AM23" s="106"/>
      <c r="AN23" s="106"/>
      <c r="AO23" s="106"/>
      <c r="AP23" s="106"/>
      <c r="AQ23" s="106"/>
      <c r="AR23" s="106"/>
      <c r="AW23" s="106">
        <f>AW$19/5</f>
        <v>0</v>
      </c>
      <c r="BB23" s="106">
        <f>BB$19/5</f>
        <v>0</v>
      </c>
      <c r="BG23" s="106">
        <f>BG$19/5</f>
        <v>0</v>
      </c>
      <c r="BL23" s="106">
        <f>BL$19/5</f>
        <v>0</v>
      </c>
      <c r="BQ23" s="106">
        <f>BQ$19/5</f>
        <v>2.0000000000000007E-2</v>
      </c>
      <c r="BV23" s="106">
        <f>BV$19/5</f>
        <v>2.9999999999999992E-2</v>
      </c>
      <c r="CA23" s="106">
        <f>CA$19/5</f>
        <v>4.0000000000000022E-2</v>
      </c>
    </row>
    <row r="24" spans="2:79" hidden="1" outlineLevel="1">
      <c r="B24" s="79"/>
      <c r="C24" s="105" t="s">
        <v>358</v>
      </c>
      <c r="D24" s="106"/>
      <c r="E24" s="106"/>
      <c r="F24" s="106"/>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c r="AD24" s="106"/>
      <c r="AE24" s="106"/>
      <c r="AF24" s="106"/>
      <c r="AG24" s="106"/>
      <c r="AH24" s="106"/>
      <c r="AI24" s="106"/>
      <c r="AJ24" s="106"/>
      <c r="AK24" s="106"/>
      <c r="AL24" s="106"/>
      <c r="AM24" s="106"/>
      <c r="AN24" s="106"/>
      <c r="AO24" s="106"/>
      <c r="AP24" s="106"/>
      <c r="AQ24" s="106"/>
      <c r="AR24" s="106"/>
      <c r="AW24" s="106">
        <f>AW$19/5</f>
        <v>0</v>
      </c>
      <c r="BB24" s="106">
        <f>BB$19/5</f>
        <v>0</v>
      </c>
      <c r="BG24" s="106">
        <f>BG$19/5</f>
        <v>0</v>
      </c>
      <c r="BL24" s="106">
        <f>BL$19/5</f>
        <v>0</v>
      </c>
      <c r="BQ24" s="106">
        <f>BQ$19/5</f>
        <v>2.0000000000000007E-2</v>
      </c>
      <c r="BV24" s="106">
        <f>BV$19/5</f>
        <v>2.9999999999999992E-2</v>
      </c>
      <c r="CA24" s="106">
        <f>CA$19/5</f>
        <v>4.0000000000000022E-2</v>
      </c>
    </row>
    <row r="25" spans="2:79">
      <c r="B25" s="79"/>
      <c r="C25" s="105"/>
      <c r="D25" s="106"/>
      <c r="E25" s="106"/>
      <c r="F25" s="106"/>
      <c r="G25" s="106"/>
      <c r="H25" s="106"/>
      <c r="I25" s="106"/>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c r="AI25" s="106"/>
      <c r="AJ25" s="106"/>
      <c r="AK25" s="106"/>
      <c r="AL25" s="106"/>
      <c r="AM25" s="106"/>
      <c r="AN25" s="106"/>
      <c r="AO25" s="106"/>
      <c r="AP25" s="106"/>
      <c r="AQ25" s="106"/>
      <c r="AR25" s="106"/>
      <c r="CA25" s="61"/>
    </row>
    <row r="26" spans="2:79">
      <c r="B26" s="79"/>
      <c r="C26" s="62" t="s">
        <v>359</v>
      </c>
      <c r="D26" s="107"/>
      <c r="E26" s="107"/>
      <c r="F26" s="107"/>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c r="AD26" s="107"/>
      <c r="AE26" s="107"/>
      <c r="AF26" s="107"/>
      <c r="AG26" s="107"/>
      <c r="AH26" s="107"/>
      <c r="AI26" s="107"/>
      <c r="AJ26" s="107"/>
      <c r="AK26" s="107"/>
      <c r="AL26" s="107"/>
      <c r="AM26" s="107"/>
      <c r="AN26" s="107"/>
      <c r="AO26" s="107"/>
      <c r="AP26" s="107"/>
      <c r="AQ26" s="107"/>
      <c r="AR26" s="107"/>
      <c r="AS26" s="100"/>
      <c r="AT26" s="100"/>
      <c r="AU26" s="100"/>
      <c r="AV26" s="100"/>
      <c r="AW26" s="100"/>
      <c r="AX26" s="100"/>
      <c r="AY26" s="100"/>
      <c r="AZ26" s="100"/>
      <c r="BA26" s="100"/>
      <c r="BB26" s="100"/>
      <c r="BC26" s="100"/>
      <c r="BD26" s="100"/>
      <c r="BE26" s="100"/>
      <c r="BF26" s="100"/>
      <c r="BG26" s="100"/>
      <c r="BH26" s="100"/>
      <c r="BI26" s="100"/>
      <c r="BJ26" s="100"/>
      <c r="BK26" s="100"/>
      <c r="BL26" s="100"/>
      <c r="BM26" s="100"/>
      <c r="BN26" s="100"/>
      <c r="BO26" s="100"/>
      <c r="BP26" s="100"/>
      <c r="BQ26" s="100"/>
      <c r="BR26" s="100"/>
      <c r="BS26" s="100"/>
      <c r="BT26" s="100"/>
      <c r="BU26" s="100"/>
      <c r="BV26" s="100"/>
      <c r="BW26" s="100"/>
      <c r="BX26" s="100"/>
      <c r="BY26" s="100"/>
      <c r="BZ26" s="100"/>
      <c r="CA26" s="65"/>
    </row>
    <row r="27" spans="2:79">
      <c r="B27" s="79"/>
      <c r="C27" s="101" t="s">
        <v>351</v>
      </c>
      <c r="D27" s="81"/>
      <c r="E27" s="81"/>
      <c r="F27" s="81"/>
      <c r="G27" s="81"/>
      <c r="H27" s="81"/>
      <c r="I27" s="81"/>
      <c r="J27" s="81"/>
      <c r="K27" s="81"/>
      <c r="L27" s="81"/>
      <c r="M27" s="81"/>
      <c r="N27" s="81"/>
      <c r="O27" s="81"/>
      <c r="P27" s="81"/>
      <c r="Q27" s="81"/>
      <c r="R27" s="81"/>
      <c r="S27" s="81"/>
      <c r="T27" s="81"/>
      <c r="U27" s="81"/>
      <c r="V27" s="81"/>
      <c r="W27" s="81"/>
      <c r="X27" s="81"/>
      <c r="Y27" s="81"/>
      <c r="Z27" s="81"/>
      <c r="AA27" s="81"/>
      <c r="AB27" s="81"/>
      <c r="AC27" s="81"/>
      <c r="AD27" s="81"/>
      <c r="AE27" s="81"/>
      <c r="AF27" s="81"/>
      <c r="AG27" s="81"/>
      <c r="AH27" s="81"/>
      <c r="AI27" s="81"/>
      <c r="AJ27" s="81"/>
      <c r="AK27" s="81"/>
      <c r="AL27" s="81"/>
      <c r="AM27" s="81"/>
      <c r="AN27" s="81"/>
      <c r="AO27" s="81"/>
      <c r="AP27" s="81"/>
      <c r="AQ27" s="81"/>
      <c r="AR27" s="81"/>
      <c r="BB27" s="108">
        <f t="shared" ref="BB27:BB34" si="11">BB17*BB$13</f>
        <v>0.63176414837934158</v>
      </c>
      <c r="BC27" s="108"/>
      <c r="BD27" s="108"/>
      <c r="BE27" s="108"/>
      <c r="BF27" s="108"/>
      <c r="BG27" s="108">
        <f t="shared" ref="BG27:BG34" si="12">BG17*BG$13</f>
        <v>9.9588806777425756</v>
      </c>
      <c r="BH27" s="108"/>
      <c r="BI27" s="108"/>
      <c r="BJ27" s="108"/>
      <c r="BK27" s="108"/>
      <c r="BL27" s="108">
        <f t="shared" ref="BL27:BL34" si="13">BL17*BL$13</f>
        <v>34.886192051940107</v>
      </c>
      <c r="BM27" s="108"/>
      <c r="BN27" s="108"/>
      <c r="BO27" s="108"/>
      <c r="BP27" s="108"/>
      <c r="BQ27" s="108">
        <f t="shared" ref="BQ27:BQ34" si="14">BQ17*BQ$13</f>
        <v>82.48982428901715</v>
      </c>
      <c r="BR27" s="108"/>
      <c r="BS27" s="108"/>
      <c r="BT27" s="108"/>
      <c r="BU27" s="108"/>
      <c r="BV27" s="108">
        <f t="shared" ref="BV27:BV34" si="15">BV17*BV$13</f>
        <v>114.6223012827051</v>
      </c>
      <c r="BW27" s="108"/>
      <c r="BX27" s="108"/>
      <c r="BY27" s="108"/>
      <c r="BZ27" s="108"/>
      <c r="CA27" s="108">
        <f t="shared" ref="CA27:CA34" si="16">CA17*CA$13</f>
        <v>129.56760316401994</v>
      </c>
    </row>
    <row r="28" spans="2:79">
      <c r="B28" s="79"/>
      <c r="C28" s="101" t="s">
        <v>352</v>
      </c>
      <c r="D28" s="81"/>
      <c r="E28" s="81"/>
      <c r="F28" s="81"/>
      <c r="G28" s="81"/>
      <c r="H28" s="81"/>
      <c r="I28" s="81"/>
      <c r="J28" s="81"/>
      <c r="K28" s="81"/>
      <c r="L28" s="81"/>
      <c r="M28" s="81"/>
      <c r="N28" s="81"/>
      <c r="O28" s="81"/>
      <c r="P28" s="81"/>
      <c r="Q28" s="81"/>
      <c r="R28" s="81"/>
      <c r="S28" s="81"/>
      <c r="T28" s="81"/>
      <c r="U28" s="81"/>
      <c r="V28" s="81"/>
      <c r="W28" s="81"/>
      <c r="X28" s="81"/>
      <c r="Y28" s="81"/>
      <c r="Z28" s="81"/>
      <c r="AA28" s="81"/>
      <c r="AB28" s="81"/>
      <c r="AC28" s="81"/>
      <c r="AD28" s="81"/>
      <c r="AE28" s="81"/>
      <c r="AF28" s="81"/>
      <c r="AG28" s="81"/>
      <c r="AH28" s="81"/>
      <c r="AI28" s="81"/>
      <c r="AJ28" s="81"/>
      <c r="AK28" s="81"/>
      <c r="AL28" s="81"/>
      <c r="AM28" s="81"/>
      <c r="AN28" s="81"/>
      <c r="AO28" s="81"/>
      <c r="AP28" s="81"/>
      <c r="AQ28" s="81"/>
      <c r="AR28" s="81"/>
      <c r="BB28" s="108">
        <f t="shared" si="11"/>
        <v>0.63176414837934158</v>
      </c>
      <c r="BC28" s="108"/>
      <c r="BD28" s="108"/>
      <c r="BE28" s="108"/>
      <c r="BF28" s="108"/>
      <c r="BG28" s="108">
        <f t="shared" si="12"/>
        <v>9.9588806777425756</v>
      </c>
      <c r="BH28" s="108"/>
      <c r="BI28" s="108"/>
      <c r="BJ28" s="108"/>
      <c r="BK28" s="108"/>
      <c r="BL28" s="108">
        <f t="shared" si="13"/>
        <v>34.886192051940107</v>
      </c>
      <c r="BM28" s="108"/>
      <c r="BN28" s="108"/>
      <c r="BO28" s="108"/>
      <c r="BP28" s="108"/>
      <c r="BQ28" s="108">
        <f t="shared" si="14"/>
        <v>82.48982428901715</v>
      </c>
      <c r="BR28" s="108"/>
      <c r="BS28" s="108"/>
      <c r="BT28" s="108"/>
      <c r="BU28" s="108"/>
      <c r="BV28" s="108">
        <f t="shared" si="15"/>
        <v>114.6223012827051</v>
      </c>
      <c r="BW28" s="108"/>
      <c r="BX28" s="108"/>
      <c r="BY28" s="108"/>
      <c r="BZ28" s="108"/>
      <c r="CA28" s="108">
        <f t="shared" si="16"/>
        <v>129.56760316401994</v>
      </c>
    </row>
    <row r="29" spans="2:79" collapsed="1">
      <c r="B29" s="79"/>
      <c r="C29" s="101" t="s">
        <v>353</v>
      </c>
      <c r="D29" s="81"/>
      <c r="E29" s="81"/>
      <c r="F29" s="81"/>
      <c r="G29" s="81"/>
      <c r="H29" s="81"/>
      <c r="I29" s="81"/>
      <c r="J29" s="81"/>
      <c r="K29" s="81"/>
      <c r="L29" s="81"/>
      <c r="M29" s="81"/>
      <c r="N29" s="81"/>
      <c r="O29" s="81"/>
      <c r="P29" s="81"/>
      <c r="Q29" s="81"/>
      <c r="R29" s="81"/>
      <c r="S29" s="81"/>
      <c r="T29" s="81"/>
      <c r="U29" s="81"/>
      <c r="V29" s="81"/>
      <c r="W29" s="81"/>
      <c r="X29" s="81"/>
      <c r="Y29" s="81"/>
      <c r="Z29" s="81"/>
      <c r="AA29" s="81"/>
      <c r="AB29" s="81"/>
      <c r="AC29" s="81"/>
      <c r="AD29" s="81"/>
      <c r="AE29" s="81"/>
      <c r="AF29" s="81"/>
      <c r="AG29" s="81"/>
      <c r="AH29" s="81"/>
      <c r="AI29" s="81"/>
      <c r="AJ29" s="81"/>
      <c r="AK29" s="81"/>
      <c r="AL29" s="81"/>
      <c r="AM29" s="81"/>
      <c r="AN29" s="81"/>
      <c r="AO29" s="81"/>
      <c r="AP29" s="81"/>
      <c r="AQ29" s="81"/>
      <c r="AR29" s="81"/>
      <c r="BB29" s="108">
        <f t="shared" si="11"/>
        <v>0</v>
      </c>
      <c r="BC29" s="108"/>
      <c r="BD29" s="108"/>
      <c r="BE29" s="108"/>
      <c r="BF29" s="108"/>
      <c r="BG29" s="108">
        <f t="shared" si="12"/>
        <v>0</v>
      </c>
      <c r="BH29" s="108"/>
      <c r="BI29" s="108"/>
      <c r="BJ29" s="108"/>
      <c r="BK29" s="108"/>
      <c r="BL29" s="108">
        <f t="shared" si="13"/>
        <v>0</v>
      </c>
      <c r="BM29" s="108"/>
      <c r="BN29" s="108"/>
      <c r="BO29" s="108"/>
      <c r="BP29" s="108"/>
      <c r="BQ29" s="108">
        <f t="shared" si="14"/>
        <v>18.331072064226039</v>
      </c>
      <c r="BR29" s="108"/>
      <c r="BS29" s="108"/>
      <c r="BT29" s="108"/>
      <c r="BU29" s="108"/>
      <c r="BV29" s="108">
        <f t="shared" si="15"/>
        <v>40.454929864484143</v>
      </c>
      <c r="BW29" s="108"/>
      <c r="BX29" s="108"/>
      <c r="BY29" s="108"/>
      <c r="BZ29" s="108"/>
      <c r="CA29" s="108">
        <f t="shared" si="16"/>
        <v>64.783801582010028</v>
      </c>
    </row>
    <row r="30" spans="2:79" hidden="1" outlineLevel="1">
      <c r="B30" s="79"/>
      <c r="C30" s="105" t="s">
        <v>354</v>
      </c>
      <c r="D30" s="81"/>
      <c r="E30" s="81"/>
      <c r="F30" s="81"/>
      <c r="G30" s="81"/>
      <c r="H30" s="81"/>
      <c r="I30" s="81"/>
      <c r="J30" s="81"/>
      <c r="K30" s="81"/>
      <c r="L30" s="81"/>
      <c r="M30" s="81"/>
      <c r="N30" s="81"/>
      <c r="O30" s="81"/>
      <c r="P30" s="81"/>
      <c r="Q30" s="81"/>
      <c r="R30" s="81"/>
      <c r="S30" s="81"/>
      <c r="T30" s="81"/>
      <c r="U30" s="81"/>
      <c r="V30" s="81"/>
      <c r="W30" s="81"/>
      <c r="X30" s="81"/>
      <c r="Y30" s="81"/>
      <c r="Z30" s="81"/>
      <c r="AA30" s="81"/>
      <c r="AB30" s="81"/>
      <c r="AC30" s="81"/>
      <c r="AD30" s="81"/>
      <c r="AE30" s="81"/>
      <c r="AF30" s="81"/>
      <c r="AG30" s="81"/>
      <c r="AH30" s="81"/>
      <c r="AI30" s="81"/>
      <c r="AJ30" s="81"/>
      <c r="AK30" s="81"/>
      <c r="AL30" s="81"/>
      <c r="AM30" s="81"/>
      <c r="AN30" s="81"/>
      <c r="AO30" s="81"/>
      <c r="AP30" s="81"/>
      <c r="AQ30" s="81"/>
      <c r="AR30" s="81"/>
      <c r="BB30" s="108">
        <f t="shared" si="11"/>
        <v>0</v>
      </c>
      <c r="BC30" s="108"/>
      <c r="BD30" s="108"/>
      <c r="BE30" s="108"/>
      <c r="BF30" s="108"/>
      <c r="BG30" s="108">
        <f t="shared" si="12"/>
        <v>0</v>
      </c>
      <c r="BH30" s="108"/>
      <c r="BI30" s="108"/>
      <c r="BJ30" s="108"/>
      <c r="BK30" s="108"/>
      <c r="BL30" s="108">
        <f t="shared" si="13"/>
        <v>0</v>
      </c>
      <c r="BM30" s="108"/>
      <c r="BN30" s="108"/>
      <c r="BO30" s="108"/>
      <c r="BP30" s="108"/>
      <c r="BQ30" s="108">
        <f t="shared" si="14"/>
        <v>3.6662144128452079</v>
      </c>
      <c r="BR30" s="108"/>
      <c r="BS30" s="108"/>
      <c r="BT30" s="108"/>
      <c r="BU30" s="108"/>
      <c r="BV30" s="108">
        <f t="shared" si="15"/>
        <v>8.0909859728968279</v>
      </c>
      <c r="BW30" s="108"/>
      <c r="BX30" s="108"/>
      <c r="BY30" s="108"/>
      <c r="BZ30" s="108"/>
      <c r="CA30" s="108">
        <f t="shared" si="16"/>
        <v>12.956760316402004</v>
      </c>
    </row>
    <row r="31" spans="2:79" hidden="1" outlineLevel="1">
      <c r="B31" s="79"/>
      <c r="C31" s="105" t="s">
        <v>355</v>
      </c>
      <c r="D31" s="81"/>
      <c r="E31" s="81"/>
      <c r="F31" s="81"/>
      <c r="G31" s="81"/>
      <c r="H31" s="81"/>
      <c r="I31" s="81"/>
      <c r="J31" s="81"/>
      <c r="K31" s="81"/>
      <c r="L31" s="81"/>
      <c r="M31" s="81"/>
      <c r="N31" s="81"/>
      <c r="O31" s="81"/>
      <c r="P31" s="81"/>
      <c r="Q31" s="81"/>
      <c r="R31" s="81"/>
      <c r="S31" s="81"/>
      <c r="T31" s="81"/>
      <c r="U31" s="81"/>
      <c r="V31" s="81"/>
      <c r="W31" s="81"/>
      <c r="X31" s="81"/>
      <c r="Y31" s="81"/>
      <c r="Z31" s="81"/>
      <c r="AA31" s="81"/>
      <c r="AB31" s="81"/>
      <c r="AC31" s="81"/>
      <c r="AD31" s="81"/>
      <c r="AE31" s="81"/>
      <c r="AF31" s="81"/>
      <c r="AG31" s="81"/>
      <c r="AH31" s="81"/>
      <c r="AI31" s="81"/>
      <c r="AJ31" s="81"/>
      <c r="AK31" s="81"/>
      <c r="AL31" s="81"/>
      <c r="AM31" s="81"/>
      <c r="AN31" s="81"/>
      <c r="AO31" s="81"/>
      <c r="AP31" s="81"/>
      <c r="AQ31" s="81"/>
      <c r="AR31" s="81"/>
      <c r="BB31" s="108">
        <f t="shared" si="11"/>
        <v>0</v>
      </c>
      <c r="BC31" s="108"/>
      <c r="BD31" s="108"/>
      <c r="BE31" s="108"/>
      <c r="BF31" s="108"/>
      <c r="BG31" s="108">
        <f t="shared" si="12"/>
        <v>0</v>
      </c>
      <c r="BH31" s="108"/>
      <c r="BI31" s="108"/>
      <c r="BJ31" s="108"/>
      <c r="BK31" s="108"/>
      <c r="BL31" s="108">
        <f t="shared" si="13"/>
        <v>0</v>
      </c>
      <c r="BM31" s="108"/>
      <c r="BN31" s="108"/>
      <c r="BO31" s="108"/>
      <c r="BP31" s="108"/>
      <c r="BQ31" s="108">
        <f t="shared" si="14"/>
        <v>3.6662144128452079</v>
      </c>
      <c r="BR31" s="108"/>
      <c r="BS31" s="108"/>
      <c r="BT31" s="108"/>
      <c r="BU31" s="108"/>
      <c r="BV31" s="108">
        <f t="shared" si="15"/>
        <v>8.0909859728968279</v>
      </c>
      <c r="BW31" s="108"/>
      <c r="BX31" s="108"/>
      <c r="BY31" s="108"/>
      <c r="BZ31" s="108"/>
      <c r="CA31" s="108">
        <f t="shared" si="16"/>
        <v>12.956760316402004</v>
      </c>
    </row>
    <row r="32" spans="2:79" hidden="1" outlineLevel="1">
      <c r="B32" s="79"/>
      <c r="C32" s="105" t="s">
        <v>356</v>
      </c>
      <c r="D32" s="81"/>
      <c r="E32" s="81"/>
      <c r="F32" s="81"/>
      <c r="G32" s="81"/>
      <c r="H32" s="81"/>
      <c r="I32" s="81"/>
      <c r="J32" s="81"/>
      <c r="K32" s="81"/>
      <c r="L32" s="81"/>
      <c r="M32" s="81"/>
      <c r="N32" s="81"/>
      <c r="O32" s="81"/>
      <c r="P32" s="81"/>
      <c r="Q32" s="81"/>
      <c r="R32" s="81"/>
      <c r="S32" s="81"/>
      <c r="T32" s="81"/>
      <c r="U32" s="81"/>
      <c r="V32" s="81"/>
      <c r="W32" s="81"/>
      <c r="X32" s="81"/>
      <c r="Y32" s="81"/>
      <c r="Z32" s="81"/>
      <c r="AA32" s="81"/>
      <c r="AB32" s="81"/>
      <c r="AC32" s="81"/>
      <c r="AD32" s="81"/>
      <c r="AE32" s="81"/>
      <c r="AF32" s="81"/>
      <c r="AG32" s="81"/>
      <c r="AH32" s="81"/>
      <c r="AI32" s="81"/>
      <c r="AJ32" s="81"/>
      <c r="AK32" s="81"/>
      <c r="AL32" s="81"/>
      <c r="AM32" s="81"/>
      <c r="AN32" s="81"/>
      <c r="AO32" s="81"/>
      <c r="AP32" s="81"/>
      <c r="AQ32" s="81"/>
      <c r="AR32" s="81"/>
      <c r="BB32" s="108">
        <f t="shared" si="11"/>
        <v>0</v>
      </c>
      <c r="BC32" s="108"/>
      <c r="BD32" s="108"/>
      <c r="BE32" s="108"/>
      <c r="BF32" s="108"/>
      <c r="BG32" s="108">
        <f t="shared" si="12"/>
        <v>0</v>
      </c>
      <c r="BH32" s="108"/>
      <c r="BI32" s="108"/>
      <c r="BJ32" s="108"/>
      <c r="BK32" s="108"/>
      <c r="BL32" s="108">
        <f t="shared" si="13"/>
        <v>0</v>
      </c>
      <c r="BM32" s="108"/>
      <c r="BN32" s="108"/>
      <c r="BO32" s="108"/>
      <c r="BP32" s="108"/>
      <c r="BQ32" s="108">
        <f t="shared" si="14"/>
        <v>3.6662144128452079</v>
      </c>
      <c r="BR32" s="108"/>
      <c r="BS32" s="108"/>
      <c r="BT32" s="108"/>
      <c r="BU32" s="108"/>
      <c r="BV32" s="108">
        <f t="shared" si="15"/>
        <v>8.0909859728968279</v>
      </c>
      <c r="BW32" s="108"/>
      <c r="BX32" s="108"/>
      <c r="BY32" s="108"/>
      <c r="BZ32" s="108"/>
      <c r="CA32" s="108">
        <f t="shared" si="16"/>
        <v>12.956760316402004</v>
      </c>
    </row>
    <row r="33" spans="1:80" hidden="1" outlineLevel="1">
      <c r="B33" s="79"/>
      <c r="C33" s="105" t="s">
        <v>357</v>
      </c>
      <c r="D33" s="81"/>
      <c r="E33" s="81"/>
      <c r="F33" s="81"/>
      <c r="G33" s="81"/>
      <c r="H33" s="81"/>
      <c r="I33" s="81"/>
      <c r="J33" s="81"/>
      <c r="K33" s="81"/>
      <c r="L33" s="81"/>
      <c r="M33" s="81"/>
      <c r="N33" s="81"/>
      <c r="O33" s="81"/>
      <c r="P33" s="81"/>
      <c r="Q33" s="81"/>
      <c r="R33" s="81"/>
      <c r="S33" s="81"/>
      <c r="T33" s="81"/>
      <c r="U33" s="81"/>
      <c r="V33" s="81"/>
      <c r="W33" s="81"/>
      <c r="X33" s="81"/>
      <c r="Y33" s="81"/>
      <c r="Z33" s="81"/>
      <c r="AA33" s="81"/>
      <c r="AB33" s="81"/>
      <c r="AC33" s="81"/>
      <c r="AD33" s="81"/>
      <c r="AE33" s="81"/>
      <c r="AF33" s="81"/>
      <c r="AG33" s="81"/>
      <c r="AH33" s="81"/>
      <c r="AI33" s="81"/>
      <c r="AJ33" s="81"/>
      <c r="AK33" s="81"/>
      <c r="AL33" s="81"/>
      <c r="AM33" s="81"/>
      <c r="AN33" s="81"/>
      <c r="AO33" s="81"/>
      <c r="AP33" s="81"/>
      <c r="AQ33" s="81"/>
      <c r="AR33" s="81"/>
      <c r="BB33" s="108">
        <f t="shared" si="11"/>
        <v>0</v>
      </c>
      <c r="BC33" s="108"/>
      <c r="BD33" s="108"/>
      <c r="BE33" s="108"/>
      <c r="BF33" s="108"/>
      <c r="BG33" s="108">
        <f t="shared" si="12"/>
        <v>0</v>
      </c>
      <c r="BH33" s="108"/>
      <c r="BI33" s="108"/>
      <c r="BJ33" s="108"/>
      <c r="BK33" s="108"/>
      <c r="BL33" s="108">
        <f t="shared" si="13"/>
        <v>0</v>
      </c>
      <c r="BM33" s="108"/>
      <c r="BN33" s="108"/>
      <c r="BO33" s="108"/>
      <c r="BP33" s="108"/>
      <c r="BQ33" s="108">
        <f t="shared" si="14"/>
        <v>3.6662144128452079</v>
      </c>
      <c r="BR33" s="108"/>
      <c r="BS33" s="108"/>
      <c r="BT33" s="108"/>
      <c r="BU33" s="108"/>
      <c r="BV33" s="108">
        <f t="shared" si="15"/>
        <v>8.0909859728968279</v>
      </c>
      <c r="BW33" s="108"/>
      <c r="BX33" s="108"/>
      <c r="BY33" s="108"/>
      <c r="BZ33" s="108"/>
      <c r="CA33" s="108">
        <f t="shared" si="16"/>
        <v>12.956760316402004</v>
      </c>
    </row>
    <row r="34" spans="1:80" hidden="1" outlineLevel="1">
      <c r="B34" s="79"/>
      <c r="C34" s="105" t="s">
        <v>358</v>
      </c>
      <c r="D34" s="81"/>
      <c r="E34" s="81"/>
      <c r="F34" s="81"/>
      <c r="G34" s="81"/>
      <c r="H34" s="81"/>
      <c r="I34" s="81"/>
      <c r="J34" s="81"/>
      <c r="K34" s="81"/>
      <c r="L34" s="81"/>
      <c r="M34" s="81"/>
      <c r="N34" s="81"/>
      <c r="O34" s="81"/>
      <c r="P34" s="81"/>
      <c r="Q34" s="81"/>
      <c r="R34" s="81"/>
      <c r="S34" s="81"/>
      <c r="T34" s="81"/>
      <c r="U34" s="81"/>
      <c r="V34" s="81"/>
      <c r="W34" s="81"/>
      <c r="X34" s="81"/>
      <c r="Y34" s="81"/>
      <c r="Z34" s="81"/>
      <c r="AA34" s="81"/>
      <c r="AB34" s="81"/>
      <c r="AC34" s="81"/>
      <c r="AD34" s="81"/>
      <c r="AE34" s="81"/>
      <c r="AF34" s="81"/>
      <c r="AG34" s="81"/>
      <c r="AH34" s="81"/>
      <c r="AI34" s="81"/>
      <c r="AJ34" s="81"/>
      <c r="AK34" s="81"/>
      <c r="AL34" s="81"/>
      <c r="AM34" s="81"/>
      <c r="AN34" s="81"/>
      <c r="AO34" s="81"/>
      <c r="AP34" s="81"/>
      <c r="AQ34" s="81"/>
      <c r="AR34" s="81"/>
      <c r="BB34" s="108">
        <f t="shared" si="11"/>
        <v>0</v>
      </c>
      <c r="BC34" s="108"/>
      <c r="BD34" s="108"/>
      <c r="BE34" s="108"/>
      <c r="BF34" s="108"/>
      <c r="BG34" s="108">
        <f t="shared" si="12"/>
        <v>0</v>
      </c>
      <c r="BH34" s="108"/>
      <c r="BI34" s="108"/>
      <c r="BJ34" s="108"/>
      <c r="BK34" s="108"/>
      <c r="BL34" s="108">
        <f t="shared" si="13"/>
        <v>0</v>
      </c>
      <c r="BM34" s="108"/>
      <c r="BN34" s="108"/>
      <c r="BO34" s="108"/>
      <c r="BP34" s="108"/>
      <c r="BQ34" s="108">
        <f t="shared" si="14"/>
        <v>3.6662144128452079</v>
      </c>
      <c r="BR34" s="108"/>
      <c r="BS34" s="108"/>
      <c r="BT34" s="108"/>
      <c r="BU34" s="108"/>
      <c r="BV34" s="108">
        <f t="shared" si="15"/>
        <v>8.0909859728968279</v>
      </c>
      <c r="BW34" s="108"/>
      <c r="BX34" s="108"/>
      <c r="BY34" s="108"/>
      <c r="BZ34" s="108"/>
      <c r="CA34" s="108">
        <f t="shared" si="16"/>
        <v>12.956760316402004</v>
      </c>
    </row>
    <row r="35" spans="1:80">
      <c r="B35" s="79"/>
      <c r="C35" s="105"/>
      <c r="D35" s="81"/>
      <c r="E35" s="81"/>
      <c r="F35" s="81"/>
      <c r="G35" s="81"/>
      <c r="H35" s="81"/>
      <c r="I35" s="81"/>
      <c r="J35" s="81"/>
      <c r="K35" s="81"/>
      <c r="L35" s="81"/>
      <c r="M35" s="81"/>
      <c r="N35" s="81"/>
      <c r="O35" s="81"/>
      <c r="P35" s="81"/>
      <c r="Q35" s="81"/>
      <c r="R35" s="81"/>
      <c r="S35" s="81"/>
      <c r="T35" s="81"/>
      <c r="U35" s="81"/>
      <c r="V35" s="81"/>
      <c r="W35" s="81"/>
      <c r="X35" s="81"/>
      <c r="Y35" s="81"/>
      <c r="Z35" s="81"/>
      <c r="AA35" s="81"/>
      <c r="AB35" s="81"/>
      <c r="AC35" s="81"/>
      <c r="AD35" s="81"/>
      <c r="AE35" s="81"/>
      <c r="AF35" s="81"/>
      <c r="AG35" s="81"/>
      <c r="AH35" s="81"/>
      <c r="AI35" s="81"/>
      <c r="AJ35" s="81"/>
      <c r="AK35" s="81"/>
      <c r="AL35" s="81"/>
      <c r="AM35" s="81"/>
      <c r="AN35" s="81"/>
      <c r="AO35" s="81"/>
      <c r="AP35" s="81"/>
      <c r="AQ35" s="81"/>
      <c r="AR35" s="81"/>
      <c r="BB35" s="81"/>
      <c r="BG35" s="81"/>
      <c r="BL35" s="81"/>
      <c r="BQ35" s="81"/>
      <c r="BV35" s="81"/>
      <c r="CA35" s="81"/>
    </row>
    <row r="36" spans="1:80">
      <c r="A36" s="68" t="s">
        <v>360</v>
      </c>
      <c r="B36" s="109">
        <v>6500</v>
      </c>
      <c r="C36" s="80" t="s">
        <v>361</v>
      </c>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BB36" s="110">
        <v>10500</v>
      </c>
      <c r="BG36" s="110">
        <f>BB36*(1+BG37)</f>
        <v>11025</v>
      </c>
      <c r="BL36" s="110">
        <f>BG36*(1+BL37)</f>
        <v>11576.25</v>
      </c>
      <c r="BQ36" s="110">
        <f>BL36*(1+BQ37)</f>
        <v>12155.0625</v>
      </c>
      <c r="BV36" s="110">
        <f>BQ36*(1+BV37)</f>
        <v>12762.815625000001</v>
      </c>
      <c r="CA36" s="110">
        <f>BV36*(1+CA37)</f>
        <v>13400.956406250001</v>
      </c>
    </row>
    <row r="37" spans="1:80">
      <c r="A37" s="68" t="s">
        <v>362</v>
      </c>
      <c r="B37" s="83">
        <v>7.0000000000000007E-2</v>
      </c>
      <c r="D37" s="110"/>
      <c r="E37" s="110"/>
      <c r="F37" s="110"/>
      <c r="G37" s="110"/>
      <c r="H37" s="108"/>
      <c r="I37" s="108"/>
      <c r="J37" s="108"/>
      <c r="K37" s="108"/>
      <c r="L37" s="108"/>
      <c r="M37" s="108"/>
      <c r="N37" s="108"/>
      <c r="O37" s="108"/>
      <c r="P37" s="108"/>
      <c r="Q37" s="108"/>
      <c r="R37" s="108"/>
      <c r="S37" s="108"/>
      <c r="T37" s="108"/>
      <c r="U37" s="108"/>
      <c r="V37" s="108"/>
      <c r="W37" s="108"/>
      <c r="X37" s="108"/>
      <c r="Y37" s="108"/>
      <c r="Z37" s="108"/>
      <c r="AA37" s="108"/>
      <c r="AB37" s="108"/>
      <c r="AC37" s="108"/>
      <c r="AD37" s="108"/>
      <c r="AE37" s="108"/>
      <c r="AF37" s="108"/>
      <c r="AG37" s="108"/>
      <c r="AH37" s="108"/>
      <c r="AI37" s="108"/>
      <c r="AJ37" s="108"/>
      <c r="AK37" s="108"/>
      <c r="AL37" s="108"/>
      <c r="BG37" s="97">
        <v>0.05</v>
      </c>
      <c r="BH37" s="98"/>
      <c r="BI37" s="98"/>
      <c r="BJ37" s="98"/>
      <c r="BK37" s="98"/>
      <c r="BL37" s="97">
        <f>BG37</f>
        <v>0.05</v>
      </c>
      <c r="BM37" s="98"/>
      <c r="BN37" s="98"/>
      <c r="BO37" s="98"/>
      <c r="BP37" s="98"/>
      <c r="BQ37" s="97">
        <f>BL37</f>
        <v>0.05</v>
      </c>
      <c r="BR37" s="98"/>
      <c r="BS37" s="98"/>
      <c r="BT37" s="98"/>
      <c r="BU37" s="98"/>
      <c r="BV37" s="97">
        <f>BQ37</f>
        <v>0.05</v>
      </c>
      <c r="BW37" s="98"/>
      <c r="BX37" s="98"/>
      <c r="BY37" s="98"/>
      <c r="BZ37" s="98"/>
      <c r="CA37" s="97">
        <f>BV37</f>
        <v>0.05</v>
      </c>
    </row>
    <row r="38" spans="1:80">
      <c r="B38" s="79"/>
      <c r="C38" s="62" t="s">
        <v>363</v>
      </c>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c r="AB38" s="100"/>
      <c r="AC38" s="100"/>
      <c r="AD38" s="100"/>
      <c r="AE38" s="100"/>
      <c r="AF38" s="100"/>
      <c r="AG38" s="100"/>
      <c r="AH38" s="100"/>
      <c r="AI38" s="100"/>
      <c r="AJ38" s="100"/>
      <c r="AK38" s="100"/>
      <c r="AL38" s="100"/>
      <c r="AM38" s="111"/>
      <c r="AN38" s="111"/>
      <c r="AO38" s="111"/>
      <c r="AP38" s="111"/>
      <c r="AQ38" s="112"/>
      <c r="AR38" s="112"/>
      <c r="AS38" s="100"/>
      <c r="AT38" s="100"/>
      <c r="AU38" s="100"/>
      <c r="AV38" s="100"/>
      <c r="AW38" s="100"/>
      <c r="AX38" s="100"/>
      <c r="AY38" s="100"/>
      <c r="AZ38" s="100"/>
      <c r="BA38" s="100"/>
      <c r="BB38" s="112"/>
      <c r="BC38" s="100"/>
      <c r="BD38" s="100"/>
      <c r="BE38" s="100"/>
      <c r="BF38" s="100"/>
      <c r="BG38" s="112"/>
      <c r="BH38" s="100"/>
      <c r="BI38" s="100"/>
      <c r="BJ38" s="100"/>
      <c r="BK38" s="100"/>
      <c r="BL38" s="112"/>
      <c r="BM38" s="100"/>
      <c r="BN38" s="100"/>
      <c r="BO38" s="100"/>
      <c r="BP38" s="100"/>
      <c r="BQ38" s="112"/>
      <c r="BR38" s="100"/>
      <c r="BS38" s="100"/>
      <c r="BT38" s="100"/>
      <c r="BU38" s="100"/>
      <c r="BV38" s="112"/>
      <c r="BW38" s="100"/>
      <c r="BX38" s="100"/>
      <c r="BY38" s="100"/>
      <c r="BZ38" s="100"/>
      <c r="CA38" s="112"/>
      <c r="CB38" s="110"/>
    </row>
    <row r="39" spans="1:80">
      <c r="B39" s="79"/>
      <c r="C39" s="101" t="s">
        <v>351</v>
      </c>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BB39" s="110">
        <f t="shared" ref="BB39:BB46" si="17">BB27*BB$36/10^3</f>
        <v>6.6335235579830867</v>
      </c>
      <c r="BG39" s="110">
        <f t="shared" ref="BG39:BG46" si="18">BG27*BG$36/10^3</f>
        <v>109.79665947211188</v>
      </c>
      <c r="BL39" s="110">
        <f t="shared" ref="BL39:BL46" si="19">BL27*BL$36/10^3</f>
        <v>403.85128074127169</v>
      </c>
      <c r="BQ39" s="110">
        <f t="shared" ref="BQ39:BQ46" si="20">BQ27*BQ$36/10^3</f>
        <v>1002.6689698470215</v>
      </c>
      <c r="BV39" s="110">
        <f t="shared" ref="BV39:BV46" si="21">BV27*BV$36/10^3</f>
        <v>1462.9032977843663</v>
      </c>
      <c r="CA39" s="110">
        <f t="shared" ref="CA39:CA46" si="22">CA27*CA$36/10^3</f>
        <v>1736.329801663331</v>
      </c>
    </row>
    <row r="40" spans="1:80">
      <c r="B40" s="79"/>
      <c r="C40" s="101" t="s">
        <v>352</v>
      </c>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BB40" s="110">
        <f t="shared" si="17"/>
        <v>6.6335235579830867</v>
      </c>
      <c r="BG40" s="110">
        <f t="shared" si="18"/>
        <v>109.79665947211188</v>
      </c>
      <c r="BL40" s="110">
        <f t="shared" si="19"/>
        <v>403.85128074127169</v>
      </c>
      <c r="BQ40" s="110">
        <f t="shared" si="20"/>
        <v>1002.6689698470215</v>
      </c>
      <c r="BV40" s="110">
        <f t="shared" si="21"/>
        <v>1462.9032977843663</v>
      </c>
      <c r="CA40" s="110">
        <f t="shared" si="22"/>
        <v>1736.329801663331</v>
      </c>
    </row>
    <row r="41" spans="1:80" collapsed="1">
      <c r="B41" s="79"/>
      <c r="C41" s="101" t="s">
        <v>353</v>
      </c>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3"/>
      <c r="BB41" s="110">
        <f t="shared" si="17"/>
        <v>0</v>
      </c>
      <c r="BG41" s="110">
        <f t="shared" si="18"/>
        <v>0</v>
      </c>
      <c r="BL41" s="110">
        <f t="shared" si="19"/>
        <v>0</v>
      </c>
      <c r="BQ41" s="110">
        <f t="shared" si="20"/>
        <v>222.81532663267151</v>
      </c>
      <c r="BV41" s="110">
        <f t="shared" si="21"/>
        <v>516.31881098271742</v>
      </c>
      <c r="CA41" s="110">
        <f t="shared" si="22"/>
        <v>868.16490083166627</v>
      </c>
    </row>
    <row r="42" spans="1:80" hidden="1" outlineLevel="1">
      <c r="B42" s="79"/>
      <c r="C42" s="105" t="s">
        <v>354</v>
      </c>
      <c r="D42" s="110"/>
      <c r="E42" s="110"/>
      <c r="F42" s="110"/>
      <c r="G42" s="110"/>
      <c r="H42" s="110"/>
      <c r="I42" s="110"/>
      <c r="J42" s="110"/>
      <c r="K42" s="110"/>
      <c r="L42" s="110"/>
      <c r="M42" s="110"/>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BB42" s="110">
        <f t="shared" si="17"/>
        <v>0</v>
      </c>
      <c r="BG42" s="110">
        <f t="shared" si="18"/>
        <v>0</v>
      </c>
      <c r="BL42" s="110">
        <f t="shared" si="19"/>
        <v>0</v>
      </c>
      <c r="BQ42" s="110">
        <f t="shared" si="20"/>
        <v>44.563065326534307</v>
      </c>
      <c r="BV42" s="110">
        <f t="shared" si="21"/>
        <v>103.26376219654347</v>
      </c>
      <c r="CA42" s="110">
        <f t="shared" si="22"/>
        <v>173.63298016633323</v>
      </c>
    </row>
    <row r="43" spans="1:80" hidden="1" outlineLevel="1">
      <c r="B43" s="79"/>
      <c r="C43" s="105" t="s">
        <v>355</v>
      </c>
      <c r="D43" s="110"/>
      <c r="E43" s="110"/>
      <c r="F43" s="110"/>
      <c r="G43" s="110"/>
      <c r="H43" s="110"/>
      <c r="I43" s="110"/>
      <c r="J43" s="110"/>
      <c r="K43" s="110"/>
      <c r="L43" s="110"/>
      <c r="M43" s="110"/>
      <c r="N43" s="110"/>
      <c r="O43" s="110"/>
      <c r="P43" s="110"/>
      <c r="Q43" s="110"/>
      <c r="R43" s="110"/>
      <c r="S43" s="110"/>
      <c r="T43" s="110"/>
      <c r="U43" s="110"/>
      <c r="V43" s="110"/>
      <c r="W43" s="110"/>
      <c r="X43" s="110"/>
      <c r="Y43" s="110"/>
      <c r="Z43" s="110"/>
      <c r="AA43" s="110"/>
      <c r="AB43" s="110"/>
      <c r="AC43" s="110"/>
      <c r="AD43" s="110"/>
      <c r="AE43" s="110"/>
      <c r="AF43" s="110"/>
      <c r="AG43" s="110"/>
      <c r="AH43" s="110"/>
      <c r="AI43" s="110"/>
      <c r="AJ43" s="110"/>
      <c r="AK43" s="110"/>
      <c r="AL43" s="110"/>
      <c r="AM43" s="110"/>
      <c r="AN43" s="110"/>
      <c r="AO43" s="110"/>
      <c r="AP43" s="110"/>
      <c r="AQ43" s="110"/>
      <c r="AR43" s="110"/>
      <c r="BB43" s="110">
        <f t="shared" si="17"/>
        <v>0</v>
      </c>
      <c r="BG43" s="110">
        <f t="shared" si="18"/>
        <v>0</v>
      </c>
      <c r="BL43" s="110">
        <f t="shared" si="19"/>
        <v>0</v>
      </c>
      <c r="BQ43" s="110">
        <f t="shared" si="20"/>
        <v>44.563065326534307</v>
      </c>
      <c r="BV43" s="110">
        <f t="shared" si="21"/>
        <v>103.26376219654347</v>
      </c>
      <c r="CA43" s="110">
        <f t="shared" si="22"/>
        <v>173.63298016633323</v>
      </c>
    </row>
    <row r="44" spans="1:80" hidden="1" outlineLevel="1">
      <c r="B44" s="79"/>
      <c r="C44" s="105" t="s">
        <v>356</v>
      </c>
      <c r="D44" s="110"/>
      <c r="E44" s="110"/>
      <c r="F44" s="110"/>
      <c r="G44" s="110"/>
      <c r="H44" s="110"/>
      <c r="I44" s="110"/>
      <c r="J44" s="110"/>
      <c r="K44" s="110"/>
      <c r="L44" s="110"/>
      <c r="M44" s="110"/>
      <c r="N44" s="110"/>
      <c r="O44" s="110"/>
      <c r="P44" s="110"/>
      <c r="Q44" s="110"/>
      <c r="R44" s="110"/>
      <c r="S44" s="110"/>
      <c r="T44" s="110"/>
      <c r="U44" s="110"/>
      <c r="V44" s="110"/>
      <c r="W44" s="110"/>
      <c r="X44" s="110"/>
      <c r="Y44" s="110"/>
      <c r="Z44" s="110"/>
      <c r="AA44" s="110"/>
      <c r="AB44" s="110"/>
      <c r="AC44" s="110"/>
      <c r="AD44" s="110"/>
      <c r="AE44" s="110"/>
      <c r="AF44" s="110"/>
      <c r="AG44" s="110"/>
      <c r="AH44" s="110"/>
      <c r="AI44" s="110"/>
      <c r="AJ44" s="110"/>
      <c r="AK44" s="110"/>
      <c r="AL44" s="110"/>
      <c r="AM44" s="110"/>
      <c r="AN44" s="110"/>
      <c r="AO44" s="110"/>
      <c r="AP44" s="110"/>
      <c r="AQ44" s="110"/>
      <c r="AR44" s="110"/>
      <c r="BB44" s="110">
        <f t="shared" si="17"/>
        <v>0</v>
      </c>
      <c r="BG44" s="110">
        <f t="shared" si="18"/>
        <v>0</v>
      </c>
      <c r="BL44" s="110">
        <f t="shared" si="19"/>
        <v>0</v>
      </c>
      <c r="BQ44" s="110">
        <f t="shared" si="20"/>
        <v>44.563065326534307</v>
      </c>
      <c r="BV44" s="110">
        <f t="shared" si="21"/>
        <v>103.26376219654347</v>
      </c>
      <c r="CA44" s="110">
        <f t="shared" si="22"/>
        <v>173.63298016633323</v>
      </c>
    </row>
    <row r="45" spans="1:80" hidden="1" outlineLevel="1">
      <c r="B45" s="79"/>
      <c r="C45" s="105" t="s">
        <v>357</v>
      </c>
      <c r="D45" s="110"/>
      <c r="E45" s="110"/>
      <c r="F45" s="110"/>
      <c r="G45" s="110"/>
      <c r="H45" s="110"/>
      <c r="I45" s="110"/>
      <c r="J45" s="110"/>
      <c r="K45" s="110"/>
      <c r="L45" s="110"/>
      <c r="M45" s="110"/>
      <c r="N45" s="110"/>
      <c r="O45" s="110"/>
      <c r="P45" s="110"/>
      <c r="Q45" s="110"/>
      <c r="R45" s="110"/>
      <c r="S45" s="110"/>
      <c r="T45" s="110"/>
      <c r="U45" s="110"/>
      <c r="V45" s="110"/>
      <c r="W45" s="110"/>
      <c r="X45" s="110"/>
      <c r="Y45" s="110"/>
      <c r="Z45" s="110"/>
      <c r="AA45" s="110"/>
      <c r="AB45" s="110"/>
      <c r="AC45" s="110"/>
      <c r="AD45" s="110"/>
      <c r="AE45" s="110"/>
      <c r="AF45" s="110"/>
      <c r="AG45" s="110"/>
      <c r="AH45" s="110"/>
      <c r="AI45" s="110"/>
      <c r="AJ45" s="110"/>
      <c r="AK45" s="110"/>
      <c r="AL45" s="110"/>
      <c r="AM45" s="110"/>
      <c r="AN45" s="110"/>
      <c r="AO45" s="110"/>
      <c r="AP45" s="110"/>
      <c r="AQ45" s="110"/>
      <c r="AR45" s="110"/>
      <c r="BB45" s="110">
        <f t="shared" si="17"/>
        <v>0</v>
      </c>
      <c r="BG45" s="110">
        <f t="shared" si="18"/>
        <v>0</v>
      </c>
      <c r="BL45" s="110">
        <f t="shared" si="19"/>
        <v>0</v>
      </c>
      <c r="BQ45" s="110">
        <f t="shared" si="20"/>
        <v>44.563065326534307</v>
      </c>
      <c r="BV45" s="110">
        <f t="shared" si="21"/>
        <v>103.26376219654347</v>
      </c>
      <c r="CA45" s="110">
        <f t="shared" si="22"/>
        <v>173.63298016633323</v>
      </c>
    </row>
    <row r="46" spans="1:80" hidden="1" outlineLevel="1">
      <c r="B46" s="79"/>
      <c r="C46" s="105" t="s">
        <v>358</v>
      </c>
      <c r="D46" s="110"/>
      <c r="E46" s="110"/>
      <c r="F46" s="110"/>
      <c r="G46" s="110"/>
      <c r="H46" s="110"/>
      <c r="I46" s="110"/>
      <c r="J46" s="110"/>
      <c r="K46" s="110"/>
      <c r="L46" s="110"/>
      <c r="M46" s="110"/>
      <c r="N46" s="110"/>
      <c r="O46" s="110"/>
      <c r="P46" s="110"/>
      <c r="Q46" s="110"/>
      <c r="R46" s="110"/>
      <c r="S46" s="110"/>
      <c r="T46" s="110"/>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BB46" s="110">
        <f t="shared" si="17"/>
        <v>0</v>
      </c>
      <c r="BG46" s="110">
        <f t="shared" si="18"/>
        <v>0</v>
      </c>
      <c r="BL46" s="110">
        <f t="shared" si="19"/>
        <v>0</v>
      </c>
      <c r="BQ46" s="110">
        <f t="shared" si="20"/>
        <v>44.563065326534307</v>
      </c>
      <c r="BV46" s="110">
        <f t="shared" si="21"/>
        <v>103.26376219654347</v>
      </c>
      <c r="CA46" s="110">
        <f t="shared" si="22"/>
        <v>173.63298016633323</v>
      </c>
    </row>
    <row r="47" spans="1:80">
      <c r="B47" s="79"/>
      <c r="C47" s="105"/>
      <c r="D47" s="110"/>
      <c r="E47" s="110"/>
      <c r="F47" s="110"/>
      <c r="G47" s="110"/>
      <c r="H47" s="110"/>
      <c r="I47" s="110"/>
      <c r="J47" s="110"/>
      <c r="K47" s="110"/>
      <c r="L47" s="110"/>
      <c r="M47" s="110"/>
      <c r="N47" s="110"/>
      <c r="O47" s="110"/>
      <c r="P47" s="110"/>
      <c r="Q47" s="110"/>
      <c r="R47" s="110"/>
      <c r="S47" s="110"/>
      <c r="T47" s="110"/>
      <c r="U47" s="110"/>
      <c r="V47" s="110"/>
      <c r="W47" s="110"/>
      <c r="X47" s="110"/>
      <c r="Y47" s="110"/>
      <c r="Z47" s="110"/>
      <c r="AA47" s="110"/>
      <c r="AB47" s="110"/>
      <c r="AC47" s="110"/>
      <c r="AD47" s="110"/>
      <c r="AE47" s="110"/>
      <c r="AF47" s="110"/>
      <c r="AG47" s="110"/>
      <c r="AH47" s="110"/>
      <c r="AI47" s="110"/>
      <c r="AJ47" s="110"/>
      <c r="AK47" s="110"/>
      <c r="AL47" s="110"/>
      <c r="AM47" s="110"/>
      <c r="AN47" s="110"/>
      <c r="AO47" s="110"/>
      <c r="AP47" s="110"/>
      <c r="AQ47" s="110"/>
      <c r="AR47" s="110"/>
      <c r="BB47" s="110"/>
      <c r="BG47" s="110"/>
      <c r="BL47" s="110"/>
      <c r="BQ47" s="110"/>
      <c r="BV47" s="110"/>
      <c r="CA47" s="110"/>
    </row>
    <row r="48" spans="1:80">
      <c r="B48" s="79"/>
      <c r="C48" s="62" t="s">
        <v>364</v>
      </c>
      <c r="D48" s="111"/>
      <c r="E48" s="111"/>
      <c r="F48" s="111"/>
      <c r="G48" s="111"/>
      <c r="H48" s="111"/>
      <c r="I48" s="111"/>
      <c r="J48" s="111"/>
      <c r="K48" s="111"/>
      <c r="L48" s="111"/>
      <c r="M48" s="111"/>
      <c r="N48" s="111"/>
      <c r="O48" s="111"/>
      <c r="P48" s="111"/>
      <c r="Q48" s="111"/>
      <c r="R48" s="111"/>
      <c r="S48" s="111"/>
      <c r="T48" s="111"/>
      <c r="U48" s="111"/>
      <c r="V48" s="111"/>
      <c r="W48" s="111"/>
      <c r="X48" s="111"/>
      <c r="Y48" s="111"/>
      <c r="Z48" s="111"/>
      <c r="AA48" s="111"/>
      <c r="AB48" s="111"/>
      <c r="AC48" s="111"/>
      <c r="AD48" s="111"/>
      <c r="AE48" s="111"/>
      <c r="AF48" s="111"/>
      <c r="AG48" s="111"/>
      <c r="AH48" s="111"/>
      <c r="AI48" s="111"/>
      <c r="AJ48" s="111"/>
      <c r="AK48" s="111"/>
      <c r="AL48" s="111"/>
      <c r="AM48" s="111"/>
      <c r="AN48" s="111"/>
      <c r="AO48" s="111"/>
      <c r="AP48" s="111"/>
      <c r="AQ48" s="111"/>
      <c r="AR48" s="111"/>
      <c r="AS48" s="100"/>
      <c r="AT48" s="100"/>
      <c r="AU48" s="100"/>
      <c r="AV48" s="100"/>
      <c r="AW48" s="100"/>
      <c r="AX48" s="100"/>
      <c r="AY48" s="100"/>
      <c r="AZ48" s="100"/>
      <c r="BA48" s="100"/>
      <c r="BB48" s="114">
        <f>SUM(BB39:BB41)</f>
        <v>13.267047115966173</v>
      </c>
      <c r="BC48" s="114"/>
      <c r="BD48" s="114"/>
      <c r="BE48" s="114"/>
      <c r="BF48" s="114"/>
      <c r="BG48" s="114">
        <f>SUM(BG39:BG41)</f>
        <v>219.59331894422377</v>
      </c>
      <c r="BH48" s="95"/>
      <c r="BI48" s="95"/>
      <c r="BJ48" s="95"/>
      <c r="BK48" s="95"/>
      <c r="BL48" s="114">
        <f>SUM(BL39:BL41)</f>
        <v>807.70256148254339</v>
      </c>
      <c r="BM48" s="95"/>
      <c r="BN48" s="95"/>
      <c r="BO48" s="95"/>
      <c r="BP48" s="95"/>
      <c r="BQ48" s="114">
        <f>SUM(BQ39:BQ41)</f>
        <v>2228.1532663267144</v>
      </c>
      <c r="BR48" s="95"/>
      <c r="BS48" s="95"/>
      <c r="BT48" s="95"/>
      <c r="BU48" s="95"/>
      <c r="BV48" s="114">
        <f>SUM(BV39:BV41)</f>
        <v>3442.1254065514499</v>
      </c>
      <c r="BW48" s="95"/>
      <c r="BX48" s="95"/>
      <c r="BY48" s="95"/>
      <c r="BZ48" s="95"/>
      <c r="CA48" s="114">
        <f>SUM(CA39:CA41)</f>
        <v>4340.8245041583286</v>
      </c>
    </row>
    <row r="49" spans="1:79">
      <c r="B49" s="79"/>
      <c r="C49" s="115" t="s">
        <v>365</v>
      </c>
      <c r="D49" s="108"/>
      <c r="E49" s="108"/>
      <c r="F49" s="108"/>
      <c r="G49" s="108"/>
      <c r="H49" s="108"/>
      <c r="I49" s="108"/>
      <c r="J49" s="108"/>
      <c r="K49" s="108"/>
      <c r="L49" s="108"/>
      <c r="M49" s="108"/>
      <c r="N49" s="108"/>
      <c r="O49" s="108"/>
      <c r="P49" s="108"/>
      <c r="Q49" s="108"/>
      <c r="R49" s="108"/>
      <c r="S49" s="108"/>
      <c r="T49" s="108"/>
      <c r="U49" s="108"/>
      <c r="V49" s="108"/>
      <c r="W49" s="108"/>
      <c r="X49" s="108"/>
      <c r="Y49" s="108"/>
      <c r="Z49" s="108"/>
      <c r="AA49" s="108"/>
      <c r="AB49" s="108"/>
      <c r="AC49" s="108"/>
      <c r="AD49" s="108"/>
      <c r="AE49" s="108"/>
      <c r="AF49" s="108"/>
      <c r="AG49" s="108"/>
      <c r="AH49" s="108"/>
      <c r="AI49" s="108"/>
      <c r="AJ49" s="108"/>
      <c r="AK49" s="108"/>
      <c r="AL49" s="108"/>
      <c r="BG49" s="72">
        <f>BG48/BB48-1</f>
        <v>15.551785564999999</v>
      </c>
      <c r="BH49" s="104"/>
      <c r="BI49" s="104"/>
      <c r="BJ49" s="104"/>
      <c r="BK49" s="104"/>
      <c r="BL49" s="72">
        <f>BL48/BG48-1</f>
        <v>2.6781745700000013</v>
      </c>
      <c r="BM49" s="104"/>
      <c r="BN49" s="104"/>
      <c r="BO49" s="104"/>
      <c r="BP49" s="104"/>
      <c r="BQ49" s="72">
        <f>BQ48/BL48-1</f>
        <v>1.7586309275000001</v>
      </c>
      <c r="BR49" s="104"/>
      <c r="BS49" s="104"/>
      <c r="BT49" s="104"/>
      <c r="BU49" s="104"/>
      <c r="BV49" s="72">
        <f>BV48/BQ48-1</f>
        <v>0.54483331939999968</v>
      </c>
      <c r="BW49" s="104"/>
      <c r="BX49" s="104"/>
      <c r="BY49" s="104"/>
      <c r="BZ49" s="104"/>
      <c r="CA49" s="72">
        <f>CA48/BV48-1</f>
        <v>0.26108842400000043</v>
      </c>
    </row>
    <row r="50" spans="1:79">
      <c r="C50" s="115"/>
      <c r="D50" s="108"/>
      <c r="E50" s="108"/>
      <c r="F50" s="108"/>
      <c r="G50" s="108"/>
      <c r="H50" s="108"/>
      <c r="I50" s="108"/>
      <c r="J50" s="108"/>
      <c r="K50" s="108"/>
      <c r="L50" s="108"/>
      <c r="M50" s="108"/>
      <c r="N50" s="108"/>
      <c r="O50" s="108"/>
      <c r="P50" s="108"/>
      <c r="Q50" s="108"/>
      <c r="R50" s="108"/>
      <c r="S50" s="108"/>
      <c r="T50" s="108"/>
      <c r="U50" s="108"/>
      <c r="V50" s="108"/>
      <c r="W50" s="108"/>
      <c r="X50" s="108"/>
      <c r="Y50" s="108"/>
      <c r="Z50" s="108"/>
      <c r="AA50" s="108"/>
      <c r="AB50" s="108"/>
      <c r="AC50" s="108"/>
      <c r="AD50" s="108"/>
      <c r="AE50" s="108"/>
      <c r="AF50" s="108"/>
      <c r="AG50" s="108"/>
      <c r="AH50" s="108"/>
      <c r="AI50" s="108"/>
      <c r="AJ50" s="108"/>
      <c r="AK50" s="108"/>
      <c r="AL50" s="108"/>
      <c r="BG50" s="72"/>
      <c r="BH50" s="104"/>
      <c r="BI50" s="104"/>
      <c r="BJ50" s="104"/>
      <c r="BK50" s="104"/>
      <c r="BL50" s="72"/>
      <c r="BM50" s="104"/>
      <c r="BN50" s="104"/>
      <c r="BO50" s="104"/>
      <c r="BP50" s="104"/>
      <c r="BQ50" s="72"/>
      <c r="BR50" s="104"/>
      <c r="BS50" s="104"/>
      <c r="BT50" s="104"/>
      <c r="BU50" s="104"/>
      <c r="BV50" s="72"/>
      <c r="BW50" s="104"/>
      <c r="BX50" s="104"/>
      <c r="BY50" s="104"/>
      <c r="BZ50" s="104"/>
      <c r="CA50" s="72"/>
    </row>
    <row r="51" spans="1:79" collapsed="1">
      <c r="A51" s="100"/>
      <c r="B51" s="100"/>
      <c r="C51" s="116" t="s">
        <v>366</v>
      </c>
      <c r="D51" s="65"/>
      <c r="E51" s="65"/>
      <c r="F51" s="65"/>
      <c r="G51" s="65"/>
      <c r="H51" s="65"/>
      <c r="I51" s="65"/>
      <c r="J51" s="65"/>
      <c r="K51" s="65"/>
      <c r="L51" s="64"/>
      <c r="M51" s="64"/>
      <c r="N51" s="64"/>
      <c r="O51" s="64"/>
      <c r="P51" s="64"/>
      <c r="Q51" s="64"/>
      <c r="R51" s="64"/>
      <c r="S51" s="64"/>
      <c r="T51" s="64"/>
      <c r="U51" s="64"/>
      <c r="V51" s="64"/>
      <c r="W51" s="64"/>
      <c r="X51" s="64"/>
      <c r="Y51" s="64"/>
      <c r="Z51" s="64"/>
      <c r="AA51" s="64"/>
      <c r="AB51" s="64"/>
      <c r="AC51" s="64"/>
      <c r="AD51" s="64"/>
      <c r="AE51" s="64"/>
      <c r="AF51" s="64"/>
      <c r="AG51" s="64"/>
      <c r="AH51" s="64"/>
      <c r="AI51" s="64"/>
      <c r="AJ51" s="64"/>
      <c r="AK51" s="64"/>
      <c r="AL51" s="64"/>
      <c r="AM51" s="64"/>
      <c r="AN51" s="64"/>
      <c r="AO51" s="64"/>
      <c r="AP51" s="65"/>
      <c r="AQ51" s="65"/>
      <c r="AR51" s="65"/>
      <c r="AS51" s="64"/>
      <c r="AT51" s="64"/>
      <c r="AU51" s="64"/>
      <c r="AV51" s="65"/>
      <c r="AW51" s="65"/>
      <c r="AX51" s="64"/>
      <c r="AY51" s="64"/>
      <c r="AZ51" s="64"/>
      <c r="BA51" s="65"/>
      <c r="BB51" s="65"/>
      <c r="BC51" s="64"/>
      <c r="BD51" s="64"/>
      <c r="BE51" s="64"/>
      <c r="BF51" s="65"/>
      <c r="BG51" s="65"/>
      <c r="BH51" s="64"/>
      <c r="BI51" s="64"/>
      <c r="BJ51" s="64"/>
      <c r="BK51" s="65"/>
      <c r="BL51" s="65"/>
      <c r="BM51" s="64"/>
      <c r="BN51" s="64"/>
      <c r="BO51" s="64"/>
      <c r="BP51" s="65"/>
      <c r="BQ51" s="65"/>
      <c r="BR51" s="64"/>
      <c r="BS51" s="64"/>
      <c r="BT51" s="64"/>
      <c r="BU51" s="65"/>
      <c r="BV51" s="65"/>
      <c r="BW51" s="64"/>
      <c r="BX51" s="64"/>
      <c r="BY51" s="64"/>
      <c r="BZ51" s="65"/>
      <c r="CA51" s="65"/>
    </row>
    <row r="52" spans="1:79" hidden="1" outlineLevel="1">
      <c r="C52" s="117"/>
      <c r="D52" s="61"/>
      <c r="E52" s="61"/>
      <c r="F52" s="61"/>
      <c r="G52" s="61"/>
      <c r="H52" s="61"/>
      <c r="I52" s="61"/>
      <c r="J52" s="61"/>
      <c r="K52" s="61"/>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61"/>
      <c r="AQ52" s="61"/>
      <c r="AR52" s="61"/>
      <c r="AS52" s="55"/>
      <c r="AT52" s="55"/>
      <c r="AU52" s="55"/>
      <c r="AV52" s="61"/>
      <c r="AW52" s="61"/>
      <c r="AX52" s="55"/>
      <c r="AY52" s="55"/>
      <c r="AZ52" s="55"/>
      <c r="BA52" s="61"/>
      <c r="BB52" s="61"/>
      <c r="BC52" s="55"/>
      <c r="BD52" s="55"/>
      <c r="BE52" s="55"/>
      <c r="BF52" s="61"/>
      <c r="BG52" s="61"/>
      <c r="BH52" s="55"/>
      <c r="BI52" s="55"/>
      <c r="BJ52" s="55"/>
      <c r="BK52" s="61"/>
      <c r="BL52" s="61"/>
      <c r="BM52" s="55"/>
      <c r="BN52" s="55"/>
      <c r="BO52" s="55"/>
      <c r="BP52" s="61"/>
      <c r="BQ52" s="61"/>
      <c r="BR52" s="55"/>
      <c r="BS52" s="55"/>
      <c r="BT52" s="55"/>
      <c r="BU52" s="61"/>
      <c r="BV52" s="61"/>
      <c r="BW52" s="55"/>
      <c r="BX52" s="55"/>
      <c r="BY52" s="55"/>
      <c r="BZ52" s="61"/>
      <c r="CA52" s="61"/>
    </row>
    <row r="53" spans="1:79" hidden="1" outlineLevel="1">
      <c r="C53" s="117" t="s">
        <v>367</v>
      </c>
      <c r="D53" s="61" t="s">
        <v>276</v>
      </c>
      <c r="E53" s="61" t="s">
        <v>277</v>
      </c>
      <c r="F53" s="61" t="s">
        <v>278</v>
      </c>
      <c r="G53" s="61" t="s">
        <v>279</v>
      </c>
      <c r="H53" s="61">
        <v>2006</v>
      </c>
      <c r="I53" s="61" t="s">
        <v>280</v>
      </c>
      <c r="J53" s="61" t="s">
        <v>281</v>
      </c>
      <c r="K53" s="61" t="s">
        <v>282</v>
      </c>
      <c r="L53" s="55" t="s">
        <v>283</v>
      </c>
      <c r="M53" s="55">
        <v>2007</v>
      </c>
      <c r="N53" s="55" t="s">
        <v>284</v>
      </c>
      <c r="O53" s="55" t="s">
        <v>285</v>
      </c>
      <c r="P53" s="55" t="s">
        <v>286</v>
      </c>
      <c r="Q53" s="55" t="s">
        <v>287</v>
      </c>
      <c r="R53" s="55">
        <v>2008</v>
      </c>
      <c r="S53" s="55" t="s">
        <v>288</v>
      </c>
      <c r="T53" s="55" t="s">
        <v>289</v>
      </c>
      <c r="U53" s="55" t="s">
        <v>290</v>
      </c>
      <c r="V53" s="55" t="s">
        <v>291</v>
      </c>
      <c r="W53" s="55">
        <v>2009</v>
      </c>
      <c r="X53" s="55" t="s">
        <v>292</v>
      </c>
      <c r="Y53" s="55" t="s">
        <v>293</v>
      </c>
      <c r="Z53" s="55" t="s">
        <v>294</v>
      </c>
      <c r="AA53" s="55" t="s">
        <v>295</v>
      </c>
      <c r="AB53" s="55">
        <v>2010</v>
      </c>
      <c r="AC53" s="55" t="s">
        <v>296</v>
      </c>
      <c r="AD53" s="55" t="s">
        <v>297</v>
      </c>
      <c r="AE53" s="55" t="s">
        <v>298</v>
      </c>
      <c r="AF53" s="55" t="s">
        <v>299</v>
      </c>
      <c r="AG53" s="55">
        <v>2011</v>
      </c>
      <c r="AH53" s="55" t="s">
        <v>300</v>
      </c>
      <c r="AI53" s="55" t="s">
        <v>301</v>
      </c>
      <c r="AJ53" s="55" t="s">
        <v>302</v>
      </c>
      <c r="AK53" s="55" t="s">
        <v>303</v>
      </c>
      <c r="AL53" s="55">
        <v>2012</v>
      </c>
      <c r="AM53" s="55" t="s">
        <v>304</v>
      </c>
      <c r="AN53" s="55" t="s">
        <v>305</v>
      </c>
      <c r="AO53" s="55" t="s">
        <v>306</v>
      </c>
      <c r="AP53" s="61"/>
      <c r="AQ53" s="61"/>
      <c r="AR53" s="61"/>
      <c r="AS53" s="55"/>
      <c r="AT53" s="55"/>
      <c r="AU53" s="55"/>
      <c r="AV53" s="61"/>
      <c r="AW53" s="61"/>
      <c r="AX53" s="55"/>
      <c r="AY53" s="55"/>
      <c r="AZ53" s="55"/>
      <c r="BA53" s="61"/>
      <c r="BB53" s="61"/>
      <c r="BC53" s="55"/>
      <c r="BD53" s="55"/>
      <c r="BE53" s="55"/>
      <c r="BF53" s="61"/>
      <c r="BG53" s="61"/>
      <c r="BH53" s="55"/>
      <c r="BI53" s="55"/>
      <c r="BJ53" s="55"/>
      <c r="BK53" s="61"/>
      <c r="BL53" s="61"/>
      <c r="BM53" s="55"/>
      <c r="BN53" s="55"/>
      <c r="BO53" s="55"/>
      <c r="BP53" s="61"/>
      <c r="BQ53" s="61"/>
      <c r="BR53" s="55"/>
      <c r="BS53" s="55"/>
      <c r="BT53" s="55"/>
      <c r="BU53" s="61"/>
      <c r="BV53" s="61"/>
      <c r="BW53" s="55"/>
      <c r="BX53" s="55"/>
      <c r="BY53" s="55"/>
      <c r="BZ53" s="61"/>
      <c r="CA53" s="61"/>
    </row>
    <row r="54" spans="1:79" hidden="1" outlineLevel="1">
      <c r="C54" s="118" t="s">
        <v>368</v>
      </c>
      <c r="D54" s="119">
        <f>SUM(D56:D75)</f>
        <v>5245468816</v>
      </c>
      <c r="E54" s="119">
        <f>SUM(E56:E75)</f>
        <v>5155659231</v>
      </c>
      <c r="F54" s="119">
        <f>SUM(F56:F75)</f>
        <v>4202808932</v>
      </c>
      <c r="G54" s="119">
        <f>SUM(G56:G75)</f>
        <v>4308229217</v>
      </c>
      <c r="H54" s="119">
        <f t="shared" ref="H54:H61" si="23">SUM(D54:G54)</f>
        <v>18912166196</v>
      </c>
      <c r="I54" s="119">
        <f>SUM(I56:I75)</f>
        <v>4167298175</v>
      </c>
      <c r="J54" s="119">
        <f>SUM(J56:J75)</f>
        <v>4115188203</v>
      </c>
      <c r="K54" s="119">
        <f>SUM(K56:K75)</f>
        <v>4036858858</v>
      </c>
      <c r="L54" s="119">
        <f>SUM(L56:L75)</f>
        <v>4097761352</v>
      </c>
      <c r="M54" s="119">
        <f t="shared" ref="M54:M61" si="24">SUM(I54:L54)</f>
        <v>16417106588</v>
      </c>
      <c r="N54" s="119">
        <f>SUM(N56:N75)</f>
        <v>4093717491</v>
      </c>
      <c r="O54" s="119">
        <f>SUM(O56:O75)</f>
        <v>3942276075</v>
      </c>
      <c r="P54" s="119">
        <f>SUM(P56:P75)</f>
        <v>3873429250</v>
      </c>
      <c r="Q54" s="119">
        <f>SUM(Q56:Q75)</f>
        <v>3811086268</v>
      </c>
      <c r="R54" s="119">
        <f t="shared" ref="R54:R61" si="25">SUM(N54:Q54)</f>
        <v>15720509084</v>
      </c>
      <c r="S54" s="119">
        <f>SUM(S56:S75)</f>
        <v>4043455408</v>
      </c>
      <c r="T54" s="119">
        <f>SUM(T56:T75)</f>
        <v>4017764766</v>
      </c>
      <c r="U54" s="119">
        <f>SUM(U56:U75)</f>
        <v>4005150133</v>
      </c>
      <c r="V54" s="119">
        <f>SUM(V56:V75)</f>
        <v>4023745618</v>
      </c>
      <c r="W54" s="119">
        <f t="shared" ref="W54:W61" si="26">SUM(S54:V54)</f>
        <v>16090115925</v>
      </c>
      <c r="X54" s="119">
        <f>SUM(X56:X75)</f>
        <v>4323980120</v>
      </c>
      <c r="Y54" s="119">
        <f>SUM(Y56:Y75)</f>
        <v>4264225268</v>
      </c>
      <c r="Z54" s="119">
        <f>SUM(Z56:Z75)</f>
        <v>4248064247</v>
      </c>
      <c r="AA54" s="119">
        <f>SUM(AA56:AA75)</f>
        <v>4291763661</v>
      </c>
      <c r="AB54" s="119">
        <f t="shared" ref="AB54:AB61" si="27">SUM(X54:AA54)</f>
        <v>17128033296</v>
      </c>
      <c r="AC54" s="119">
        <f>SUM(AC56:AC75)</f>
        <v>4587436685</v>
      </c>
      <c r="AD54" s="119">
        <f>SUM(AD56:AD75)</f>
        <v>4634968928</v>
      </c>
      <c r="AE54" s="119">
        <f>SUM(AE56:AE75)</f>
        <v>4601113852</v>
      </c>
      <c r="AF54" s="119">
        <f>SUM(AF56:AF75)</f>
        <v>4251990575</v>
      </c>
      <c r="AG54" s="119">
        <f t="shared" ref="AG54:AG61" si="28">SUM(AC54:AF54)</f>
        <v>18075510040</v>
      </c>
      <c r="AH54" s="119">
        <f>SUM(AH56:AH75)</f>
        <v>3535827268</v>
      </c>
      <c r="AI54" s="119">
        <f>SUM(AI56:AI75)</f>
        <v>3150156200</v>
      </c>
      <c r="AJ54" s="119">
        <f>SUM(AJ56:AJ75)</f>
        <v>2751771905</v>
      </c>
      <c r="AK54" s="119">
        <f>SUM(AK56:AK75)</f>
        <v>2620435883</v>
      </c>
      <c r="AL54" s="119">
        <f t="shared" ref="AL54:AL61" si="29">SUM(AH54:AK54)</f>
        <v>12058191256</v>
      </c>
      <c r="AM54" s="119">
        <f>SUM(AM56:AM75)</f>
        <v>2520903642</v>
      </c>
      <c r="AN54" s="119">
        <f>SUM(AN56:AN75)</f>
        <v>2437570372</v>
      </c>
      <c r="AO54" s="119">
        <f>SUM(AO56:AO75)</f>
        <v>2342633158</v>
      </c>
      <c r="AQ54" s="119"/>
      <c r="AR54" s="119"/>
    </row>
    <row r="55" spans="1:79" hidden="1" outlineLevel="1" collapsed="1">
      <c r="C55" s="118" t="s">
        <v>369</v>
      </c>
      <c r="D55" s="119">
        <f>D54-D72-D74</f>
        <v>4515087826</v>
      </c>
      <c r="E55" s="119">
        <f>E54-E72-E74</f>
        <v>4344640721</v>
      </c>
      <c r="F55" s="119">
        <f>F54-F72-F74</f>
        <v>3326075802</v>
      </c>
      <c r="G55" s="119">
        <f>G54-G72-G74</f>
        <v>3375681393</v>
      </c>
      <c r="H55" s="119">
        <f t="shared" si="23"/>
        <v>15561485742</v>
      </c>
      <c r="I55" s="119">
        <f>I54-I72-I74</f>
        <v>3156642994</v>
      </c>
      <c r="J55" s="119">
        <f>J54-J72-J74</f>
        <v>3049461727</v>
      </c>
      <c r="K55" s="119">
        <f>K54-K72-K74</f>
        <v>2950519513</v>
      </c>
      <c r="L55" s="119">
        <f>L54-L72-L74</f>
        <v>2954212940</v>
      </c>
      <c r="M55" s="119">
        <f t="shared" si="24"/>
        <v>12110837174</v>
      </c>
      <c r="N55" s="119">
        <f>N54-N72-N74</f>
        <v>3049951452</v>
      </c>
      <c r="O55" s="119">
        <f>O54-O72-O74</f>
        <v>3069347608</v>
      </c>
      <c r="P55" s="119">
        <f>P54-P72-P74</f>
        <v>3053482303</v>
      </c>
      <c r="Q55" s="119">
        <f>Q54-Q72-Q74</f>
        <v>3047438735</v>
      </c>
      <c r="R55" s="119">
        <f t="shared" si="25"/>
        <v>12220220098</v>
      </c>
      <c r="S55" s="119">
        <f>S54-S72-S74</f>
        <v>3295461665</v>
      </c>
      <c r="T55" s="119">
        <f>T54-T72-T74</f>
        <v>3283822887</v>
      </c>
      <c r="U55" s="119">
        <f>U54-U72-U74</f>
        <v>3262492312</v>
      </c>
      <c r="V55" s="119">
        <f>V54-V72-V74</f>
        <v>3317962577</v>
      </c>
      <c r="W55" s="119">
        <f t="shared" si="26"/>
        <v>13159739441</v>
      </c>
      <c r="X55" s="119">
        <f>X54-X72-X74</f>
        <v>3596717428</v>
      </c>
      <c r="Y55" s="119">
        <f>Y54-Y72-Y74</f>
        <v>3568669061</v>
      </c>
      <c r="Z55" s="119">
        <f>Z54-Z72-Z74</f>
        <v>3556111281</v>
      </c>
      <c r="AA55" s="119">
        <f>AA54-AA72-AA74</f>
        <v>3606963393</v>
      </c>
      <c r="AB55" s="119">
        <f t="shared" si="27"/>
        <v>14328461163</v>
      </c>
      <c r="AC55" s="119">
        <f>AC54-AC72-AC74</f>
        <v>3917782596</v>
      </c>
      <c r="AD55" s="119">
        <f>AD54-AD72-AD74</f>
        <v>3975566260</v>
      </c>
      <c r="AE55" s="119">
        <f>AE54-AE72-AE74</f>
        <v>3995170653</v>
      </c>
      <c r="AF55" s="119">
        <f>AF54-AF72-AF74</f>
        <v>3645169104</v>
      </c>
      <c r="AG55" s="119">
        <f t="shared" si="28"/>
        <v>15533688613</v>
      </c>
      <c r="AH55" s="119">
        <f>AH54-AH72-AH74</f>
        <v>2926890543</v>
      </c>
      <c r="AI55" s="119">
        <f>AI54-AI72-AI74</f>
        <v>2535384607</v>
      </c>
      <c r="AJ55" s="119">
        <f>AJ54-AJ72-AJ74</f>
        <v>2140127063</v>
      </c>
      <c r="AK55" s="119">
        <f>AK54-AK72-AK74</f>
        <v>2000985974</v>
      </c>
      <c r="AL55" s="119">
        <f t="shared" si="29"/>
        <v>9603388187</v>
      </c>
      <c r="AM55" s="119">
        <f>AM54-AM72-AM74</f>
        <v>1885032708</v>
      </c>
      <c r="AN55" s="119">
        <f>AN54-AN72-AN74</f>
        <v>1803707531</v>
      </c>
      <c r="AO55" s="119">
        <f>AO54-AO72-AO74</f>
        <v>1687836143</v>
      </c>
      <c r="AQ55" s="119"/>
      <c r="AR55" s="119"/>
    </row>
    <row r="56" spans="1:79" hidden="1" outlineLevel="2">
      <c r="C56" s="80" t="s">
        <v>370</v>
      </c>
      <c r="D56" s="56">
        <v>38171679</v>
      </c>
      <c r="E56" s="56">
        <v>39772323</v>
      </c>
      <c r="F56" s="56">
        <v>39383213</v>
      </c>
      <c r="G56" s="56">
        <v>41253659</v>
      </c>
      <c r="H56" s="119">
        <f t="shared" si="23"/>
        <v>158580874</v>
      </c>
      <c r="I56" s="56">
        <v>39606448</v>
      </c>
      <c r="J56" s="56">
        <v>38861467</v>
      </c>
      <c r="K56" s="56">
        <v>36638928</v>
      </c>
      <c r="L56" s="56">
        <v>35680706</v>
      </c>
      <c r="M56" s="119">
        <f t="shared" si="24"/>
        <v>150787549</v>
      </c>
      <c r="N56" s="56">
        <v>36885132</v>
      </c>
      <c r="O56" s="56">
        <v>34274329</v>
      </c>
      <c r="P56" s="56">
        <v>33041919</v>
      </c>
      <c r="Q56" s="56">
        <v>29023677</v>
      </c>
      <c r="R56" s="119">
        <f t="shared" si="25"/>
        <v>133225057</v>
      </c>
      <c r="S56" s="56">
        <v>30372945</v>
      </c>
      <c r="T56" s="56">
        <v>28106513</v>
      </c>
      <c r="U56" s="56">
        <v>26494345</v>
      </c>
      <c r="V56" s="56">
        <v>26001366</v>
      </c>
      <c r="W56" s="119">
        <f t="shared" si="26"/>
        <v>110975169</v>
      </c>
      <c r="X56" s="56">
        <v>20590838</v>
      </c>
      <c r="Y56" s="56">
        <v>22903358</v>
      </c>
      <c r="Z56" s="56">
        <v>20788802</v>
      </c>
      <c r="AA56" s="56">
        <v>18918448</v>
      </c>
      <c r="AB56" s="119">
        <f t="shared" si="27"/>
        <v>83201446</v>
      </c>
      <c r="AC56" s="56">
        <v>17986180</v>
      </c>
      <c r="AD56" s="56">
        <v>15860605</v>
      </c>
      <c r="AE56" s="56">
        <v>14124682</v>
      </c>
      <c r="AF56" s="56">
        <v>12867971</v>
      </c>
      <c r="AG56" s="119">
        <f t="shared" si="28"/>
        <v>60839438</v>
      </c>
      <c r="AH56" s="56">
        <v>12162963</v>
      </c>
      <c r="AI56" s="56">
        <v>10506272</v>
      </c>
      <c r="AJ56" s="56">
        <v>10133798</v>
      </c>
      <c r="AK56" s="56">
        <v>10707593</v>
      </c>
      <c r="AL56" s="119">
        <f t="shared" si="29"/>
        <v>43510626</v>
      </c>
      <c r="AM56" s="56">
        <v>10386989</v>
      </c>
      <c r="AN56" s="56">
        <v>9568309</v>
      </c>
      <c r="AO56" s="56">
        <v>9705043</v>
      </c>
      <c r="AQ56" s="119"/>
      <c r="AR56" s="119"/>
    </row>
    <row r="57" spans="1:79" hidden="1" outlineLevel="2">
      <c r="C57" s="80" t="s">
        <v>371</v>
      </c>
      <c r="D57" s="56">
        <v>6628589</v>
      </c>
      <c r="E57" s="56">
        <v>6462787</v>
      </c>
      <c r="F57" s="56">
        <v>6498673</v>
      </c>
      <c r="G57" s="56">
        <v>6094541</v>
      </c>
      <c r="H57" s="119">
        <f t="shared" si="23"/>
        <v>25684590</v>
      </c>
      <c r="I57" s="56">
        <v>6050444</v>
      </c>
      <c r="J57" s="56">
        <v>4495994</v>
      </c>
      <c r="K57" s="93">
        <v>3574020</v>
      </c>
      <c r="L57" s="56">
        <v>3454367</v>
      </c>
      <c r="M57" s="119">
        <f t="shared" si="24"/>
        <v>17574825</v>
      </c>
      <c r="N57" s="56">
        <v>2906335</v>
      </c>
      <c r="O57" s="56">
        <v>2881513</v>
      </c>
      <c r="P57" s="56">
        <v>2975729</v>
      </c>
      <c r="Q57" s="56">
        <v>3010331</v>
      </c>
      <c r="R57" s="119">
        <f t="shared" si="25"/>
        <v>11773908</v>
      </c>
      <c r="S57" s="56">
        <v>2976035</v>
      </c>
      <c r="T57" s="56">
        <v>2896296</v>
      </c>
      <c r="U57" s="56">
        <v>2807509</v>
      </c>
      <c r="V57" s="56">
        <v>2582087</v>
      </c>
      <c r="W57" s="119">
        <f t="shared" si="26"/>
        <v>11261927</v>
      </c>
      <c r="X57" s="56">
        <v>2408139</v>
      </c>
      <c r="Y57" s="56">
        <v>2280330</v>
      </c>
      <c r="Z57" s="56">
        <v>1819836</v>
      </c>
      <c r="AA57" s="56">
        <v>1822962</v>
      </c>
      <c r="AB57" s="119">
        <f t="shared" si="27"/>
        <v>8331267</v>
      </c>
      <c r="AC57" s="56">
        <v>2078295</v>
      </c>
      <c r="AD57" s="56">
        <v>1978112</v>
      </c>
      <c r="AE57" s="56">
        <v>1993850</v>
      </c>
      <c r="AF57" s="56">
        <v>1896883</v>
      </c>
      <c r="AG57" s="119">
        <f t="shared" si="28"/>
        <v>7947140</v>
      </c>
      <c r="AH57" s="56">
        <v>1822127</v>
      </c>
      <c r="AI57" s="56">
        <v>1533150</v>
      </c>
      <c r="AJ57" s="56">
        <v>1445469</v>
      </c>
      <c r="AK57" s="56">
        <v>1417156</v>
      </c>
      <c r="AL57" s="119">
        <f t="shared" si="29"/>
        <v>6217902</v>
      </c>
      <c r="AM57" s="56">
        <v>1703869</v>
      </c>
      <c r="AN57" s="56">
        <v>3320554</v>
      </c>
      <c r="AO57" s="56">
        <v>2610354</v>
      </c>
      <c r="AQ57" s="119"/>
      <c r="AR57" s="119"/>
    </row>
    <row r="58" spans="1:79" hidden="1" outlineLevel="2">
      <c r="C58" s="80" t="s">
        <v>372</v>
      </c>
      <c r="D58" s="56">
        <v>264413103</v>
      </c>
      <c r="E58" s="56">
        <v>311185834</v>
      </c>
      <c r="F58" s="56">
        <v>343040628</v>
      </c>
      <c r="G58" s="56">
        <v>381438804</v>
      </c>
      <c r="H58" s="119">
        <f t="shared" si="23"/>
        <v>1300078369</v>
      </c>
      <c r="I58" s="56">
        <v>407601958</v>
      </c>
      <c r="J58" s="56">
        <v>415079182</v>
      </c>
      <c r="K58" s="56">
        <v>433594556</v>
      </c>
      <c r="L58" s="56">
        <v>445037482</v>
      </c>
      <c r="M58" s="119">
        <f t="shared" si="24"/>
        <v>1701313178</v>
      </c>
      <c r="N58" s="56">
        <v>475101265</v>
      </c>
      <c r="O58" s="56">
        <v>510420444</v>
      </c>
      <c r="P58" s="56">
        <v>548142738</v>
      </c>
      <c r="Q58" s="56">
        <v>578972257</v>
      </c>
      <c r="R58" s="119">
        <f t="shared" si="25"/>
        <v>2112636704</v>
      </c>
      <c r="S58" s="56">
        <v>695666067</v>
      </c>
      <c r="T58" s="56">
        <v>742329882</v>
      </c>
      <c r="U58" s="56">
        <v>782802514</v>
      </c>
      <c r="V58" s="56">
        <v>821741204</v>
      </c>
      <c r="W58" s="119">
        <f t="shared" si="26"/>
        <v>3042539667</v>
      </c>
      <c r="X58" s="56">
        <v>957750667</v>
      </c>
      <c r="Y58" s="56">
        <v>987982902</v>
      </c>
      <c r="Z58" s="56">
        <v>983254409</v>
      </c>
      <c r="AA58" s="56">
        <v>1023199311</v>
      </c>
      <c r="AB58" s="119">
        <f t="shared" si="27"/>
        <v>3952187289</v>
      </c>
      <c r="AC58" s="56">
        <v>1139242040</v>
      </c>
      <c r="AD58" s="56">
        <v>1161459121</v>
      </c>
      <c r="AE58" s="56">
        <v>1145774584</v>
      </c>
      <c r="AF58" s="56">
        <v>1187872639</v>
      </c>
      <c r="AG58" s="119">
        <f t="shared" si="28"/>
        <v>4634348384</v>
      </c>
      <c r="AH58" s="56">
        <v>1239154103</v>
      </c>
      <c r="AI58" s="56">
        <v>1238514364</v>
      </c>
      <c r="AJ58" s="56">
        <v>1292326046</v>
      </c>
      <c r="AK58" s="56">
        <v>1323437818</v>
      </c>
      <c r="AL58" s="119">
        <f t="shared" si="29"/>
        <v>5093432331</v>
      </c>
      <c r="AM58" s="56">
        <v>1340194883</v>
      </c>
      <c r="AN58" s="56">
        <v>1335889775</v>
      </c>
      <c r="AO58" s="56">
        <v>1319019639</v>
      </c>
      <c r="AQ58" s="119"/>
      <c r="AR58" s="119"/>
    </row>
    <row r="59" spans="1:79" hidden="1" outlineLevel="2">
      <c r="C59" s="80" t="s">
        <v>373</v>
      </c>
      <c r="D59" s="56">
        <v>23524225</v>
      </c>
      <c r="E59" s="56">
        <v>20661788</v>
      </c>
      <c r="F59" s="56">
        <v>19215567</v>
      </c>
      <c r="G59" s="56">
        <v>18375375</v>
      </c>
      <c r="H59" s="119">
        <f t="shared" si="23"/>
        <v>81776955</v>
      </c>
      <c r="I59" s="56">
        <v>18014538</v>
      </c>
      <c r="J59" s="56">
        <v>16561612</v>
      </c>
      <c r="K59" s="56">
        <v>15716925</v>
      </c>
      <c r="L59" s="56">
        <v>14579031</v>
      </c>
      <c r="M59" s="119">
        <f t="shared" si="24"/>
        <v>64872106</v>
      </c>
      <c r="N59" s="56">
        <v>14042146</v>
      </c>
      <c r="O59" s="56">
        <v>12918788</v>
      </c>
      <c r="P59" s="56">
        <v>11539365</v>
      </c>
      <c r="Q59" s="56">
        <v>11019809</v>
      </c>
      <c r="R59" s="119">
        <f t="shared" si="25"/>
        <v>49520108</v>
      </c>
      <c r="S59" s="56">
        <v>10774726</v>
      </c>
      <c r="T59" s="56">
        <v>9942393</v>
      </c>
      <c r="U59" s="56">
        <v>9410256</v>
      </c>
      <c r="V59" s="56">
        <v>8970493</v>
      </c>
      <c r="W59" s="119">
        <f t="shared" si="26"/>
        <v>39097868</v>
      </c>
      <c r="X59" s="56">
        <v>9185130</v>
      </c>
      <c r="Y59" s="56">
        <v>8696913</v>
      </c>
      <c r="Z59" s="56">
        <v>8105150</v>
      </c>
      <c r="AA59" s="56">
        <v>7957050</v>
      </c>
      <c r="AB59" s="119">
        <f t="shared" si="27"/>
        <v>33944243</v>
      </c>
      <c r="AC59" s="56">
        <v>8171607</v>
      </c>
      <c r="AD59" s="56">
        <v>7573166</v>
      </c>
      <c r="AE59" s="56">
        <v>6895802</v>
      </c>
      <c r="AF59" s="56">
        <v>6615704</v>
      </c>
      <c r="AG59" s="119">
        <f t="shared" si="28"/>
        <v>29256279</v>
      </c>
      <c r="AH59" s="56">
        <v>6906465</v>
      </c>
      <c r="AI59" s="56">
        <v>3180511</v>
      </c>
      <c r="AJ59" s="56">
        <v>1665285</v>
      </c>
      <c r="AK59" s="56">
        <v>1314150</v>
      </c>
      <c r="AL59" s="119">
        <f t="shared" si="29"/>
        <v>13066411</v>
      </c>
      <c r="AM59" s="56">
        <v>1210271</v>
      </c>
      <c r="AN59" s="56">
        <v>910842</v>
      </c>
      <c r="AO59" s="56">
        <v>692849</v>
      </c>
      <c r="AQ59" s="119"/>
      <c r="AR59" s="119"/>
    </row>
    <row r="60" spans="1:79" hidden="1" outlineLevel="2">
      <c r="C60" s="80" t="s">
        <v>374</v>
      </c>
      <c r="D60" s="56">
        <v>59074485</v>
      </c>
      <c r="E60" s="56">
        <v>55194418</v>
      </c>
      <c r="F60" s="56">
        <v>50780999</v>
      </c>
      <c r="G60" s="56">
        <v>47949564</v>
      </c>
      <c r="H60" s="119">
        <f t="shared" si="23"/>
        <v>212999466</v>
      </c>
      <c r="I60" s="56">
        <v>46417696</v>
      </c>
      <c r="J60" s="56">
        <v>42817791</v>
      </c>
      <c r="K60" s="56">
        <v>39981246</v>
      </c>
      <c r="L60" s="56">
        <v>37441673</v>
      </c>
      <c r="M60" s="119">
        <f t="shared" si="24"/>
        <v>166658406</v>
      </c>
      <c r="N60" s="56">
        <v>36352649</v>
      </c>
      <c r="O60" s="56">
        <v>34113986</v>
      </c>
      <c r="P60" s="56">
        <v>31800196</v>
      </c>
      <c r="Q60" s="56">
        <v>29390586</v>
      </c>
      <c r="R60" s="119">
        <f t="shared" si="25"/>
        <v>131657417</v>
      </c>
      <c r="S60" s="56">
        <v>29123212</v>
      </c>
      <c r="T60" s="56">
        <v>27172502</v>
      </c>
      <c r="U60" s="56">
        <v>25686145</v>
      </c>
      <c r="V60" s="56">
        <v>23985813</v>
      </c>
      <c r="W60" s="119">
        <f t="shared" si="26"/>
        <v>105967672</v>
      </c>
      <c r="X60" s="56">
        <v>25271912</v>
      </c>
      <c r="Y60" s="56">
        <v>22900131</v>
      </c>
      <c r="Z60" s="56">
        <v>21434297</v>
      </c>
      <c r="AA60" s="56">
        <v>20346880</v>
      </c>
      <c r="AB60" s="119">
        <f t="shared" si="27"/>
        <v>89953220</v>
      </c>
      <c r="AC60" s="56">
        <v>20014906</v>
      </c>
      <c r="AD60" s="56">
        <v>19247597</v>
      </c>
      <c r="AE60" s="56">
        <v>16900029</v>
      </c>
      <c r="AF60" s="56">
        <v>15839313</v>
      </c>
      <c r="AG60" s="119">
        <f t="shared" si="28"/>
        <v>72001845</v>
      </c>
      <c r="AH60" s="56">
        <v>16194059</v>
      </c>
      <c r="AI60" s="56">
        <v>12480932</v>
      </c>
      <c r="AJ60" s="56">
        <v>13341414</v>
      </c>
      <c r="AK60" s="56">
        <v>12029881</v>
      </c>
      <c r="AL60" s="119">
        <f t="shared" si="29"/>
        <v>54046286</v>
      </c>
      <c r="AM60" s="56">
        <v>12406338</v>
      </c>
      <c r="AN60" s="56">
        <v>11697941</v>
      </c>
      <c r="AO60" s="56">
        <v>11411382</v>
      </c>
      <c r="AQ60" s="119"/>
      <c r="AR60" s="119"/>
    </row>
    <row r="61" spans="1:79" hidden="1" outlineLevel="2">
      <c r="C61" s="80" t="s">
        <v>375</v>
      </c>
      <c r="D61" s="56">
        <v>2172469478</v>
      </c>
      <c r="E61" s="56">
        <v>2173993566</v>
      </c>
      <c r="F61" s="56">
        <v>2112498377</v>
      </c>
      <c r="G61" s="56">
        <v>2099656376</v>
      </c>
      <c r="H61" s="119">
        <f t="shared" si="23"/>
        <v>8558617797</v>
      </c>
      <c r="I61" s="56">
        <v>2090787101</v>
      </c>
      <c r="J61" s="56">
        <v>2043303881</v>
      </c>
      <c r="K61" s="56">
        <v>1965962490</v>
      </c>
      <c r="L61" s="56">
        <v>1955731682</v>
      </c>
      <c r="M61" s="119">
        <f t="shared" si="24"/>
        <v>8055785154</v>
      </c>
      <c r="N61" s="56">
        <v>1991760984</v>
      </c>
      <c r="O61" s="56">
        <v>1981012314</v>
      </c>
      <c r="P61" s="56">
        <v>1920424814</v>
      </c>
      <c r="Q61" s="56">
        <v>1887915652</v>
      </c>
      <c r="R61" s="119">
        <f t="shared" si="25"/>
        <v>7781113764</v>
      </c>
      <c r="S61" s="56">
        <v>1960840017</v>
      </c>
      <c r="T61" s="56">
        <v>1905801395</v>
      </c>
      <c r="U61" s="56">
        <v>1848197641</v>
      </c>
      <c r="V61" s="56">
        <v>1840694584</v>
      </c>
      <c r="W61" s="119">
        <f t="shared" si="26"/>
        <v>7555533637</v>
      </c>
      <c r="X61" s="56">
        <v>1954876519</v>
      </c>
      <c r="Y61" s="56">
        <v>1908068241</v>
      </c>
      <c r="Z61" s="56">
        <v>1906815333</v>
      </c>
      <c r="AA61" s="56">
        <v>1920391434</v>
      </c>
      <c r="AB61" s="119">
        <f t="shared" si="27"/>
        <v>7690151527</v>
      </c>
      <c r="AC61" s="56">
        <v>2095417892</v>
      </c>
      <c r="AD61" s="56">
        <v>2128367195</v>
      </c>
      <c r="AE61" s="56">
        <v>2166666292</v>
      </c>
      <c r="AF61" s="56">
        <v>1783685925</v>
      </c>
      <c r="AG61" s="119">
        <f t="shared" si="28"/>
        <v>8174137304</v>
      </c>
      <c r="AH61" s="56">
        <v>1017475677</v>
      </c>
      <c r="AI61" s="56">
        <v>643999848</v>
      </c>
      <c r="AJ61" s="56">
        <v>194791402</v>
      </c>
      <c r="AK61" s="56">
        <v>154696717</v>
      </c>
      <c r="AL61" s="119">
        <f t="shared" si="29"/>
        <v>2010963644</v>
      </c>
      <c r="AM61" s="56">
        <v>144393855</v>
      </c>
      <c r="AN61" s="56">
        <v>94634839</v>
      </c>
      <c r="AO61" s="56">
        <v>77568134</v>
      </c>
      <c r="AQ61" s="119"/>
      <c r="AR61" s="119"/>
    </row>
    <row r="62" spans="1:79" hidden="1" outlineLevel="2">
      <c r="C62" s="80" t="s">
        <v>376</v>
      </c>
      <c r="H62" s="119"/>
      <c r="M62" s="119"/>
      <c r="R62" s="119"/>
      <c r="W62" s="119"/>
      <c r="AB62" s="119"/>
      <c r="AG62" s="119"/>
      <c r="AL62" s="119"/>
      <c r="AN62" s="56">
        <v>612340</v>
      </c>
      <c r="AO62" s="56">
        <v>2804952</v>
      </c>
      <c r="AQ62" s="119"/>
      <c r="AR62" s="119"/>
    </row>
    <row r="63" spans="1:79" hidden="1" outlineLevel="2">
      <c r="C63" s="80" t="s">
        <v>377</v>
      </c>
      <c r="H63" s="119"/>
      <c r="M63" s="119"/>
      <c r="R63" s="119"/>
      <c r="W63" s="119"/>
      <c r="Y63" s="56">
        <v>967647</v>
      </c>
      <c r="Z63" s="56">
        <v>3918098</v>
      </c>
      <c r="AA63" s="56">
        <v>8864852</v>
      </c>
      <c r="AB63" s="119">
        <f>SUM(X63:AA63)</f>
        <v>13750597</v>
      </c>
      <c r="AC63" s="56">
        <v>11560501</v>
      </c>
      <c r="AD63" s="56">
        <v>13926459</v>
      </c>
      <c r="AE63" s="56">
        <v>17683606</v>
      </c>
      <c r="AF63" s="56">
        <v>23526363</v>
      </c>
      <c r="AG63" s="119">
        <f>SUM(AC63:AF63)</f>
        <v>66696929</v>
      </c>
      <c r="AH63" s="56">
        <v>26250140</v>
      </c>
      <c r="AI63" s="56">
        <v>28378896</v>
      </c>
      <c r="AJ63" s="56">
        <v>29696965</v>
      </c>
      <c r="AK63" s="56">
        <v>33234965</v>
      </c>
      <c r="AL63" s="119">
        <f>SUM(AH63:AK63)</f>
        <v>117560966</v>
      </c>
      <c r="AM63" s="56">
        <v>32529390</v>
      </c>
      <c r="AN63" s="56">
        <v>33952380</v>
      </c>
      <c r="AO63" s="56">
        <v>35377136</v>
      </c>
      <c r="AQ63" s="119"/>
      <c r="AR63" s="119"/>
    </row>
    <row r="64" spans="1:79" hidden="1" outlineLevel="2">
      <c r="C64" s="80" t="s">
        <v>378</v>
      </c>
      <c r="D64" s="56">
        <v>968808</v>
      </c>
      <c r="E64" s="56">
        <v>804384</v>
      </c>
      <c r="F64" s="56">
        <v>704517</v>
      </c>
      <c r="G64" s="56">
        <v>702046</v>
      </c>
      <c r="H64" s="119">
        <f t="shared" ref="H64:H70" si="30">SUM(D64:G64)</f>
        <v>3179755</v>
      </c>
      <c r="I64" s="56">
        <v>654449</v>
      </c>
      <c r="J64" s="56">
        <v>609745</v>
      </c>
      <c r="K64" s="56">
        <v>614828</v>
      </c>
      <c r="L64" s="56">
        <v>607643</v>
      </c>
      <c r="M64" s="119">
        <f t="shared" ref="M64:M70" si="31">SUM(I64:L64)</f>
        <v>2486665</v>
      </c>
      <c r="N64" s="56">
        <v>600634</v>
      </c>
      <c r="O64" s="56">
        <v>573817</v>
      </c>
      <c r="P64" s="56">
        <v>505010</v>
      </c>
      <c r="Q64" s="56">
        <v>491817</v>
      </c>
      <c r="R64" s="119">
        <f>SUM(N64:Q64)</f>
        <v>2171278</v>
      </c>
      <c r="S64" s="56">
        <v>477804</v>
      </c>
      <c r="T64" s="56">
        <v>443927</v>
      </c>
      <c r="U64" s="56">
        <v>419723</v>
      </c>
      <c r="V64" s="56">
        <v>302362</v>
      </c>
      <c r="W64" s="119">
        <f>SUM(S64:V64)</f>
        <v>1643816</v>
      </c>
      <c r="X64" s="56">
        <v>151982</v>
      </c>
      <c r="Y64" s="56">
        <v>68033</v>
      </c>
      <c r="Z64" s="56">
        <v>175916</v>
      </c>
      <c r="AA64" s="56">
        <v>169557</v>
      </c>
      <c r="AB64" s="119">
        <f>SUM(X64:AA64)</f>
        <v>565488</v>
      </c>
      <c r="AC64" s="56">
        <v>197764</v>
      </c>
      <c r="AD64" s="56">
        <v>200049</v>
      </c>
      <c r="AE64" s="56">
        <v>180711</v>
      </c>
      <c r="AF64" s="56">
        <v>190399</v>
      </c>
      <c r="AG64" s="119">
        <f>SUM(AC64:AF64)</f>
        <v>768923</v>
      </c>
      <c r="AH64" s="56">
        <v>177975</v>
      </c>
      <c r="AI64" s="56">
        <v>184452</v>
      </c>
      <c r="AJ64" s="56">
        <v>179282</v>
      </c>
      <c r="AK64" s="56">
        <v>203647</v>
      </c>
      <c r="AL64" s="119">
        <f>SUM(AH64:AK64)</f>
        <v>745356</v>
      </c>
      <c r="AM64" s="56">
        <v>177247</v>
      </c>
      <c r="AN64" s="56">
        <v>165823</v>
      </c>
      <c r="AO64" s="56">
        <v>148444</v>
      </c>
      <c r="AQ64" s="119"/>
      <c r="AR64" s="119"/>
    </row>
    <row r="65" spans="3:44" hidden="1" outlineLevel="2">
      <c r="C65" s="80" t="s">
        <v>379</v>
      </c>
      <c r="D65" s="56">
        <v>1424906</v>
      </c>
      <c r="E65" s="56">
        <v>1165777</v>
      </c>
      <c r="F65" s="56">
        <v>1084039</v>
      </c>
      <c r="G65" s="56">
        <v>1088765</v>
      </c>
      <c r="H65" s="119">
        <f t="shared" si="30"/>
        <v>4763487</v>
      </c>
      <c r="I65" s="56">
        <v>999076</v>
      </c>
      <c r="J65" s="56">
        <v>831304</v>
      </c>
      <c r="K65" s="56">
        <v>844206</v>
      </c>
      <c r="L65" s="56">
        <v>797423</v>
      </c>
      <c r="M65" s="119">
        <f t="shared" si="31"/>
        <v>3472009</v>
      </c>
      <c r="N65" s="56">
        <v>804264</v>
      </c>
      <c r="O65" s="56">
        <v>718395</v>
      </c>
      <c r="P65" s="56">
        <v>599213</v>
      </c>
      <c r="Q65" s="56">
        <v>38508</v>
      </c>
      <c r="R65" s="119">
        <f>SUM(N65:Q65)</f>
        <v>2160380</v>
      </c>
      <c r="S65" s="56">
        <v>141719</v>
      </c>
      <c r="T65" s="56">
        <v>172058</v>
      </c>
      <c r="U65" s="56">
        <v>182136</v>
      </c>
      <c r="V65" s="56">
        <v>178489</v>
      </c>
      <c r="W65" s="119">
        <f>SUM(S65:V65)</f>
        <v>674402</v>
      </c>
      <c r="X65" s="56">
        <v>201297</v>
      </c>
      <c r="Y65" s="56">
        <v>192985</v>
      </c>
      <c r="Z65" s="56">
        <v>181355</v>
      </c>
      <c r="AA65" s="56">
        <v>172659</v>
      </c>
      <c r="AB65" s="119">
        <f>SUM(X65:AA65)</f>
        <v>748296</v>
      </c>
      <c r="AC65" s="56">
        <v>161106</v>
      </c>
      <c r="AD65" s="56">
        <v>74469</v>
      </c>
      <c r="AE65" s="56">
        <v>30932</v>
      </c>
      <c r="AF65" s="56">
        <v>50350</v>
      </c>
      <c r="AG65" s="119">
        <f>SUM(AC65:AF65)</f>
        <v>316857</v>
      </c>
      <c r="AH65" s="56">
        <v>66486</v>
      </c>
      <c r="AI65" s="56">
        <v>67173</v>
      </c>
      <c r="AJ65" s="56">
        <v>59500</v>
      </c>
      <c r="AK65" s="56">
        <v>76148</v>
      </c>
      <c r="AL65" s="119">
        <f>SUM(AH65:AK65)</f>
        <v>269307</v>
      </c>
      <c r="AM65" s="56">
        <v>86252</v>
      </c>
      <c r="AN65" s="56">
        <v>33806</v>
      </c>
      <c r="AO65" s="56">
        <v>16712</v>
      </c>
      <c r="AQ65" s="119"/>
      <c r="AR65" s="119"/>
    </row>
    <row r="66" spans="3:44" hidden="1" outlineLevel="2">
      <c r="C66" s="80" t="s">
        <v>380</v>
      </c>
      <c r="D66" s="56">
        <v>387018850</v>
      </c>
      <c r="E66" s="56">
        <v>165834490</v>
      </c>
      <c r="F66" s="56">
        <v>76703716</v>
      </c>
      <c r="G66" s="56">
        <v>71642595</v>
      </c>
      <c r="H66" s="119">
        <f t="shared" si="30"/>
        <v>701199651</v>
      </c>
      <c r="I66" s="56">
        <v>61074863</v>
      </c>
      <c r="J66" s="56">
        <v>52091694</v>
      </c>
      <c r="K66" s="56">
        <v>18397784</v>
      </c>
      <c r="L66" s="56">
        <v>14769939</v>
      </c>
      <c r="M66" s="119">
        <f t="shared" si="31"/>
        <v>146334280</v>
      </c>
      <c r="N66" s="56">
        <v>13438942</v>
      </c>
      <c r="O66" s="56">
        <v>11476293</v>
      </c>
      <c r="P66" s="56">
        <v>10970741</v>
      </c>
      <c r="Q66" s="56">
        <v>10116702</v>
      </c>
      <c r="R66" s="119">
        <f>SUM(N66:Q66)</f>
        <v>46002678</v>
      </c>
      <c r="S66" s="56">
        <v>9133155</v>
      </c>
      <c r="T66" s="56">
        <v>7813368</v>
      </c>
      <c r="U66" s="56">
        <v>7755236</v>
      </c>
      <c r="V66" s="56">
        <v>8060476</v>
      </c>
      <c r="W66" s="119">
        <f>SUM(S66:V66)</f>
        <v>32762235</v>
      </c>
      <c r="X66" s="56">
        <v>7754024</v>
      </c>
      <c r="Y66" s="56">
        <v>6969987</v>
      </c>
      <c r="Z66" s="56">
        <v>6638707</v>
      </c>
      <c r="AA66" s="56">
        <v>9487220</v>
      </c>
      <c r="AB66" s="119">
        <f>SUM(X66:AA66)</f>
        <v>30849938</v>
      </c>
      <c r="AC66" s="56">
        <v>5931340</v>
      </c>
      <c r="AD66" s="56">
        <v>6363917</v>
      </c>
      <c r="AE66" s="56">
        <v>6267642</v>
      </c>
      <c r="AF66" s="56">
        <v>4131333</v>
      </c>
      <c r="AG66" s="119">
        <f>SUM(AC66:AF66)</f>
        <v>22694232</v>
      </c>
      <c r="AH66" s="56">
        <v>3959426</v>
      </c>
      <c r="AI66" s="56">
        <v>3667479</v>
      </c>
      <c r="AJ66" s="56">
        <v>3461919</v>
      </c>
      <c r="AK66" s="56">
        <v>3329428</v>
      </c>
      <c r="AL66" s="119">
        <f>SUM(AH66:AK66)</f>
        <v>14418252</v>
      </c>
      <c r="AM66" s="56">
        <v>3504831</v>
      </c>
      <c r="AN66" s="56">
        <v>3122368</v>
      </c>
      <c r="AO66" s="56">
        <v>3164189</v>
      </c>
      <c r="AQ66" s="119"/>
      <c r="AR66" s="119"/>
    </row>
    <row r="67" spans="3:44" hidden="1" outlineLevel="2">
      <c r="C67" s="80" t="s">
        <v>381</v>
      </c>
      <c r="D67" s="56">
        <v>10172</v>
      </c>
      <c r="E67" s="56">
        <v>3452</v>
      </c>
      <c r="F67" s="56">
        <v>1121</v>
      </c>
      <c r="G67" s="56">
        <v>1547</v>
      </c>
      <c r="H67" s="119">
        <f t="shared" si="30"/>
        <v>16292</v>
      </c>
      <c r="I67" s="56">
        <v>335</v>
      </c>
      <c r="J67" s="56">
        <v>0</v>
      </c>
      <c r="K67" s="56">
        <v>0</v>
      </c>
      <c r="L67" s="56">
        <v>337</v>
      </c>
      <c r="M67" s="119">
        <f t="shared" si="31"/>
        <v>672</v>
      </c>
      <c r="R67" s="119"/>
      <c r="W67" s="119"/>
      <c r="AB67" s="119"/>
      <c r="AG67" s="119"/>
      <c r="AL67" s="119"/>
      <c r="AQ67" s="119"/>
      <c r="AR67" s="119"/>
    </row>
    <row r="68" spans="3:44" hidden="1" outlineLevel="2">
      <c r="C68" s="80" t="s">
        <v>382</v>
      </c>
      <c r="D68" s="56">
        <v>848064</v>
      </c>
      <c r="E68" s="56">
        <v>708915</v>
      </c>
      <c r="F68" s="56">
        <v>523507</v>
      </c>
      <c r="G68" s="56">
        <v>563639</v>
      </c>
      <c r="H68" s="119">
        <f t="shared" si="30"/>
        <v>2644125</v>
      </c>
      <c r="I68" s="56">
        <v>478074</v>
      </c>
      <c r="J68" s="56">
        <v>493221</v>
      </c>
      <c r="K68" s="56">
        <v>522360</v>
      </c>
      <c r="L68" s="56">
        <v>517593</v>
      </c>
      <c r="M68" s="119">
        <f t="shared" si="31"/>
        <v>2011248</v>
      </c>
      <c r="N68" s="56">
        <v>590960</v>
      </c>
      <c r="O68" s="56">
        <v>567599</v>
      </c>
      <c r="P68" s="56">
        <v>587593</v>
      </c>
      <c r="Q68" s="56">
        <v>606537</v>
      </c>
      <c r="R68" s="119">
        <f t="shared" ref="R68:R79" si="32">SUM(N68:Q68)</f>
        <v>2352689</v>
      </c>
      <c r="S68" s="56">
        <v>693097</v>
      </c>
      <c r="T68" s="56">
        <v>668321</v>
      </c>
      <c r="U68" s="56">
        <v>664894</v>
      </c>
      <c r="V68" s="56">
        <v>574063</v>
      </c>
      <c r="W68" s="119">
        <f t="shared" ref="W68:W79" si="33">SUM(S68:V68)</f>
        <v>2600375</v>
      </c>
      <c r="X68" s="56">
        <v>498272</v>
      </c>
      <c r="Y68" s="56">
        <v>489516</v>
      </c>
      <c r="Z68" s="56">
        <v>420273</v>
      </c>
      <c r="AA68" s="56">
        <v>426113</v>
      </c>
      <c r="AB68" s="119">
        <f t="shared" ref="AB68:AB86" si="34">SUM(X68:AA68)</f>
        <v>1834174</v>
      </c>
      <c r="AC68" s="56">
        <v>432604</v>
      </c>
      <c r="AD68" s="56">
        <v>422114</v>
      </c>
      <c r="AE68" s="56">
        <v>425182</v>
      </c>
      <c r="AF68" s="56">
        <v>401115</v>
      </c>
      <c r="AG68" s="119">
        <f t="shared" ref="AG68:AG92" si="35">SUM(AC68:AF68)</f>
        <v>1681015</v>
      </c>
      <c r="AH68" s="56">
        <v>354842</v>
      </c>
      <c r="AI68" s="56">
        <v>322575</v>
      </c>
      <c r="AJ68" s="56">
        <v>291331</v>
      </c>
      <c r="AK68" s="56">
        <v>220710</v>
      </c>
      <c r="AL68" s="119">
        <f t="shared" ref="AL68:AL92" si="36">SUM(AH68:AK68)</f>
        <v>1189458</v>
      </c>
      <c r="AM68" s="56">
        <v>234940</v>
      </c>
      <c r="AN68" s="56">
        <v>242749</v>
      </c>
      <c r="AO68" s="56">
        <v>242826</v>
      </c>
      <c r="AQ68" s="119"/>
      <c r="AR68" s="119"/>
    </row>
    <row r="69" spans="3:44" hidden="1" outlineLevel="2">
      <c r="C69" s="80" t="s">
        <v>383</v>
      </c>
      <c r="D69" s="56">
        <v>383878</v>
      </c>
      <c r="E69" s="56">
        <v>358021</v>
      </c>
      <c r="F69" s="56">
        <v>335241</v>
      </c>
      <c r="G69" s="56">
        <v>315924</v>
      </c>
      <c r="H69" s="119">
        <f t="shared" si="30"/>
        <v>1393064</v>
      </c>
      <c r="I69" s="56">
        <v>282093</v>
      </c>
      <c r="J69" s="56">
        <v>280101</v>
      </c>
      <c r="K69" s="56">
        <v>213949</v>
      </c>
      <c r="L69" s="56">
        <v>195911</v>
      </c>
      <c r="M69" s="119">
        <f t="shared" si="31"/>
        <v>972054</v>
      </c>
      <c r="N69" s="56">
        <v>198173</v>
      </c>
      <c r="O69" s="56">
        <v>179752</v>
      </c>
      <c r="P69" s="56">
        <v>184418</v>
      </c>
      <c r="Q69" s="56">
        <v>157679</v>
      </c>
      <c r="R69" s="119">
        <f t="shared" si="32"/>
        <v>720022</v>
      </c>
      <c r="S69" s="56">
        <v>172126</v>
      </c>
      <c r="T69" s="56">
        <v>153953</v>
      </c>
      <c r="U69" s="56">
        <v>152129</v>
      </c>
      <c r="V69" s="56">
        <v>154166</v>
      </c>
      <c r="W69" s="119">
        <f t="shared" si="33"/>
        <v>632374</v>
      </c>
      <c r="X69" s="56">
        <v>128473</v>
      </c>
      <c r="Y69" s="56">
        <v>121624</v>
      </c>
      <c r="Z69" s="56">
        <v>128717</v>
      </c>
      <c r="AA69" s="56">
        <v>121337</v>
      </c>
      <c r="AB69" s="119">
        <f t="shared" si="34"/>
        <v>500151</v>
      </c>
      <c r="AC69" s="56">
        <v>116338</v>
      </c>
      <c r="AD69" s="56">
        <v>120538</v>
      </c>
      <c r="AE69" s="56">
        <v>93069</v>
      </c>
      <c r="AF69" s="56">
        <v>111653</v>
      </c>
      <c r="AG69" s="119">
        <f t="shared" si="35"/>
        <v>441598</v>
      </c>
      <c r="AH69" s="56">
        <v>100715</v>
      </c>
      <c r="AI69" s="56">
        <v>118924</v>
      </c>
      <c r="AJ69" s="56">
        <v>141172</v>
      </c>
      <c r="AK69" s="56">
        <v>125008</v>
      </c>
      <c r="AL69" s="119">
        <f t="shared" si="36"/>
        <v>485819</v>
      </c>
      <c r="AM69" s="56">
        <v>113824</v>
      </c>
      <c r="AN69" s="56">
        <v>84565</v>
      </c>
      <c r="AO69" s="56">
        <v>86157</v>
      </c>
      <c r="AQ69" s="119"/>
      <c r="AR69" s="119"/>
    </row>
    <row r="70" spans="3:44" hidden="1" outlineLevel="2">
      <c r="C70" s="80" t="s">
        <v>384</v>
      </c>
      <c r="D70" s="56">
        <v>292491141</v>
      </c>
      <c r="E70" s="56">
        <v>305070487</v>
      </c>
      <c r="F70" s="56">
        <v>307203522</v>
      </c>
      <c r="G70" s="56">
        <v>314535013</v>
      </c>
      <c r="H70" s="119">
        <f t="shared" si="30"/>
        <v>1219300163</v>
      </c>
      <c r="I70" s="56">
        <v>333469079</v>
      </c>
      <c r="J70" s="56">
        <v>341896082</v>
      </c>
      <c r="K70" s="56">
        <v>344633691</v>
      </c>
      <c r="L70" s="56">
        <v>349865205</v>
      </c>
      <c r="M70" s="119">
        <f t="shared" si="31"/>
        <v>1369864057</v>
      </c>
      <c r="N70" s="56">
        <v>372365234</v>
      </c>
      <c r="O70" s="56">
        <v>380806808</v>
      </c>
      <c r="P70" s="56">
        <v>398800141</v>
      </c>
      <c r="Q70" s="56">
        <v>401903674</v>
      </c>
      <c r="R70" s="119">
        <f t="shared" si="32"/>
        <v>1553875857</v>
      </c>
      <c r="S70" s="56">
        <v>432378980</v>
      </c>
      <c r="T70" s="56">
        <v>419626370</v>
      </c>
      <c r="U70" s="56">
        <v>388748073</v>
      </c>
      <c r="V70" s="56">
        <v>383882082</v>
      </c>
      <c r="W70" s="119">
        <f t="shared" si="33"/>
        <v>1624635505</v>
      </c>
      <c r="X70" s="56">
        <v>380166803</v>
      </c>
      <c r="Y70" s="56">
        <v>356153229</v>
      </c>
      <c r="Z70" s="56">
        <v>350561958</v>
      </c>
      <c r="AA70" s="56">
        <v>340885432</v>
      </c>
      <c r="AB70" s="119">
        <f t="shared" si="34"/>
        <v>1427767422</v>
      </c>
      <c r="AC70" s="56">
        <v>356170658</v>
      </c>
      <c r="AD70" s="56">
        <v>352874054</v>
      </c>
      <c r="AE70" s="56">
        <v>353196195</v>
      </c>
      <c r="AF70" s="56">
        <v>343895481</v>
      </c>
      <c r="AG70" s="119">
        <f t="shared" si="35"/>
        <v>1406136388</v>
      </c>
      <c r="AH70" s="56">
        <v>336151657</v>
      </c>
      <c r="AI70" s="56">
        <v>322983758</v>
      </c>
      <c r="AJ70" s="56">
        <v>321139864</v>
      </c>
      <c r="AK70" s="56">
        <v>187568748</v>
      </c>
      <c r="AL70" s="119">
        <f t="shared" si="36"/>
        <v>1167844027</v>
      </c>
      <c r="AM70" s="56">
        <v>55030930</v>
      </c>
      <c r="AN70" s="56">
        <v>26911890</v>
      </c>
      <c r="AO70" s="56">
        <v>30105794</v>
      </c>
      <c r="AQ70" s="119"/>
      <c r="AR70" s="119"/>
    </row>
    <row r="71" spans="3:44" hidden="1" outlineLevel="2">
      <c r="C71" s="80" t="s">
        <v>385</v>
      </c>
      <c r="H71" s="119"/>
      <c r="M71" s="119"/>
      <c r="Q71" s="56">
        <v>3330086</v>
      </c>
      <c r="R71" s="119">
        <f t="shared" si="32"/>
        <v>3330086</v>
      </c>
      <c r="S71" s="56">
        <v>29073548</v>
      </c>
      <c r="T71" s="56">
        <v>41320779</v>
      </c>
      <c r="U71" s="56">
        <v>72204616</v>
      </c>
      <c r="V71" s="56">
        <v>102748212</v>
      </c>
      <c r="W71" s="119">
        <f t="shared" si="33"/>
        <v>245347155</v>
      </c>
      <c r="X71" s="56">
        <v>125665275</v>
      </c>
      <c r="Y71" s="56">
        <v>134213625</v>
      </c>
      <c r="Z71" s="56">
        <v>135890140</v>
      </c>
      <c r="AA71" s="56">
        <v>134416688</v>
      </c>
      <c r="AB71" s="119">
        <f t="shared" si="34"/>
        <v>530185728</v>
      </c>
      <c r="AC71" s="56">
        <v>142335937</v>
      </c>
      <c r="AD71" s="56">
        <v>145212754</v>
      </c>
      <c r="AE71" s="56">
        <v>144745934</v>
      </c>
      <c r="AF71" s="56">
        <v>142388502</v>
      </c>
      <c r="AG71" s="119">
        <f t="shared" si="35"/>
        <v>574683127</v>
      </c>
      <c r="AH71" s="56">
        <v>140820519</v>
      </c>
      <c r="AI71" s="56">
        <v>139277478</v>
      </c>
      <c r="AJ71" s="56">
        <v>139385484</v>
      </c>
      <c r="AK71" s="56">
        <v>137999807</v>
      </c>
      <c r="AL71" s="119">
        <f t="shared" si="36"/>
        <v>557483288</v>
      </c>
      <c r="AM71" s="56">
        <v>136972900</v>
      </c>
      <c r="AN71" s="56">
        <v>130278640</v>
      </c>
      <c r="AO71" s="56">
        <v>44245723</v>
      </c>
      <c r="AQ71" s="119"/>
      <c r="AR71" s="119"/>
    </row>
    <row r="72" spans="3:44" hidden="1" outlineLevel="2">
      <c r="C72" s="80" t="s">
        <v>386</v>
      </c>
      <c r="D72" s="56">
        <v>384315384</v>
      </c>
      <c r="E72" s="56">
        <v>446987090</v>
      </c>
      <c r="F72" s="56">
        <v>480775587</v>
      </c>
      <c r="G72" s="56">
        <v>520095116</v>
      </c>
      <c r="H72" s="119">
        <f t="shared" ref="H72:H78" si="37">SUM(D72:G72)</f>
        <v>1832173177</v>
      </c>
      <c r="I72" s="56">
        <v>580688366</v>
      </c>
      <c r="J72" s="56">
        <v>605272431</v>
      </c>
      <c r="K72" s="56">
        <v>615928478</v>
      </c>
      <c r="L72" s="56">
        <v>663252440</v>
      </c>
      <c r="M72" s="119">
        <f t="shared" ref="M72:M78" si="38">SUM(I72:L72)</f>
        <v>2465141715</v>
      </c>
      <c r="N72" s="56">
        <v>594118959</v>
      </c>
      <c r="O72" s="56">
        <v>489500197</v>
      </c>
      <c r="P72" s="56">
        <v>455376202</v>
      </c>
      <c r="Q72" s="56">
        <v>414462383</v>
      </c>
      <c r="R72" s="119">
        <f t="shared" si="32"/>
        <v>1953457741</v>
      </c>
      <c r="S72" s="56">
        <v>396469845</v>
      </c>
      <c r="T72" s="56">
        <v>378815363</v>
      </c>
      <c r="U72" s="56">
        <v>376132779</v>
      </c>
      <c r="V72" s="56">
        <v>355968602</v>
      </c>
      <c r="W72" s="119">
        <f t="shared" si="33"/>
        <v>1507386589</v>
      </c>
      <c r="X72" s="56">
        <v>359617122</v>
      </c>
      <c r="Y72" s="56">
        <v>340968624</v>
      </c>
      <c r="Z72" s="56">
        <v>334288138</v>
      </c>
      <c r="AA72" s="56">
        <v>324971525</v>
      </c>
      <c r="AB72" s="119">
        <f t="shared" si="34"/>
        <v>1359845409</v>
      </c>
      <c r="AC72" s="56">
        <v>306697208</v>
      </c>
      <c r="AD72" s="56">
        <v>293456077</v>
      </c>
      <c r="AE72" s="56">
        <v>271618138</v>
      </c>
      <c r="AF72" s="56">
        <v>262119755</v>
      </c>
      <c r="AG72" s="119">
        <f t="shared" si="35"/>
        <v>1133891178</v>
      </c>
      <c r="AH72" s="56">
        <v>249845428</v>
      </c>
      <c r="AI72" s="56">
        <v>246698851</v>
      </c>
      <c r="AJ72" s="56">
        <v>237421021</v>
      </c>
      <c r="AK72" s="56">
        <v>230146955</v>
      </c>
      <c r="AL72" s="119">
        <f t="shared" si="36"/>
        <v>964112255</v>
      </c>
      <c r="AM72" s="56">
        <v>227316670</v>
      </c>
      <c r="AN72" s="56">
        <v>221468707</v>
      </c>
      <c r="AO72" s="56">
        <v>212831184</v>
      </c>
      <c r="AQ72" s="119"/>
      <c r="AR72" s="119"/>
    </row>
    <row r="73" spans="3:44" hidden="1" outlineLevel="2">
      <c r="C73" s="80" t="s">
        <v>387</v>
      </c>
      <c r="D73" s="56">
        <v>40520480</v>
      </c>
      <c r="E73" s="56">
        <v>41989541</v>
      </c>
      <c r="F73" s="56">
        <v>42060911</v>
      </c>
      <c r="G73" s="56">
        <v>45286929</v>
      </c>
      <c r="H73" s="119">
        <f t="shared" si="37"/>
        <v>169857861</v>
      </c>
      <c r="I73" s="56">
        <v>47674246</v>
      </c>
      <c r="J73" s="56">
        <v>49862085</v>
      </c>
      <c r="K73" s="56">
        <v>52582857</v>
      </c>
      <c r="L73" s="56">
        <v>55945377</v>
      </c>
      <c r="M73" s="119">
        <f t="shared" si="38"/>
        <v>206064565</v>
      </c>
      <c r="N73" s="56">
        <v>59174722</v>
      </c>
      <c r="O73" s="56">
        <v>64763085</v>
      </c>
      <c r="P73" s="56">
        <v>70982902</v>
      </c>
      <c r="Q73" s="56">
        <v>72217131</v>
      </c>
      <c r="R73" s="119">
        <f t="shared" si="32"/>
        <v>267137840</v>
      </c>
      <c r="S73" s="56">
        <v>78566829</v>
      </c>
      <c r="T73" s="56">
        <v>83366168</v>
      </c>
      <c r="U73" s="56">
        <v>83590514</v>
      </c>
      <c r="V73" s="56">
        <v>85386359</v>
      </c>
      <c r="W73" s="119">
        <f t="shared" si="33"/>
        <v>330909870</v>
      </c>
      <c r="X73" s="56">
        <v>99204477</v>
      </c>
      <c r="Y73" s="56">
        <v>104359294</v>
      </c>
      <c r="Z73" s="56">
        <v>103545551</v>
      </c>
      <c r="AA73" s="56">
        <v>106436340</v>
      </c>
      <c r="AB73" s="119">
        <f t="shared" si="34"/>
        <v>413545662</v>
      </c>
      <c r="AC73" s="56">
        <v>106584256</v>
      </c>
      <c r="AD73" s="56">
        <v>110977413</v>
      </c>
      <c r="AE73" s="56">
        <v>110025071</v>
      </c>
      <c r="AF73" s="56">
        <v>113002846</v>
      </c>
      <c r="AG73" s="119">
        <f t="shared" si="35"/>
        <v>440589586</v>
      </c>
      <c r="AH73" s="56">
        <v>116770667</v>
      </c>
      <c r="AI73" s="56">
        <v>122247766</v>
      </c>
      <c r="AJ73" s="56">
        <v>124193818</v>
      </c>
      <c r="AK73" s="56">
        <v>126980974</v>
      </c>
      <c r="AL73" s="119">
        <f t="shared" si="36"/>
        <v>490193225</v>
      </c>
      <c r="AM73" s="56">
        <v>138887992</v>
      </c>
      <c r="AN73" s="56">
        <v>145423658</v>
      </c>
      <c r="AO73" s="56">
        <v>143672103</v>
      </c>
      <c r="AQ73" s="119"/>
      <c r="AR73" s="119"/>
    </row>
    <row r="74" spans="3:44" hidden="1" outlineLevel="2">
      <c r="C74" s="80" t="s">
        <v>388</v>
      </c>
      <c r="D74" s="56">
        <v>346065606</v>
      </c>
      <c r="E74" s="56">
        <v>364031420</v>
      </c>
      <c r="F74" s="56">
        <v>395957543</v>
      </c>
      <c r="G74" s="56">
        <v>412452708</v>
      </c>
      <c r="H74" s="119">
        <f t="shared" si="37"/>
        <v>1518507277</v>
      </c>
      <c r="I74" s="56">
        <v>429966815</v>
      </c>
      <c r="J74" s="56">
        <v>460454045</v>
      </c>
      <c r="K74" s="56">
        <v>470410867</v>
      </c>
      <c r="L74" s="56">
        <v>480295972</v>
      </c>
      <c r="M74" s="119">
        <f t="shared" si="38"/>
        <v>1841127699</v>
      </c>
      <c r="N74" s="56">
        <v>449647080</v>
      </c>
      <c r="O74" s="56">
        <v>383428270</v>
      </c>
      <c r="P74" s="56">
        <v>364570745</v>
      </c>
      <c r="Q74" s="56">
        <v>349185150</v>
      </c>
      <c r="R74" s="119">
        <f t="shared" si="32"/>
        <v>1546831245</v>
      </c>
      <c r="S74" s="56">
        <v>351523898</v>
      </c>
      <c r="T74" s="56">
        <v>355126516</v>
      </c>
      <c r="U74" s="56">
        <v>366525042</v>
      </c>
      <c r="V74" s="56">
        <v>349814439</v>
      </c>
      <c r="W74" s="119">
        <f t="shared" si="33"/>
        <v>1422989895</v>
      </c>
      <c r="X74" s="56">
        <v>367645570</v>
      </c>
      <c r="Y74" s="56">
        <v>354587583</v>
      </c>
      <c r="Z74" s="56">
        <v>357664828</v>
      </c>
      <c r="AA74" s="56">
        <v>359828743</v>
      </c>
      <c r="AB74" s="119">
        <f t="shared" si="34"/>
        <v>1439726724</v>
      </c>
      <c r="AC74" s="56">
        <v>362956881</v>
      </c>
      <c r="AD74" s="56">
        <v>365946591</v>
      </c>
      <c r="AE74" s="56">
        <v>334325061</v>
      </c>
      <c r="AF74" s="56">
        <v>344701716</v>
      </c>
      <c r="AG74" s="119">
        <f t="shared" si="35"/>
        <v>1407930249</v>
      </c>
      <c r="AH74" s="56">
        <v>359091297</v>
      </c>
      <c r="AI74" s="56">
        <v>368072742</v>
      </c>
      <c r="AJ74" s="56">
        <v>374223821</v>
      </c>
      <c r="AK74" s="56">
        <v>389302954</v>
      </c>
      <c r="AL74" s="119">
        <f t="shared" si="36"/>
        <v>1490690814</v>
      </c>
      <c r="AM74" s="56">
        <v>408554264</v>
      </c>
      <c r="AN74" s="56">
        <v>412394134</v>
      </c>
      <c r="AO74" s="56">
        <v>441965831</v>
      </c>
      <c r="AQ74" s="119"/>
      <c r="AR74" s="119"/>
    </row>
    <row r="75" spans="3:44" hidden="1" outlineLevel="2">
      <c r="C75" s="80" t="s">
        <v>389</v>
      </c>
      <c r="D75" s="56">
        <v>1227139968</v>
      </c>
      <c r="E75" s="56">
        <v>1221434938</v>
      </c>
      <c r="F75" s="56">
        <v>326041771</v>
      </c>
      <c r="G75" s="56">
        <v>346776616</v>
      </c>
      <c r="H75" s="119">
        <f t="shared" si="37"/>
        <v>3121393293</v>
      </c>
      <c r="I75" s="56">
        <v>103532594</v>
      </c>
      <c r="J75" s="56">
        <v>42277568</v>
      </c>
      <c r="K75" s="56">
        <v>37241673</v>
      </c>
      <c r="L75" s="56">
        <v>39588571</v>
      </c>
      <c r="M75" s="119">
        <f t="shared" si="38"/>
        <v>222640406</v>
      </c>
      <c r="N75" s="56">
        <v>45730012</v>
      </c>
      <c r="O75" s="56">
        <v>34640485</v>
      </c>
      <c r="P75" s="56">
        <v>22927524</v>
      </c>
      <c r="Q75" s="56">
        <v>19244289</v>
      </c>
      <c r="R75" s="119">
        <f t="shared" si="32"/>
        <v>122542310</v>
      </c>
      <c r="S75" s="56">
        <v>15071405</v>
      </c>
      <c r="T75" s="56">
        <v>14008962</v>
      </c>
      <c r="U75" s="56">
        <v>13376581</v>
      </c>
      <c r="V75" s="56">
        <v>12700821</v>
      </c>
      <c r="W75" s="119">
        <f t="shared" si="33"/>
        <v>55157769</v>
      </c>
      <c r="X75" s="56">
        <v>12863620</v>
      </c>
      <c r="Y75" s="56">
        <v>12301246</v>
      </c>
      <c r="Z75" s="56">
        <v>12432739</v>
      </c>
      <c r="AA75" s="56">
        <v>13347110</v>
      </c>
      <c r="AB75" s="119">
        <f t="shared" si="34"/>
        <v>50944715</v>
      </c>
      <c r="AC75" s="56">
        <v>11381172</v>
      </c>
      <c r="AD75" s="56">
        <v>10908697</v>
      </c>
      <c r="AE75" s="56">
        <v>10167072</v>
      </c>
      <c r="AF75" s="56">
        <v>8692627</v>
      </c>
      <c r="AG75" s="119">
        <f t="shared" si="35"/>
        <v>41149568</v>
      </c>
      <c r="AH75" s="56">
        <v>8522722</v>
      </c>
      <c r="AI75" s="56">
        <v>7921029</v>
      </c>
      <c r="AJ75" s="56">
        <v>7874314</v>
      </c>
      <c r="AK75" s="56">
        <v>7643224</v>
      </c>
      <c r="AL75" s="119">
        <f t="shared" si="36"/>
        <v>31961289</v>
      </c>
      <c r="AM75" s="56">
        <v>7198197</v>
      </c>
      <c r="AN75" s="56">
        <v>6857052</v>
      </c>
      <c r="AO75" s="56">
        <v>6964706</v>
      </c>
      <c r="AQ75" s="119"/>
      <c r="AR75" s="119"/>
    </row>
    <row r="76" spans="3:44" hidden="1" outlineLevel="1" collapsed="1">
      <c r="C76" s="118" t="s">
        <v>390</v>
      </c>
      <c r="D76" s="119">
        <f>SUM(D77:D85)</f>
        <v>31178946</v>
      </c>
      <c r="E76" s="119">
        <f>SUM(E77:E85)</f>
        <v>29155658</v>
      </c>
      <c r="F76" s="119">
        <f>SUM(F77:F85)</f>
        <v>29171534</v>
      </c>
      <c r="G76" s="119">
        <f>SUM(G77:G85)</f>
        <v>30061950</v>
      </c>
      <c r="H76" s="119">
        <f t="shared" si="37"/>
        <v>119568088</v>
      </c>
      <c r="I76" s="119">
        <f>SUM(I77:I85)</f>
        <v>30349541</v>
      </c>
      <c r="J76" s="119">
        <f>SUM(J77:J85)</f>
        <v>30777981</v>
      </c>
      <c r="K76" s="119">
        <f>SUM(K77:K85)</f>
        <v>33133213</v>
      </c>
      <c r="L76" s="119">
        <f>SUM(L77:L85)</f>
        <v>34307052</v>
      </c>
      <c r="M76" s="119">
        <f t="shared" si="38"/>
        <v>128567787</v>
      </c>
      <c r="N76" s="119">
        <f>SUM(N77:N85)</f>
        <v>40083810</v>
      </c>
      <c r="O76" s="119">
        <f>SUM(O77:O85)</f>
        <v>42703067</v>
      </c>
      <c r="P76" s="119">
        <f>SUM(P77:P85)</f>
        <v>50466716</v>
      </c>
      <c r="Q76" s="119">
        <f>SUM(Q77:Q85)</f>
        <v>53758128</v>
      </c>
      <c r="R76" s="119">
        <f t="shared" si="32"/>
        <v>187011721</v>
      </c>
      <c r="S76" s="119">
        <f>SUM(S77:S85)</f>
        <v>60445406</v>
      </c>
      <c r="T76" s="119">
        <f>SUM(T77:T85)</f>
        <v>60935588</v>
      </c>
      <c r="U76" s="119">
        <f>SUM(U77:U85)</f>
        <v>59397437</v>
      </c>
      <c r="V76" s="119">
        <f>SUM(V77:V85)</f>
        <v>58899496</v>
      </c>
      <c r="W76" s="119">
        <f t="shared" si="33"/>
        <v>239677927</v>
      </c>
      <c r="X76" s="119">
        <f>SUM(X77:X85)</f>
        <v>63052891</v>
      </c>
      <c r="Y76" s="119">
        <f>SUM(Y77:Y85)</f>
        <v>64389676</v>
      </c>
      <c r="Z76" s="119">
        <f>SUM(Z77:Z85)</f>
        <v>66522077</v>
      </c>
      <c r="AA76" s="119">
        <f>SUM(AA77:AA85)</f>
        <v>66328895</v>
      </c>
      <c r="AB76" s="119">
        <f t="shared" si="34"/>
        <v>260293539</v>
      </c>
      <c r="AC76" s="119">
        <f>SUM(AC77:AC85)</f>
        <v>67568109</v>
      </c>
      <c r="AD76" s="119">
        <f>SUM(AD77:AD85)</f>
        <v>64666938</v>
      </c>
      <c r="AE76" s="119">
        <f>SUM(AE77:AE85)</f>
        <v>57723380</v>
      </c>
      <c r="AF76" s="119">
        <f>SUM(AF77:AF85)</f>
        <v>57883762</v>
      </c>
      <c r="AG76" s="119">
        <f t="shared" si="35"/>
        <v>247842189</v>
      </c>
      <c r="AH76" s="119">
        <f>SUM(AH77:AH85)</f>
        <v>58635654</v>
      </c>
      <c r="AI76" s="119">
        <f>SUM(AI77:AI85)</f>
        <v>58249834</v>
      </c>
      <c r="AJ76" s="119">
        <f>SUM(AJ77:AJ85)</f>
        <v>57563285</v>
      </c>
      <c r="AK76" s="119">
        <f>SUM(AK77:AK85)</f>
        <v>59900630</v>
      </c>
      <c r="AL76" s="119">
        <f t="shared" si="36"/>
        <v>234349403</v>
      </c>
      <c r="AM76" s="119">
        <f>SUM(AM77:AM85)</f>
        <v>58583515</v>
      </c>
      <c r="AN76" s="119">
        <f>SUM(AN77:AN85)</f>
        <v>49481350</v>
      </c>
      <c r="AO76" s="119">
        <f>SUM(AO77:AO85)</f>
        <v>51061338</v>
      </c>
      <c r="AQ76" s="119"/>
      <c r="AR76" s="119"/>
    </row>
    <row r="77" spans="3:44" hidden="1" outlineLevel="2">
      <c r="C77" s="80" t="s">
        <v>391</v>
      </c>
      <c r="D77" s="56">
        <v>14012504</v>
      </c>
      <c r="E77" s="56">
        <v>11922733</v>
      </c>
      <c r="F77" s="56">
        <v>11319972</v>
      </c>
      <c r="G77" s="56">
        <v>11222913</v>
      </c>
      <c r="H77" s="119">
        <f t="shared" si="37"/>
        <v>48478122</v>
      </c>
      <c r="I77" s="56">
        <v>10524902</v>
      </c>
      <c r="J77" s="56">
        <v>10084316</v>
      </c>
      <c r="K77" s="56">
        <v>10042931</v>
      </c>
      <c r="L77" s="56">
        <v>8566947</v>
      </c>
      <c r="M77" s="119">
        <f t="shared" si="38"/>
        <v>39219096</v>
      </c>
      <c r="N77" s="56">
        <v>7056173</v>
      </c>
      <c r="O77" s="56">
        <v>6018034</v>
      </c>
      <c r="P77" s="56">
        <v>5937662</v>
      </c>
      <c r="Q77" s="56">
        <v>5380876</v>
      </c>
      <c r="R77" s="119">
        <f t="shared" si="32"/>
        <v>24392745</v>
      </c>
      <c r="S77" s="56">
        <v>5214695</v>
      </c>
      <c r="T77" s="56">
        <v>4913203</v>
      </c>
      <c r="U77" s="56">
        <v>4889304</v>
      </c>
      <c r="V77" s="56">
        <v>4586127</v>
      </c>
      <c r="W77" s="119">
        <f t="shared" si="33"/>
        <v>19603329</v>
      </c>
      <c r="X77" s="56">
        <v>4300702</v>
      </c>
      <c r="Y77" s="56">
        <v>4089994</v>
      </c>
      <c r="Z77" s="56">
        <v>4809919</v>
      </c>
      <c r="AA77" s="56">
        <v>4877189</v>
      </c>
      <c r="AB77" s="119">
        <f t="shared" si="34"/>
        <v>18077804</v>
      </c>
      <c r="AC77" s="56">
        <v>4497628</v>
      </c>
      <c r="AD77" s="56">
        <v>4336126</v>
      </c>
      <c r="AE77" s="56">
        <v>3538511</v>
      </c>
      <c r="AF77" s="56">
        <v>3659684</v>
      </c>
      <c r="AG77" s="119">
        <f t="shared" si="35"/>
        <v>16031949</v>
      </c>
      <c r="AH77" s="56">
        <v>3831682</v>
      </c>
      <c r="AI77" s="56">
        <v>3381638</v>
      </c>
      <c r="AJ77" s="56">
        <v>3272905</v>
      </c>
      <c r="AK77" s="56">
        <v>3303090</v>
      </c>
      <c r="AL77" s="119">
        <f t="shared" si="36"/>
        <v>13789315</v>
      </c>
      <c r="AM77" s="56">
        <v>3022291</v>
      </c>
      <c r="AN77" s="56">
        <v>2855077</v>
      </c>
      <c r="AO77" s="56">
        <v>2745519</v>
      </c>
      <c r="AQ77" s="119"/>
      <c r="AR77" s="119"/>
    </row>
    <row r="78" spans="3:44" hidden="1" outlineLevel="2">
      <c r="C78" s="80" t="s">
        <v>392</v>
      </c>
      <c r="D78" s="56">
        <v>10283619</v>
      </c>
      <c r="E78" s="56">
        <v>10758059</v>
      </c>
      <c r="F78" s="56">
        <v>11132468</v>
      </c>
      <c r="G78" s="56">
        <v>12055612</v>
      </c>
      <c r="H78" s="119">
        <f t="shared" si="37"/>
        <v>44229758</v>
      </c>
      <c r="I78" s="56">
        <v>12306302</v>
      </c>
      <c r="J78" s="56">
        <v>13252603</v>
      </c>
      <c r="K78" s="56">
        <v>14411337</v>
      </c>
      <c r="L78" s="56">
        <v>15812844</v>
      </c>
      <c r="M78" s="119">
        <f t="shared" si="38"/>
        <v>55783086</v>
      </c>
      <c r="N78" s="56">
        <v>17067579</v>
      </c>
      <c r="O78" s="56">
        <v>18086881</v>
      </c>
      <c r="P78" s="56">
        <v>20606552</v>
      </c>
      <c r="Q78" s="56">
        <v>21632821</v>
      </c>
      <c r="R78" s="119">
        <f t="shared" si="32"/>
        <v>77393833</v>
      </c>
      <c r="S78" s="56">
        <v>22852173</v>
      </c>
      <c r="T78" s="56">
        <v>21528603</v>
      </c>
      <c r="U78" s="56">
        <v>18230316</v>
      </c>
      <c r="V78" s="56">
        <v>15203960</v>
      </c>
      <c r="W78" s="119">
        <f t="shared" si="33"/>
        <v>77815052</v>
      </c>
      <c r="X78" s="56">
        <v>14230204</v>
      </c>
      <c r="Y78" s="56">
        <v>13534214</v>
      </c>
      <c r="Z78" s="56">
        <v>13276001</v>
      </c>
      <c r="AA78" s="56">
        <v>13830682</v>
      </c>
      <c r="AB78" s="119">
        <f t="shared" si="34"/>
        <v>54871101</v>
      </c>
      <c r="AC78" s="56">
        <v>13983985</v>
      </c>
      <c r="AD78" s="56">
        <v>13640759</v>
      </c>
      <c r="AE78" s="56">
        <v>13981688</v>
      </c>
      <c r="AF78" s="56">
        <v>14103013</v>
      </c>
      <c r="AG78" s="119">
        <f t="shared" si="35"/>
        <v>55709445</v>
      </c>
      <c r="AH78" s="56">
        <v>15032329</v>
      </c>
      <c r="AI78" s="56">
        <v>15779920</v>
      </c>
      <c r="AJ78" s="56">
        <v>15181318</v>
      </c>
      <c r="AK78" s="56">
        <v>15313724</v>
      </c>
      <c r="AL78" s="119">
        <f t="shared" si="36"/>
        <v>61307291</v>
      </c>
      <c r="AM78" s="56">
        <v>13833364</v>
      </c>
      <c r="AN78" s="56">
        <v>6559866</v>
      </c>
      <c r="AO78" s="56">
        <v>6375053</v>
      </c>
      <c r="AQ78" s="119"/>
      <c r="AR78" s="119"/>
    </row>
    <row r="79" spans="3:44" hidden="1" outlineLevel="2">
      <c r="C79" s="80" t="s">
        <v>393</v>
      </c>
      <c r="H79" s="119"/>
      <c r="M79" s="119"/>
      <c r="N79" s="56">
        <v>237394</v>
      </c>
      <c r="O79" s="56">
        <v>996436</v>
      </c>
      <c r="P79" s="56">
        <v>1677689</v>
      </c>
      <c r="Q79" s="56">
        <v>2448475</v>
      </c>
      <c r="R79" s="119">
        <f t="shared" si="32"/>
        <v>5359994</v>
      </c>
      <c r="S79" s="56">
        <v>3113813</v>
      </c>
      <c r="T79" s="56">
        <v>3829417</v>
      </c>
      <c r="U79" s="56">
        <v>4941590</v>
      </c>
      <c r="V79" s="56">
        <v>5660291</v>
      </c>
      <c r="W79" s="119">
        <f t="shared" si="33"/>
        <v>17545111</v>
      </c>
      <c r="X79" s="56">
        <v>6233735</v>
      </c>
      <c r="Y79" s="56">
        <v>6291234</v>
      </c>
      <c r="Z79" s="56">
        <v>4766144</v>
      </c>
      <c r="AA79" s="56">
        <v>2458412</v>
      </c>
      <c r="AB79" s="119">
        <f t="shared" si="34"/>
        <v>19749525</v>
      </c>
      <c r="AC79" s="56">
        <v>2661391</v>
      </c>
      <c r="AD79" s="56">
        <v>2101226</v>
      </c>
      <c r="AE79" s="56">
        <v>1760974</v>
      </c>
      <c r="AF79" s="56">
        <v>1646804</v>
      </c>
      <c r="AG79" s="119">
        <f t="shared" si="35"/>
        <v>8170395</v>
      </c>
      <c r="AH79" s="56">
        <v>1838811</v>
      </c>
      <c r="AI79" s="56">
        <v>2118139</v>
      </c>
      <c r="AJ79" s="56">
        <v>2617123</v>
      </c>
      <c r="AK79" s="56">
        <v>2843391</v>
      </c>
      <c r="AL79" s="119">
        <f t="shared" si="36"/>
        <v>9417464</v>
      </c>
      <c r="AM79" s="56">
        <v>2751813</v>
      </c>
      <c r="AN79" s="56">
        <v>2506094</v>
      </c>
      <c r="AO79" s="56">
        <v>2575046</v>
      </c>
      <c r="AQ79" s="119"/>
      <c r="AR79" s="119"/>
    </row>
    <row r="80" spans="3:44" hidden="1" outlineLevel="2">
      <c r="C80" s="80" t="s">
        <v>394</v>
      </c>
      <c r="H80" s="119"/>
      <c r="M80" s="119"/>
      <c r="R80" s="119"/>
      <c r="U80" s="56">
        <v>1617</v>
      </c>
      <c r="V80" s="56">
        <v>30228</v>
      </c>
      <c r="W80" s="119"/>
      <c r="X80" s="56">
        <v>69422</v>
      </c>
      <c r="Y80" s="56">
        <v>97739</v>
      </c>
      <c r="Z80" s="56">
        <v>95709</v>
      </c>
      <c r="AA80" s="56">
        <v>56186</v>
      </c>
      <c r="AB80" s="119">
        <f t="shared" si="34"/>
        <v>319056</v>
      </c>
      <c r="AC80" s="56">
        <v>54649</v>
      </c>
      <c r="AD80" s="56">
        <v>41462</v>
      </c>
      <c r="AE80" s="56">
        <v>40977</v>
      </c>
      <c r="AF80" s="56">
        <v>30448</v>
      </c>
      <c r="AG80" s="119">
        <f t="shared" si="35"/>
        <v>167536</v>
      </c>
      <c r="AH80" s="56">
        <v>24888</v>
      </c>
      <c r="AI80" s="56">
        <v>16262</v>
      </c>
      <c r="AJ80" s="56">
        <v>12900</v>
      </c>
      <c r="AK80" s="56">
        <v>7646</v>
      </c>
      <c r="AL80" s="119">
        <f t="shared" si="36"/>
        <v>61696</v>
      </c>
      <c r="AM80" s="56">
        <v>12798</v>
      </c>
      <c r="AN80" s="56">
        <v>12241</v>
      </c>
      <c r="AO80" s="56">
        <v>6048</v>
      </c>
      <c r="AQ80" s="119"/>
      <c r="AR80" s="119"/>
    </row>
    <row r="81" spans="3:44" hidden="1" outlineLevel="2">
      <c r="C81" s="80" t="s">
        <v>395</v>
      </c>
      <c r="H81" s="119"/>
      <c r="K81" s="56">
        <v>28128</v>
      </c>
      <c r="L81" s="56">
        <v>226557</v>
      </c>
      <c r="M81" s="119">
        <f>SUM(I81:L81)</f>
        <v>254685</v>
      </c>
      <c r="N81" s="56">
        <v>471341</v>
      </c>
      <c r="O81" s="56">
        <v>803605</v>
      </c>
      <c r="P81" s="56">
        <v>1052432</v>
      </c>
      <c r="Q81" s="56">
        <v>1282434</v>
      </c>
      <c r="R81" s="119">
        <f t="shared" ref="R81:R86" si="39">SUM(N81:Q81)</f>
        <v>3609812</v>
      </c>
      <c r="S81" s="56">
        <v>2186070</v>
      </c>
      <c r="T81" s="56">
        <v>2543738</v>
      </c>
      <c r="U81" s="56">
        <v>2925818</v>
      </c>
      <c r="V81" s="56">
        <v>3468961</v>
      </c>
      <c r="W81" s="119">
        <f t="shared" ref="W81:W86" si="40">SUM(S81:V81)</f>
        <v>11124587</v>
      </c>
      <c r="X81" s="56">
        <v>4671647</v>
      </c>
      <c r="Y81" s="56">
        <v>5297721</v>
      </c>
      <c r="Z81" s="56">
        <v>5911546</v>
      </c>
      <c r="AA81" s="56">
        <v>5912116</v>
      </c>
      <c r="AB81" s="119">
        <f t="shared" si="34"/>
        <v>21793030</v>
      </c>
      <c r="AC81" s="56">
        <v>6238176</v>
      </c>
      <c r="AD81" s="56">
        <v>6037748</v>
      </c>
      <c r="AE81" s="56">
        <v>5726088</v>
      </c>
      <c r="AF81" s="56">
        <v>6306317</v>
      </c>
      <c r="AG81" s="119">
        <f t="shared" si="35"/>
        <v>24308329</v>
      </c>
      <c r="AH81" s="56">
        <v>8054825</v>
      </c>
      <c r="AI81" s="56">
        <v>8217250</v>
      </c>
      <c r="AJ81" s="56">
        <v>8378948</v>
      </c>
      <c r="AK81" s="56">
        <v>8456196</v>
      </c>
      <c r="AL81" s="119">
        <f t="shared" si="36"/>
        <v>33107219</v>
      </c>
      <c r="AM81" s="56">
        <v>8783573</v>
      </c>
      <c r="AN81" s="56">
        <v>8589856</v>
      </c>
      <c r="AO81" s="56">
        <v>9215538</v>
      </c>
      <c r="AQ81" s="119"/>
      <c r="AR81" s="119"/>
    </row>
    <row r="82" spans="3:44" hidden="1" outlineLevel="2">
      <c r="C82" s="80" t="s">
        <v>396</v>
      </c>
      <c r="D82" s="56">
        <v>3092724</v>
      </c>
      <c r="E82" s="56">
        <v>2230013</v>
      </c>
      <c r="F82" s="56">
        <v>1812486</v>
      </c>
      <c r="G82" s="56">
        <v>1818665</v>
      </c>
      <c r="H82" s="119">
        <f>SUM(D82:G82)</f>
        <v>8953888</v>
      </c>
      <c r="I82" s="56">
        <v>1370593</v>
      </c>
      <c r="J82" s="56">
        <v>1001615</v>
      </c>
      <c r="K82" s="56">
        <v>983372</v>
      </c>
      <c r="L82" s="56">
        <v>766053</v>
      </c>
      <c r="M82" s="119">
        <f>SUM(I82:L82)</f>
        <v>4121633</v>
      </c>
      <c r="N82" s="56">
        <v>1041514</v>
      </c>
      <c r="O82" s="56">
        <v>1468103</v>
      </c>
      <c r="P82" s="56">
        <v>770743</v>
      </c>
      <c r="Q82" s="56">
        <v>673874</v>
      </c>
      <c r="R82" s="119">
        <f t="shared" si="39"/>
        <v>3954234</v>
      </c>
      <c r="S82" s="56">
        <v>1011142</v>
      </c>
      <c r="T82" s="56">
        <v>670593</v>
      </c>
      <c r="U82" s="56">
        <v>441878</v>
      </c>
      <c r="V82" s="56">
        <v>601197</v>
      </c>
      <c r="W82" s="119">
        <f t="shared" si="40"/>
        <v>2724810</v>
      </c>
      <c r="X82" s="56">
        <v>618863</v>
      </c>
      <c r="Y82" s="56">
        <v>1455341</v>
      </c>
      <c r="Z82" s="56">
        <v>926671</v>
      </c>
      <c r="AA82" s="56">
        <v>345562</v>
      </c>
      <c r="AB82" s="119">
        <f t="shared" si="34"/>
        <v>3346437</v>
      </c>
      <c r="AC82" s="56">
        <v>444527</v>
      </c>
      <c r="AD82" s="56">
        <v>558808</v>
      </c>
      <c r="AE82" s="56">
        <v>632740</v>
      </c>
      <c r="AF82" s="56">
        <v>564515</v>
      </c>
      <c r="AG82" s="119">
        <f t="shared" si="35"/>
        <v>2200590</v>
      </c>
      <c r="AH82" s="56">
        <v>543391</v>
      </c>
      <c r="AI82" s="56">
        <v>407493</v>
      </c>
      <c r="AJ82" s="56">
        <v>557752</v>
      </c>
      <c r="AK82" s="56">
        <v>532637</v>
      </c>
      <c r="AL82" s="119">
        <f t="shared" si="36"/>
        <v>2041273</v>
      </c>
      <c r="AM82" s="56">
        <v>454937</v>
      </c>
      <c r="AN82" s="56">
        <v>470274</v>
      </c>
      <c r="AO82" s="56">
        <v>288966</v>
      </c>
      <c r="AQ82" s="119"/>
      <c r="AR82" s="119"/>
    </row>
    <row r="83" spans="3:44" hidden="1" outlineLevel="2">
      <c r="C83" s="80" t="s">
        <v>397</v>
      </c>
      <c r="D83" s="56">
        <v>815848</v>
      </c>
      <c r="E83" s="56">
        <v>850341</v>
      </c>
      <c r="F83" s="56">
        <v>860938</v>
      </c>
      <c r="G83" s="56">
        <v>892245</v>
      </c>
      <c r="H83" s="119">
        <f>SUM(D83:G83)</f>
        <v>3419372</v>
      </c>
      <c r="I83" s="56">
        <v>882737</v>
      </c>
      <c r="J83" s="56">
        <v>908461</v>
      </c>
      <c r="K83" s="56">
        <v>972261</v>
      </c>
      <c r="L83" s="56">
        <v>1140275</v>
      </c>
      <c r="M83" s="119">
        <f>SUM(I83:L83)</f>
        <v>3903734</v>
      </c>
      <c r="N83" s="56">
        <v>1446272</v>
      </c>
      <c r="O83" s="56">
        <v>1925116</v>
      </c>
      <c r="P83" s="56">
        <v>2197288</v>
      </c>
      <c r="Q83" s="56">
        <v>2100478</v>
      </c>
      <c r="R83" s="119">
        <f t="shared" si="39"/>
        <v>7669154</v>
      </c>
      <c r="S83" s="56">
        <v>2264615</v>
      </c>
      <c r="T83" s="56">
        <v>2292293</v>
      </c>
      <c r="U83" s="56">
        <v>2208317</v>
      </c>
      <c r="V83" s="56">
        <v>2218974</v>
      </c>
      <c r="W83" s="119">
        <f t="shared" si="40"/>
        <v>8984199</v>
      </c>
      <c r="X83" s="56">
        <v>2349360</v>
      </c>
      <c r="Y83" s="56">
        <v>2397770</v>
      </c>
      <c r="Z83" s="56">
        <v>2391624</v>
      </c>
      <c r="AA83" s="56">
        <v>2369782</v>
      </c>
      <c r="AB83" s="119">
        <f t="shared" si="34"/>
        <v>9508536</v>
      </c>
      <c r="AC83" s="56">
        <v>2432108</v>
      </c>
      <c r="AD83" s="56">
        <v>2384621</v>
      </c>
      <c r="AE83" s="56">
        <v>2262083</v>
      </c>
      <c r="AF83" s="56">
        <v>2435876</v>
      </c>
      <c r="AG83" s="119">
        <f t="shared" si="35"/>
        <v>9514688</v>
      </c>
      <c r="AH83" s="56">
        <v>2486687</v>
      </c>
      <c r="AI83" s="56">
        <v>2592765</v>
      </c>
      <c r="AJ83" s="56">
        <v>2490694</v>
      </c>
      <c r="AK83" s="56">
        <v>2653889</v>
      </c>
      <c r="AL83" s="119">
        <f t="shared" si="36"/>
        <v>10224035</v>
      </c>
      <c r="AM83" s="56">
        <v>2676110</v>
      </c>
      <c r="AN83" s="56">
        <v>2679428</v>
      </c>
      <c r="AO83" s="56">
        <v>4577345</v>
      </c>
      <c r="AQ83" s="119"/>
      <c r="AR83" s="119"/>
    </row>
    <row r="84" spans="3:44" hidden="1" outlineLevel="2">
      <c r="C84" s="80" t="s">
        <v>398</v>
      </c>
      <c r="H84" s="119"/>
      <c r="M84" s="119"/>
      <c r="N84" s="56">
        <v>4550499</v>
      </c>
      <c r="O84" s="56">
        <v>5784129</v>
      </c>
      <c r="P84" s="56">
        <v>11610853</v>
      </c>
      <c r="Q84" s="56">
        <v>15925322</v>
      </c>
      <c r="R84" s="119">
        <f t="shared" si="39"/>
        <v>37870803</v>
      </c>
      <c r="S84" s="56">
        <v>19714377</v>
      </c>
      <c r="T84" s="56">
        <v>21901925</v>
      </c>
      <c r="U84" s="56">
        <v>22678981</v>
      </c>
      <c r="V84" s="56">
        <v>24247696</v>
      </c>
      <c r="W84" s="119">
        <f t="shared" si="40"/>
        <v>88542979</v>
      </c>
      <c r="X84" s="56">
        <v>27554297</v>
      </c>
      <c r="Y84" s="56">
        <v>28331918</v>
      </c>
      <c r="Z84" s="56">
        <v>31266419</v>
      </c>
      <c r="AA84" s="56">
        <v>34058131</v>
      </c>
      <c r="AB84" s="119">
        <f t="shared" si="34"/>
        <v>121210765</v>
      </c>
      <c r="AC84" s="56">
        <v>34487537</v>
      </c>
      <c r="AD84" s="56">
        <v>33045440</v>
      </c>
      <c r="AE84" s="56">
        <v>28702471</v>
      </c>
      <c r="AF84" s="56">
        <v>26940140</v>
      </c>
      <c r="AG84" s="119">
        <f t="shared" si="35"/>
        <v>123175588</v>
      </c>
      <c r="AH84" s="56">
        <v>24734118</v>
      </c>
      <c r="AI84" s="56">
        <v>23396148</v>
      </c>
      <c r="AJ84" s="56">
        <v>21980470</v>
      </c>
      <c r="AK84" s="56">
        <v>23814797</v>
      </c>
      <c r="AL84" s="119">
        <f t="shared" si="36"/>
        <v>93925533</v>
      </c>
      <c r="AM84" s="56">
        <v>24147588</v>
      </c>
      <c r="AN84" s="56">
        <v>23218890</v>
      </c>
      <c r="AO84" s="56">
        <v>23214636</v>
      </c>
      <c r="AQ84" s="119"/>
      <c r="AR84" s="119"/>
    </row>
    <row r="85" spans="3:44" hidden="1" outlineLevel="2">
      <c r="C85" s="80" t="s">
        <v>399</v>
      </c>
      <c r="D85" s="56">
        <v>2974251</v>
      </c>
      <c r="E85" s="56">
        <v>3394512</v>
      </c>
      <c r="F85" s="56">
        <v>4045670</v>
      </c>
      <c r="G85" s="56">
        <v>4072515</v>
      </c>
      <c r="H85" s="119">
        <f>SUM(D85:G85)</f>
        <v>14486948</v>
      </c>
      <c r="I85" s="56">
        <v>5265007</v>
      </c>
      <c r="J85" s="56">
        <v>5530986</v>
      </c>
      <c r="K85" s="56">
        <v>6695184</v>
      </c>
      <c r="L85" s="56">
        <v>7794376</v>
      </c>
      <c r="M85" s="119">
        <f>SUM(I85:L85)</f>
        <v>25285553</v>
      </c>
      <c r="N85" s="56">
        <v>8213038</v>
      </c>
      <c r="O85" s="56">
        <v>7620763</v>
      </c>
      <c r="P85" s="56">
        <v>6613497</v>
      </c>
      <c r="Q85" s="56">
        <v>4313848</v>
      </c>
      <c r="R85" s="119">
        <f t="shared" si="39"/>
        <v>26761146</v>
      </c>
      <c r="S85" s="56">
        <v>4088521</v>
      </c>
      <c r="T85" s="56">
        <v>3255816</v>
      </c>
      <c r="U85" s="56">
        <v>3079616</v>
      </c>
      <c r="V85" s="56">
        <v>2882062</v>
      </c>
      <c r="W85" s="119">
        <f t="shared" si="40"/>
        <v>13306015</v>
      </c>
      <c r="X85" s="56">
        <v>3024661</v>
      </c>
      <c r="Y85" s="56">
        <v>2893745</v>
      </c>
      <c r="Z85" s="56">
        <v>3078044</v>
      </c>
      <c r="AA85" s="56">
        <v>2420835</v>
      </c>
      <c r="AB85" s="119">
        <f t="shared" si="34"/>
        <v>11417285</v>
      </c>
      <c r="AC85" s="56">
        <v>2768108</v>
      </c>
      <c r="AD85" s="56">
        <v>2520748</v>
      </c>
      <c r="AE85" s="56">
        <v>1077848</v>
      </c>
      <c r="AF85" s="56">
        <v>2196965</v>
      </c>
      <c r="AG85" s="119">
        <f t="shared" si="35"/>
        <v>8563669</v>
      </c>
      <c r="AH85" s="56">
        <v>2088923</v>
      </c>
      <c r="AI85" s="56">
        <v>2340219</v>
      </c>
      <c r="AJ85" s="56">
        <v>3071175</v>
      </c>
      <c r="AK85" s="56">
        <v>2975260</v>
      </c>
      <c r="AL85" s="119">
        <f t="shared" si="36"/>
        <v>10475577</v>
      </c>
      <c r="AM85" s="56">
        <v>2901041</v>
      </c>
      <c r="AN85" s="56">
        <v>2589624</v>
      </c>
      <c r="AO85" s="56">
        <v>2063187</v>
      </c>
      <c r="AQ85" s="119"/>
      <c r="AR85" s="119"/>
    </row>
    <row r="86" spans="3:44" hidden="1" outlineLevel="1" collapsed="1">
      <c r="C86" s="118" t="s">
        <v>400</v>
      </c>
      <c r="D86" s="119">
        <f>SUM(D87:D98)</f>
        <v>96609054</v>
      </c>
      <c r="E86" s="119">
        <f>SUM(E87:E98)</f>
        <v>423740600</v>
      </c>
      <c r="F86" s="119">
        <f>SUM(F87:F98)</f>
        <v>938165095</v>
      </c>
      <c r="G86" s="119">
        <f>SUM(G87:G98)</f>
        <v>894197434</v>
      </c>
      <c r="H86" s="119">
        <f>SUM(D86:G86)</f>
        <v>2352712183</v>
      </c>
      <c r="I86" s="119">
        <f>SUM(I87:I98)</f>
        <v>510217100</v>
      </c>
      <c r="J86" s="119">
        <f>SUM(J87:J98)</f>
        <v>516066463</v>
      </c>
      <c r="K86" s="119">
        <f>SUM(K87:K98)</f>
        <v>318461044</v>
      </c>
      <c r="L86" s="119">
        <f>SUM(L87:L98)</f>
        <v>266439513</v>
      </c>
      <c r="M86" s="119">
        <f>SUM(I86:L86)</f>
        <v>1611184120</v>
      </c>
      <c r="N86" s="119">
        <f>SUM(N87:N98)</f>
        <v>227109276</v>
      </c>
      <c r="O86" s="119">
        <f>SUM(O87:O98)</f>
        <v>225607189</v>
      </c>
      <c r="P86" s="119">
        <f>SUM(P87:P98)</f>
        <v>207088578</v>
      </c>
      <c r="Q86" s="119">
        <f>SUM(Q87:Q98)</f>
        <v>203970014</v>
      </c>
      <c r="R86" s="119">
        <f t="shared" si="39"/>
        <v>863775057</v>
      </c>
      <c r="S86" s="119">
        <f>SUM(S87:S98)</f>
        <v>223725727</v>
      </c>
      <c r="T86" s="119">
        <f>SUM(T87:T98)</f>
        <v>213538533</v>
      </c>
      <c r="U86" s="119">
        <f>SUM(U87:U98)</f>
        <v>208098218</v>
      </c>
      <c r="V86" s="119">
        <f>SUM(V87:V98)</f>
        <v>196448579</v>
      </c>
      <c r="W86" s="119">
        <f t="shared" si="40"/>
        <v>841811057</v>
      </c>
      <c r="X86" s="119">
        <f>SUM(X87:X98)</f>
        <v>206461836</v>
      </c>
      <c r="Y86" s="119">
        <f>SUM(Y87:Y98)</f>
        <v>215268164</v>
      </c>
      <c r="Z86" s="119">
        <f>SUM(Z87:Z98)</f>
        <v>216010260</v>
      </c>
      <c r="AA86" s="119">
        <f>SUM(AA87:AA98)</f>
        <v>215001411</v>
      </c>
      <c r="AB86" s="119">
        <f t="shared" si="34"/>
        <v>852741671</v>
      </c>
      <c r="AC86" s="119">
        <f>SUM(AC87:AC98)</f>
        <v>223135524</v>
      </c>
      <c r="AD86" s="119">
        <f>SUM(AD87:AD98)</f>
        <v>225103445</v>
      </c>
      <c r="AE86" s="119">
        <f>SUM(AE87:AE98)</f>
        <v>217702678</v>
      </c>
      <c r="AF86" s="119">
        <f>SUM(AF87:AF98)</f>
        <v>743951090</v>
      </c>
      <c r="AG86" s="119">
        <f t="shared" si="35"/>
        <v>1409892737</v>
      </c>
      <c r="AH86" s="119">
        <f>SUM(AH87:AH98)</f>
        <v>1248097647</v>
      </c>
      <c r="AI86" s="119">
        <f>SUM(AI87:AI98)</f>
        <v>1110452035</v>
      </c>
      <c r="AJ86" s="119">
        <f>SUM(AJ87:AJ98)</f>
        <v>414800142</v>
      </c>
      <c r="AK86" s="119">
        <f>SUM(AK87:AK98)</f>
        <v>561342855</v>
      </c>
      <c r="AL86" s="119">
        <f t="shared" si="36"/>
        <v>3334692679</v>
      </c>
      <c r="AM86" s="119">
        <f>SUM(AM87:AM98)</f>
        <v>612531574</v>
      </c>
      <c r="AN86" s="119">
        <f>SUM(AN87:AN98)</f>
        <v>568363888</v>
      </c>
      <c r="AO86" s="119">
        <f>SUM(AO87:AO98)</f>
        <v>640787112</v>
      </c>
      <c r="AQ86" s="119"/>
      <c r="AR86" s="119"/>
    </row>
    <row r="87" spans="3:44" hidden="1" outlineLevel="2">
      <c r="C87" s="80" t="s">
        <v>401</v>
      </c>
      <c r="H87" s="119"/>
      <c r="M87" s="119"/>
      <c r="R87" s="119"/>
      <c r="W87" s="119"/>
      <c r="AB87" s="119"/>
      <c r="AF87" s="56">
        <v>528902760</v>
      </c>
      <c r="AG87" s="119">
        <f t="shared" si="35"/>
        <v>528902760</v>
      </c>
      <c r="AH87" s="56">
        <v>1017616682</v>
      </c>
      <c r="AI87" s="56">
        <v>869872681</v>
      </c>
      <c r="AJ87" s="56">
        <v>177277997</v>
      </c>
      <c r="AK87" s="56">
        <v>203860144</v>
      </c>
      <c r="AL87" s="119">
        <f t="shared" si="36"/>
        <v>2268627504</v>
      </c>
      <c r="AM87" s="56">
        <v>200114669</v>
      </c>
      <c r="AN87" s="56">
        <v>177483745</v>
      </c>
      <c r="AO87" s="56">
        <v>159537478</v>
      </c>
      <c r="AQ87" s="119"/>
      <c r="AR87" s="119"/>
    </row>
    <row r="88" spans="3:44" hidden="1" outlineLevel="2">
      <c r="C88" s="80" t="s">
        <v>402</v>
      </c>
      <c r="D88" s="56">
        <v>7494879</v>
      </c>
      <c r="E88" s="56">
        <v>7694083</v>
      </c>
      <c r="F88" s="56">
        <v>7563422</v>
      </c>
      <c r="G88" s="56">
        <v>7476869</v>
      </c>
      <c r="H88" s="119">
        <f>SUM(D88:G88)</f>
        <v>30229253</v>
      </c>
      <c r="I88" s="56">
        <v>7257566</v>
      </c>
      <c r="J88" s="56">
        <v>7453758</v>
      </c>
      <c r="K88" s="56">
        <v>7320156</v>
      </c>
      <c r="L88" s="56">
        <v>11190754</v>
      </c>
      <c r="M88" s="119">
        <f>SUM(I88:L88)</f>
        <v>33222234</v>
      </c>
      <c r="N88" s="56">
        <v>11137179</v>
      </c>
      <c r="O88" s="56">
        <v>11064260</v>
      </c>
      <c r="P88" s="56">
        <v>11165864</v>
      </c>
      <c r="Q88" s="56">
        <v>10874431</v>
      </c>
      <c r="R88" s="119">
        <f>SUM(N88:Q88)</f>
        <v>44241734</v>
      </c>
      <c r="S88" s="56">
        <v>11959105</v>
      </c>
      <c r="T88" s="56">
        <v>11841303</v>
      </c>
      <c r="U88" s="56">
        <v>10919927</v>
      </c>
      <c r="V88" s="56">
        <v>10756391</v>
      </c>
      <c r="W88" s="119">
        <f>SUM(S88:V88)</f>
        <v>45476726</v>
      </c>
      <c r="X88" s="56">
        <v>10817651</v>
      </c>
      <c r="Y88" s="56">
        <v>11626002</v>
      </c>
      <c r="Z88" s="56">
        <v>11161879</v>
      </c>
      <c r="AA88" s="56">
        <v>10813218</v>
      </c>
      <c r="AB88" s="119">
        <f>SUM(X88:AA88)</f>
        <v>44418750</v>
      </c>
      <c r="AC88" s="56">
        <v>10879044</v>
      </c>
      <c r="AD88" s="56">
        <v>11142012</v>
      </c>
      <c r="AE88" s="56">
        <v>10960418</v>
      </c>
      <c r="AF88" s="56">
        <v>10976493</v>
      </c>
      <c r="AG88" s="119">
        <f t="shared" si="35"/>
        <v>43957967</v>
      </c>
      <c r="AH88" s="56">
        <v>10667483</v>
      </c>
      <c r="AI88" s="56">
        <v>10962077</v>
      </c>
      <c r="AJ88" s="56">
        <v>10663867</v>
      </c>
      <c r="AK88" s="56">
        <v>11168857</v>
      </c>
      <c r="AL88" s="119">
        <f t="shared" si="36"/>
        <v>43462284</v>
      </c>
      <c r="AM88" s="56">
        <v>10952660</v>
      </c>
      <c r="AN88" s="56">
        <v>10824289</v>
      </c>
      <c r="AO88" s="56">
        <v>14422285</v>
      </c>
      <c r="AQ88" s="119"/>
      <c r="AR88" s="119"/>
    </row>
    <row r="89" spans="3:44" hidden="1" outlineLevel="2">
      <c r="C89" s="80" t="s">
        <v>403</v>
      </c>
      <c r="D89" s="56">
        <v>2693676</v>
      </c>
      <c r="E89" s="56">
        <v>2534647</v>
      </c>
      <c r="F89" s="56">
        <v>2437875</v>
      </c>
      <c r="G89" s="56">
        <v>2338591</v>
      </c>
      <c r="H89" s="119">
        <f>SUM(D89:G89)</f>
        <v>10004789</v>
      </c>
      <c r="I89" s="56">
        <v>2314975</v>
      </c>
      <c r="J89" s="56">
        <v>2233080</v>
      </c>
      <c r="K89" s="56">
        <v>2167405</v>
      </c>
      <c r="L89" s="56">
        <v>2937971</v>
      </c>
      <c r="M89" s="119">
        <f>SUM(I89:L89)</f>
        <v>9653431</v>
      </c>
      <c r="N89" s="56">
        <v>2639568</v>
      </c>
      <c r="O89" s="56">
        <v>2649218</v>
      </c>
      <c r="P89" s="56">
        <v>2676877</v>
      </c>
      <c r="Q89" s="56">
        <v>2598962</v>
      </c>
      <c r="R89" s="119">
        <f>SUM(N89:Q89)</f>
        <v>10564625</v>
      </c>
      <c r="S89" s="56">
        <v>2685782</v>
      </c>
      <c r="T89" s="56">
        <v>2568030</v>
      </c>
      <c r="U89" s="56">
        <v>2538886</v>
      </c>
      <c r="V89" s="56">
        <v>2482052</v>
      </c>
      <c r="W89" s="119">
        <f>SUM(S89:V89)</f>
        <v>10274750</v>
      </c>
      <c r="X89" s="56">
        <v>2494717</v>
      </c>
      <c r="Y89" s="56">
        <v>2561438</v>
      </c>
      <c r="Z89" s="56">
        <v>2482097</v>
      </c>
      <c r="AA89" s="56">
        <v>2435703</v>
      </c>
      <c r="AB89" s="119">
        <f>SUM(X89:AA89)</f>
        <v>9973955</v>
      </c>
      <c r="AC89" s="56">
        <v>2469109</v>
      </c>
      <c r="AD89" s="56">
        <v>2496859</v>
      </c>
      <c r="AE89" s="56">
        <v>2586895</v>
      </c>
      <c r="AF89" s="56">
        <v>2572449</v>
      </c>
      <c r="AG89" s="119">
        <f t="shared" si="35"/>
        <v>10125312</v>
      </c>
      <c r="AH89" s="56">
        <v>2454498</v>
      </c>
      <c r="AI89" s="56">
        <v>2419087</v>
      </c>
      <c r="AJ89" s="56">
        <v>2469316</v>
      </c>
      <c r="AK89" s="56">
        <v>2393386</v>
      </c>
      <c r="AL89" s="119">
        <f t="shared" si="36"/>
        <v>9736287</v>
      </c>
      <c r="AM89" s="56">
        <v>2450227</v>
      </c>
      <c r="AN89" s="56">
        <v>2522065</v>
      </c>
      <c r="AO89" s="56">
        <v>3609820</v>
      </c>
      <c r="AQ89" s="119"/>
      <c r="AR89" s="119"/>
    </row>
    <row r="90" spans="3:44" hidden="1" outlineLevel="2">
      <c r="C90" s="80" t="s">
        <v>404</v>
      </c>
      <c r="E90" s="56">
        <v>560</v>
      </c>
      <c r="F90" s="56">
        <v>165513</v>
      </c>
      <c r="G90" s="56">
        <v>270314</v>
      </c>
      <c r="H90" s="119">
        <f>SUM(D90:G90)</f>
        <v>436387</v>
      </c>
      <c r="I90" s="56">
        <v>910962</v>
      </c>
      <c r="J90" s="56">
        <v>2006894</v>
      </c>
      <c r="K90" s="56">
        <v>2608887</v>
      </c>
      <c r="L90" s="56">
        <v>2742648</v>
      </c>
      <c r="M90" s="119">
        <f>SUM(I90:L90)</f>
        <v>8269391</v>
      </c>
      <c r="N90" s="56">
        <v>3105841</v>
      </c>
      <c r="O90" s="56">
        <v>3183923</v>
      </c>
      <c r="P90" s="56">
        <v>3196782</v>
      </c>
      <c r="Q90" s="56">
        <v>3363607</v>
      </c>
      <c r="R90" s="119">
        <f>SUM(N90:Q90)</f>
        <v>12850153</v>
      </c>
      <c r="S90" s="56">
        <v>3642223</v>
      </c>
      <c r="T90" s="56">
        <v>3755845</v>
      </c>
      <c r="U90" s="56">
        <v>3916540</v>
      </c>
      <c r="V90" s="56">
        <v>4060316</v>
      </c>
      <c r="W90" s="119">
        <f>SUM(S90:V90)</f>
        <v>15374924</v>
      </c>
      <c r="X90" s="56">
        <v>4303845</v>
      </c>
      <c r="Y90" s="56">
        <v>4441379</v>
      </c>
      <c r="Z90" s="56">
        <v>4700858</v>
      </c>
      <c r="AA90" s="56">
        <v>4788629</v>
      </c>
      <c r="AB90" s="119">
        <f>SUM(X90:AA90)</f>
        <v>18234711</v>
      </c>
      <c r="AC90" s="56">
        <v>4948915</v>
      </c>
      <c r="AD90" s="56">
        <v>5046763</v>
      </c>
      <c r="AE90" s="56">
        <v>5359233</v>
      </c>
      <c r="AF90" s="56">
        <v>6588918</v>
      </c>
      <c r="AG90" s="119">
        <f t="shared" si="35"/>
        <v>21943829</v>
      </c>
      <c r="AH90" s="56">
        <v>6684582</v>
      </c>
      <c r="AI90" s="56">
        <v>6946385</v>
      </c>
      <c r="AJ90" s="56">
        <v>7311883</v>
      </c>
      <c r="AK90" s="56">
        <v>7085316</v>
      </c>
      <c r="AL90" s="119">
        <f t="shared" si="36"/>
        <v>28028166</v>
      </c>
      <c r="AM90" s="56">
        <v>6758978</v>
      </c>
      <c r="AN90" s="56">
        <v>7004008</v>
      </c>
      <c r="AO90" s="56">
        <v>7259159</v>
      </c>
      <c r="AQ90" s="119"/>
      <c r="AR90" s="119"/>
    </row>
    <row r="91" spans="3:44" hidden="1" outlineLevel="2">
      <c r="C91" s="80" t="s">
        <v>405</v>
      </c>
      <c r="D91" s="56">
        <v>476242</v>
      </c>
      <c r="E91" s="56">
        <v>1953925</v>
      </c>
      <c r="F91" s="56">
        <v>2565612</v>
      </c>
      <c r="G91" s="56">
        <v>3322907</v>
      </c>
      <c r="H91" s="119">
        <f>SUM(D91:G91)</f>
        <v>8318686</v>
      </c>
      <c r="I91" s="56">
        <v>4761047</v>
      </c>
      <c r="J91" s="56">
        <v>6150377</v>
      </c>
      <c r="K91" s="56">
        <v>7557497</v>
      </c>
      <c r="L91" s="56">
        <v>9685455</v>
      </c>
      <c r="M91" s="119">
        <f>SUM(I91:L91)</f>
        <v>28154376</v>
      </c>
      <c r="N91" s="56">
        <v>11034272</v>
      </c>
      <c r="O91" s="56">
        <v>13914213</v>
      </c>
      <c r="P91" s="56">
        <v>18163273</v>
      </c>
      <c r="Q91" s="56">
        <v>21365614</v>
      </c>
      <c r="R91" s="119">
        <f>SUM(N91:Q91)</f>
        <v>64477372</v>
      </c>
      <c r="S91" s="56">
        <v>29296859</v>
      </c>
      <c r="T91" s="56">
        <v>34390864</v>
      </c>
      <c r="U91" s="56">
        <v>40028513</v>
      </c>
      <c r="V91" s="56">
        <v>45046404</v>
      </c>
      <c r="W91" s="119">
        <f>SUM(S91:V91)</f>
        <v>148762640</v>
      </c>
      <c r="X91" s="56">
        <v>56098892</v>
      </c>
      <c r="Y91" s="56">
        <v>59629494</v>
      </c>
      <c r="Z91" s="56">
        <v>68850067</v>
      </c>
      <c r="AA91" s="56">
        <v>69837568</v>
      </c>
      <c r="AB91" s="119">
        <f>SUM(X91:AA91)</f>
        <v>254416021</v>
      </c>
      <c r="AC91" s="56">
        <v>74278600</v>
      </c>
      <c r="AD91" s="56">
        <v>77311872</v>
      </c>
      <c r="AE91" s="56">
        <v>77550264</v>
      </c>
      <c r="AF91" s="56">
        <v>78499020</v>
      </c>
      <c r="AG91" s="119">
        <f t="shared" si="35"/>
        <v>307639756</v>
      </c>
      <c r="AH91" s="56">
        <v>84644643</v>
      </c>
      <c r="AI91" s="56">
        <v>89184912</v>
      </c>
      <c r="AJ91" s="56">
        <v>94902805</v>
      </c>
      <c r="AK91" s="56">
        <v>215108257</v>
      </c>
      <c r="AL91" s="119">
        <f t="shared" si="36"/>
        <v>483840617</v>
      </c>
      <c r="AM91" s="56">
        <v>277575988</v>
      </c>
      <c r="AN91" s="56">
        <v>251084208</v>
      </c>
      <c r="AO91" s="56">
        <v>236109459</v>
      </c>
      <c r="AQ91" s="119"/>
      <c r="AR91" s="119"/>
    </row>
    <row r="92" spans="3:44" hidden="1" outlineLevel="2">
      <c r="C92" s="80" t="s">
        <v>406</v>
      </c>
      <c r="H92" s="119"/>
      <c r="M92" s="119"/>
      <c r="R92" s="119"/>
      <c r="U92" s="56">
        <v>220</v>
      </c>
      <c r="V92" s="56">
        <v>54525</v>
      </c>
      <c r="W92" s="119">
        <f>SUM(S92:V92)</f>
        <v>54745</v>
      </c>
      <c r="X92" s="56">
        <v>209682</v>
      </c>
      <c r="Y92" s="56">
        <v>430384</v>
      </c>
      <c r="Z92" s="56">
        <v>455127</v>
      </c>
      <c r="AA92" s="56">
        <v>483356</v>
      </c>
      <c r="AB92" s="119">
        <f>SUM(X92:AA92)</f>
        <v>1578549</v>
      </c>
      <c r="AC92" s="56">
        <v>530723</v>
      </c>
      <c r="AD92" s="56">
        <v>535736</v>
      </c>
      <c r="AE92" s="56">
        <v>519260</v>
      </c>
      <c r="AF92" s="56">
        <v>536555</v>
      </c>
      <c r="AG92" s="119">
        <f t="shared" si="35"/>
        <v>2122274</v>
      </c>
      <c r="AH92" s="56">
        <v>598019</v>
      </c>
      <c r="AI92" s="56">
        <v>661506</v>
      </c>
      <c r="AJ92" s="56">
        <v>710073</v>
      </c>
      <c r="AK92" s="56">
        <v>781236</v>
      </c>
      <c r="AL92" s="119">
        <f t="shared" si="36"/>
        <v>2750834</v>
      </c>
      <c r="AM92" s="56">
        <v>662536</v>
      </c>
      <c r="AN92" s="56">
        <v>749623</v>
      </c>
      <c r="AO92" s="56">
        <v>695817</v>
      </c>
      <c r="AQ92" s="119"/>
      <c r="AR92" s="119"/>
    </row>
    <row r="93" spans="3:44" hidden="1" outlineLevel="2">
      <c r="C93" s="80" t="s">
        <v>407</v>
      </c>
      <c r="H93" s="119"/>
      <c r="M93" s="119"/>
      <c r="R93" s="119"/>
      <c r="W93" s="119"/>
      <c r="AB93" s="119"/>
      <c r="AG93" s="119"/>
      <c r="AL93" s="119"/>
      <c r="AO93" s="56">
        <v>66640562</v>
      </c>
      <c r="AQ93" s="119"/>
      <c r="AR93" s="119"/>
    </row>
    <row r="94" spans="3:44" hidden="1" outlineLevel="2">
      <c r="C94" s="80" t="s">
        <v>408</v>
      </c>
      <c r="H94" s="119"/>
      <c r="M94" s="119"/>
      <c r="R94" s="119"/>
      <c r="W94" s="119"/>
      <c r="AB94" s="119"/>
      <c r="AG94" s="119"/>
      <c r="AI94" s="56">
        <v>4038417</v>
      </c>
      <c r="AJ94" s="56">
        <v>4387898</v>
      </c>
      <c r="AK94" s="56">
        <v>4164737</v>
      </c>
      <c r="AL94" s="119">
        <f>SUM(AH94:AK94)</f>
        <v>12591052</v>
      </c>
      <c r="AM94" s="56">
        <v>4326382</v>
      </c>
      <c r="AN94" s="56">
        <v>4263128</v>
      </c>
      <c r="AO94" s="56">
        <v>4101161</v>
      </c>
      <c r="AQ94" s="119"/>
      <c r="AR94" s="119"/>
    </row>
    <row r="95" spans="3:44" hidden="1" outlineLevel="2">
      <c r="C95" s="80" t="s">
        <v>409</v>
      </c>
      <c r="D95" s="56">
        <v>18774205</v>
      </c>
      <c r="E95" s="56">
        <v>18294766</v>
      </c>
      <c r="F95" s="56">
        <v>18228673</v>
      </c>
      <c r="G95" s="56">
        <v>16551304</v>
      </c>
      <c r="H95" s="119">
        <f>SUM(D95:G95)</f>
        <v>71848948</v>
      </c>
      <c r="I95" s="56">
        <v>16048389</v>
      </c>
      <c r="J95" s="56">
        <v>14200432</v>
      </c>
      <c r="K95" s="56">
        <v>13109380</v>
      </c>
      <c r="L95" s="56">
        <v>12490893</v>
      </c>
      <c r="M95" s="119">
        <f>SUM(I95:L95)</f>
        <v>55849094</v>
      </c>
      <c r="N95" s="56">
        <v>11811797</v>
      </c>
      <c r="O95" s="56">
        <v>12021682</v>
      </c>
      <c r="P95" s="56">
        <v>10704898</v>
      </c>
      <c r="Q95" s="56">
        <v>10420400</v>
      </c>
      <c r="R95" s="119">
        <f>SUM(N95:Q95)</f>
        <v>44958777</v>
      </c>
      <c r="S95" s="56">
        <v>12041981</v>
      </c>
      <c r="T95" s="56">
        <v>12497921</v>
      </c>
      <c r="U95" s="56">
        <v>12643374</v>
      </c>
      <c r="V95" s="56">
        <v>13291967</v>
      </c>
      <c r="W95" s="119">
        <f>SUM(S95:V95)</f>
        <v>50475243</v>
      </c>
      <c r="X95" s="56">
        <v>17069835</v>
      </c>
      <c r="Y95" s="56">
        <v>22282915</v>
      </c>
      <c r="Z95" s="56">
        <v>18979904</v>
      </c>
      <c r="AA95" s="56">
        <v>18681913</v>
      </c>
      <c r="AB95" s="119">
        <f>SUM(X95:AA95)</f>
        <v>77014567</v>
      </c>
      <c r="AC95" s="56">
        <v>17420491</v>
      </c>
      <c r="AD95" s="56">
        <v>16290357</v>
      </c>
      <c r="AE95" s="56">
        <v>14600953</v>
      </c>
      <c r="AF95" s="56">
        <v>13977563</v>
      </c>
      <c r="AG95" s="119">
        <f>SUM(AC95:AF95)</f>
        <v>62289364</v>
      </c>
      <c r="AH95" s="56">
        <v>13318814</v>
      </c>
      <c r="AI95" s="56">
        <v>12243024</v>
      </c>
      <c r="AJ95" s="56">
        <v>11513356</v>
      </c>
      <c r="AK95" s="56">
        <v>12301262</v>
      </c>
      <c r="AL95" s="119">
        <f>SUM(AH95:AK95)</f>
        <v>49376456</v>
      </c>
      <c r="AM95" s="56">
        <v>11922335</v>
      </c>
      <c r="AN95" s="56">
        <v>10582376</v>
      </c>
      <c r="AO95" s="56">
        <v>9572066</v>
      </c>
      <c r="AQ95" s="119"/>
      <c r="AR95" s="119"/>
    </row>
    <row r="96" spans="3:44" hidden="1" outlineLevel="2">
      <c r="C96" s="80" t="s">
        <v>410</v>
      </c>
      <c r="D96" s="56">
        <v>67084032</v>
      </c>
      <c r="E96" s="56">
        <v>73740665</v>
      </c>
      <c r="F96" s="56">
        <v>86564993</v>
      </c>
      <c r="G96" s="56">
        <v>86285662</v>
      </c>
      <c r="H96" s="119">
        <f>SUM(D96:G96)</f>
        <v>313675352</v>
      </c>
      <c r="I96" s="56">
        <v>80093319</v>
      </c>
      <c r="J96" s="56">
        <v>94667162</v>
      </c>
      <c r="K96" s="56">
        <v>68292124</v>
      </c>
      <c r="L96" s="56">
        <v>69432216</v>
      </c>
      <c r="M96" s="119">
        <f>SUM(I96:L96)</f>
        <v>312484821</v>
      </c>
      <c r="N96" s="56">
        <v>43693853</v>
      </c>
      <c r="O96" s="56">
        <v>36886112</v>
      </c>
      <c r="P96" s="56">
        <v>31019381</v>
      </c>
      <c r="Q96" s="56">
        <v>26327257</v>
      </c>
      <c r="R96" s="119">
        <f>SUM(N96:Q96)</f>
        <v>137926603</v>
      </c>
      <c r="S96" s="56">
        <v>22642001</v>
      </c>
      <c r="T96" s="56">
        <v>21607662</v>
      </c>
      <c r="U96" s="56">
        <v>22755305</v>
      </c>
      <c r="V96" s="56">
        <v>25523252</v>
      </c>
      <c r="W96" s="119">
        <f>SUM(S96:V96)</f>
        <v>92528220</v>
      </c>
      <c r="X96" s="56">
        <v>22189813</v>
      </c>
      <c r="Y96" s="56">
        <v>21233259</v>
      </c>
      <c r="Z96" s="56">
        <v>19523261</v>
      </c>
      <c r="AA96" s="56">
        <v>19294560</v>
      </c>
      <c r="AB96" s="119">
        <f>SUM(X96:AA96)</f>
        <v>82240893</v>
      </c>
      <c r="AC96" s="56">
        <v>21104935</v>
      </c>
      <c r="AD96" s="56">
        <v>21300725</v>
      </c>
      <c r="AE96" s="56">
        <v>19914906</v>
      </c>
      <c r="AF96" s="56">
        <v>17271648</v>
      </c>
      <c r="AG96" s="119">
        <f>SUM(AC96:AF96)</f>
        <v>79592214</v>
      </c>
      <c r="AH96" s="56">
        <v>18026451</v>
      </c>
      <c r="AI96" s="56">
        <v>17555294</v>
      </c>
      <c r="AJ96" s="56">
        <v>16266015</v>
      </c>
      <c r="AK96" s="56">
        <v>15232814</v>
      </c>
      <c r="AL96" s="119">
        <f>SUM(AH96:AK96)</f>
        <v>67080574</v>
      </c>
      <c r="AM96" s="56">
        <v>12347407</v>
      </c>
      <c r="AN96" s="56">
        <v>15173236</v>
      </c>
      <c r="AO96" s="56">
        <v>14095972</v>
      </c>
      <c r="AQ96" s="119"/>
      <c r="AR96" s="119"/>
    </row>
    <row r="97" spans="3:44" hidden="1" outlineLevel="2">
      <c r="C97" s="80" t="s">
        <v>411</v>
      </c>
      <c r="E97" s="56">
        <v>164182322</v>
      </c>
      <c r="F97" s="56">
        <v>186934176</v>
      </c>
      <c r="G97" s="56">
        <v>101058766</v>
      </c>
      <c r="H97" s="119">
        <f>SUM(D97:G97)</f>
        <v>452175264</v>
      </c>
      <c r="I97" s="56">
        <v>34852213</v>
      </c>
      <c r="J97" s="56">
        <v>35750421</v>
      </c>
      <c r="K97" s="56">
        <v>48922802</v>
      </c>
      <c r="L97" s="56">
        <v>47039978</v>
      </c>
      <c r="M97" s="119">
        <f>SUM(I97:L97)</f>
        <v>166565414</v>
      </c>
      <c r="N97" s="56">
        <v>32314080</v>
      </c>
      <c r="O97" s="56">
        <v>30080644</v>
      </c>
      <c r="P97" s="56">
        <v>31245058</v>
      </c>
      <c r="Q97" s="56">
        <v>30972061</v>
      </c>
      <c r="R97" s="119">
        <f>SUM(N97:Q97)</f>
        <v>124611843</v>
      </c>
      <c r="S97" s="56">
        <v>31550018</v>
      </c>
      <c r="T97" s="56">
        <v>30429383</v>
      </c>
      <c r="U97" s="56">
        <v>29656509</v>
      </c>
      <c r="V97" s="56">
        <v>28860191</v>
      </c>
      <c r="W97" s="119">
        <f>SUM(S97:V97)</f>
        <v>120496101</v>
      </c>
      <c r="X97" s="56">
        <v>28277236</v>
      </c>
      <c r="Y97" s="56">
        <v>28161044</v>
      </c>
      <c r="Z97" s="56">
        <v>28047055</v>
      </c>
      <c r="AA97" s="56">
        <v>28891355</v>
      </c>
      <c r="AB97" s="119">
        <f>SUM(X97:AA97)</f>
        <v>113376690</v>
      </c>
      <c r="AC97" s="56">
        <v>30097112</v>
      </c>
      <c r="AD97" s="56">
        <v>30202341</v>
      </c>
      <c r="AE97" s="56">
        <v>32760002</v>
      </c>
      <c r="AF97" s="56">
        <v>34737979</v>
      </c>
      <c r="AG97" s="119">
        <f>SUM(AC97:AF97)</f>
        <v>127797434</v>
      </c>
      <c r="AH97" s="56">
        <v>35619416</v>
      </c>
      <c r="AI97" s="56">
        <v>34433012</v>
      </c>
      <c r="AJ97" s="56">
        <v>33227714</v>
      </c>
      <c r="AK97" s="56">
        <v>32583618</v>
      </c>
      <c r="AL97" s="119">
        <f>SUM(AH97:AK97)</f>
        <v>135863760</v>
      </c>
      <c r="AM97" s="56">
        <v>33929971</v>
      </c>
      <c r="AN97" s="56">
        <v>41165994</v>
      </c>
      <c r="AO97" s="56">
        <v>88349265</v>
      </c>
      <c r="AQ97" s="119"/>
      <c r="AR97" s="119"/>
    </row>
    <row r="98" spans="3:44" hidden="1" outlineLevel="2">
      <c r="C98" s="80" t="s">
        <v>412</v>
      </c>
      <c r="D98" s="56">
        <v>86020</v>
      </c>
      <c r="E98" s="56">
        <v>155339632</v>
      </c>
      <c r="F98" s="56">
        <v>633704831</v>
      </c>
      <c r="G98" s="56">
        <v>676893021</v>
      </c>
      <c r="H98" s="119">
        <f>SUM(D98:G98)</f>
        <v>1466023504</v>
      </c>
      <c r="I98" s="56">
        <v>363978629</v>
      </c>
      <c r="J98" s="56">
        <v>353604339</v>
      </c>
      <c r="K98" s="56">
        <v>168482793</v>
      </c>
      <c r="L98" s="56">
        <v>110919598</v>
      </c>
      <c r="M98" s="119">
        <f>SUM(I98:L98)</f>
        <v>996985359</v>
      </c>
      <c r="N98" s="56">
        <v>111372686</v>
      </c>
      <c r="O98" s="56">
        <v>115807137</v>
      </c>
      <c r="P98" s="56">
        <v>98916445</v>
      </c>
      <c r="Q98" s="56">
        <v>98047682</v>
      </c>
      <c r="R98" s="119">
        <f>SUM(N98:Q98)</f>
        <v>424143950</v>
      </c>
      <c r="S98" s="56">
        <v>109907758</v>
      </c>
      <c r="T98" s="56">
        <v>96447525</v>
      </c>
      <c r="U98" s="56">
        <v>85638944</v>
      </c>
      <c r="V98" s="56">
        <v>66373481</v>
      </c>
      <c r="W98" s="119">
        <f>SUM(S98:V98)</f>
        <v>358367708</v>
      </c>
      <c r="X98" s="56">
        <v>65000165</v>
      </c>
      <c r="Y98" s="56">
        <v>64902249</v>
      </c>
      <c r="Z98" s="56">
        <v>61810012</v>
      </c>
      <c r="AA98" s="56">
        <v>59775109</v>
      </c>
      <c r="AB98" s="119">
        <f>SUM(X98:AA98)</f>
        <v>251487535</v>
      </c>
      <c r="AC98" s="56">
        <v>61406595</v>
      </c>
      <c r="AD98" s="56">
        <v>60776780</v>
      </c>
      <c r="AE98" s="56">
        <v>53450747</v>
      </c>
      <c r="AF98" s="56">
        <v>49887705</v>
      </c>
      <c r="AG98" s="119">
        <f>SUM(AC98:AF98)</f>
        <v>225521827</v>
      </c>
      <c r="AH98" s="56">
        <v>58467059</v>
      </c>
      <c r="AI98" s="56">
        <v>62135640</v>
      </c>
      <c r="AJ98" s="56">
        <v>56069218</v>
      </c>
      <c r="AK98" s="56">
        <v>56663228</v>
      </c>
      <c r="AL98" s="119">
        <f>SUM(AH98:AK98)</f>
        <v>233335145</v>
      </c>
      <c r="AM98" s="56">
        <v>51490421</v>
      </c>
      <c r="AN98" s="56">
        <v>47511216</v>
      </c>
      <c r="AO98" s="56">
        <v>36394068</v>
      </c>
      <c r="AQ98" s="119"/>
      <c r="AR98" s="119"/>
    </row>
    <row r="99" spans="3:44" hidden="1" outlineLevel="1">
      <c r="D99" s="80"/>
      <c r="E99" s="80"/>
      <c r="F99" s="80"/>
      <c r="G99" s="80"/>
      <c r="H99" s="80"/>
      <c r="I99" s="80"/>
      <c r="J99" s="80"/>
      <c r="K99" s="80"/>
      <c r="L99" s="120"/>
      <c r="M99" s="80"/>
      <c r="N99" s="120"/>
      <c r="O99" s="120"/>
      <c r="P99" s="120"/>
      <c r="Q99" s="120"/>
      <c r="R99" s="80"/>
      <c r="S99" s="120"/>
      <c r="T99" s="120"/>
      <c r="U99" s="120"/>
      <c r="V99" s="120"/>
      <c r="W99" s="80"/>
      <c r="X99" s="120"/>
      <c r="Y99" s="120"/>
      <c r="Z99" s="120"/>
      <c r="AA99" s="120"/>
      <c r="AB99" s="80"/>
      <c r="AC99" s="120"/>
      <c r="AD99" s="120"/>
      <c r="AE99" s="120"/>
      <c r="AF99" s="120"/>
      <c r="AG99" s="80"/>
      <c r="AH99" s="120"/>
      <c r="AI99" s="120"/>
      <c r="AJ99" s="120"/>
      <c r="AK99" s="120"/>
      <c r="AL99" s="80"/>
      <c r="AM99" s="120"/>
      <c r="AN99" s="120"/>
      <c r="AO99" s="120"/>
      <c r="AQ99" s="80"/>
      <c r="AR99" s="80"/>
    </row>
    <row r="100" spans="3:44" hidden="1" outlineLevel="1">
      <c r="C100" s="117" t="s">
        <v>413</v>
      </c>
      <c r="D100" s="61" t="s">
        <v>414</v>
      </c>
      <c r="E100" s="61" t="s">
        <v>415</v>
      </c>
      <c r="F100" s="61" t="s">
        <v>416</v>
      </c>
      <c r="G100" s="61" t="s">
        <v>417</v>
      </c>
      <c r="H100" s="61">
        <f>H1</f>
        <v>2006</v>
      </c>
      <c r="I100" s="61" t="s">
        <v>418</v>
      </c>
      <c r="J100" s="61" t="s">
        <v>419</v>
      </c>
      <c r="K100" s="61" t="s">
        <v>420</v>
      </c>
      <c r="L100" s="55" t="s">
        <v>283</v>
      </c>
      <c r="M100" s="61">
        <f>M1</f>
        <v>2007</v>
      </c>
      <c r="N100" s="55" t="s">
        <v>284</v>
      </c>
      <c r="O100" s="55" t="s">
        <v>285</v>
      </c>
      <c r="P100" s="55" t="s">
        <v>286</v>
      </c>
      <c r="Q100" s="55" t="s">
        <v>287</v>
      </c>
      <c r="R100" s="61">
        <f>R1</f>
        <v>2008</v>
      </c>
      <c r="S100" s="55" t="s">
        <v>288</v>
      </c>
      <c r="T100" s="55" t="s">
        <v>289</v>
      </c>
      <c r="U100" s="55" t="s">
        <v>290</v>
      </c>
      <c r="V100" s="55" t="s">
        <v>291</v>
      </c>
      <c r="W100" s="61">
        <f>W1</f>
        <v>2009</v>
      </c>
      <c r="X100" s="55" t="s">
        <v>292</v>
      </c>
      <c r="Y100" s="55" t="s">
        <v>293</v>
      </c>
      <c r="Z100" s="55" t="s">
        <v>294</v>
      </c>
      <c r="AA100" s="55" t="s">
        <v>295</v>
      </c>
      <c r="AB100" s="61">
        <f>AB1</f>
        <v>2010</v>
      </c>
      <c r="AC100" s="55" t="s">
        <v>296</v>
      </c>
      <c r="AD100" s="55" t="s">
        <v>297</v>
      </c>
      <c r="AE100" s="55" t="s">
        <v>298</v>
      </c>
      <c r="AF100" s="55" t="s">
        <v>299</v>
      </c>
      <c r="AG100" s="61">
        <f>AG1</f>
        <v>2011</v>
      </c>
      <c r="AH100" s="55" t="s">
        <v>300</v>
      </c>
      <c r="AI100" s="55" t="s">
        <v>301</v>
      </c>
      <c r="AJ100" s="55" t="s">
        <v>302</v>
      </c>
      <c r="AK100" s="55" t="s">
        <v>303</v>
      </c>
      <c r="AL100" s="61">
        <f>AL1</f>
        <v>2012</v>
      </c>
      <c r="AM100" s="55" t="s">
        <v>304</v>
      </c>
      <c r="AN100" s="55" t="s">
        <v>305</v>
      </c>
      <c r="AO100" s="55" t="s">
        <v>306</v>
      </c>
      <c r="AQ100" s="61"/>
      <c r="AR100" s="61"/>
    </row>
    <row r="101" spans="3:44" hidden="1" outlineLevel="1">
      <c r="C101" s="118" t="s">
        <v>421</v>
      </c>
      <c r="D101" s="108">
        <f>SUM(D103:D132)</f>
        <v>43416216</v>
      </c>
      <c r="E101" s="108">
        <f>SUM(E103:E132)</f>
        <v>43484075</v>
      </c>
      <c r="F101" s="108">
        <f>SUM(F103:F132)</f>
        <v>37583707</v>
      </c>
      <c r="G101" s="108">
        <f>SUM(G103:G132)</f>
        <v>37857162</v>
      </c>
      <c r="H101" s="108">
        <f t="shared" ref="H101:H108" si="41">SUM(D101:G101)</f>
        <v>162341160</v>
      </c>
      <c r="I101" s="108">
        <f>SUM(I103:I132)</f>
        <v>36293591</v>
      </c>
      <c r="J101" s="108">
        <f>SUM(J103:J132)</f>
        <v>35631499</v>
      </c>
      <c r="K101" s="108">
        <f>SUM(K103:K132)</f>
        <v>34912872</v>
      </c>
      <c r="L101" s="108">
        <f>SUM(L103:L132)</f>
        <v>35173166</v>
      </c>
      <c r="M101" s="108">
        <f t="shared" ref="M101:M108" si="42">SUM(I101:L101)</f>
        <v>142011128</v>
      </c>
      <c r="N101" s="108">
        <f>SUM(N103:N132)</f>
        <v>33243393</v>
      </c>
      <c r="O101" s="108">
        <f>SUM(O103:O132)</f>
        <v>31528863</v>
      </c>
      <c r="P101" s="108">
        <f>SUM(P103:P132)</f>
        <v>30965445</v>
      </c>
      <c r="Q101" s="108">
        <f>SUM(Q103:Q132)</f>
        <v>30840778</v>
      </c>
      <c r="R101" s="108">
        <f t="shared" ref="R101:R108" si="43">SUM(N101:Q101)</f>
        <v>126578479</v>
      </c>
      <c r="S101" s="108">
        <f>SUM(S103:S132)</f>
        <v>29859459</v>
      </c>
      <c r="T101" s="108">
        <f>SUM(T103:T132)</f>
        <v>29437006</v>
      </c>
      <c r="U101" s="108">
        <f>SUM(U103:U132)</f>
        <v>29070145</v>
      </c>
      <c r="V101" s="108">
        <f>SUM(V103:V132)</f>
        <v>28716057</v>
      </c>
      <c r="W101" s="108">
        <f t="shared" ref="W101:W108" si="44">SUM(S101:V101)</f>
        <v>117082667</v>
      </c>
      <c r="X101" s="108">
        <f>SUM(X103:X132)</f>
        <v>27425317</v>
      </c>
      <c r="Y101" s="108">
        <f>SUM(Y103:Y132)</f>
        <v>27348232</v>
      </c>
      <c r="Z101" s="108">
        <f>SUM(Z103:Z132)</f>
        <v>26933065</v>
      </c>
      <c r="AA101" s="108">
        <f>SUM(AA103:AA132)</f>
        <v>26425942</v>
      </c>
      <c r="AB101" s="108">
        <f t="shared" ref="AB101:AB108" si="45">SUM(X101:AA101)</f>
        <v>108132556</v>
      </c>
      <c r="AC101" s="108">
        <f>SUM(AC103:AC132)</f>
        <v>25632727</v>
      </c>
      <c r="AD101" s="108">
        <f>SUM(AD103:AD132)</f>
        <v>25071239</v>
      </c>
      <c r="AE101" s="108">
        <f>SUM(AE103:AE132)</f>
        <v>25297514</v>
      </c>
      <c r="AF101" s="108">
        <f>SUM(AF103:AF132)</f>
        <v>23527638</v>
      </c>
      <c r="AG101" s="108">
        <f t="shared" ref="AG101:AG108" si="46">SUM(AC101:AF101)</f>
        <v>99529118</v>
      </c>
      <c r="AH101" s="108">
        <f>SUM(AH103:AH132)</f>
        <v>18350451</v>
      </c>
      <c r="AI101" s="108">
        <f>SUM(AI103:AI132)</f>
        <v>16814806</v>
      </c>
      <c r="AJ101" s="108">
        <f>SUM(AJ103:AJ132)</f>
        <v>14313166</v>
      </c>
      <c r="AK101" s="108">
        <f>SUM(AK103:AK132)</f>
        <v>13407808</v>
      </c>
      <c r="AL101" s="108">
        <f t="shared" ref="AL101:AL108" si="47">SUM(AH101:AK101)</f>
        <v>62886231</v>
      </c>
      <c r="AM101" s="108">
        <f>SUM(AM103:AM132)</f>
        <v>11692628</v>
      </c>
      <c r="AN101" s="108">
        <f>SUM(AN103:AN132)</f>
        <v>11316126</v>
      </c>
      <c r="AO101" s="108">
        <f>SUM(AO103:AO132)</f>
        <v>10713531</v>
      </c>
      <c r="AQ101" s="108"/>
      <c r="AR101" s="108"/>
    </row>
    <row r="102" spans="3:44" hidden="1" outlineLevel="1" collapsed="1">
      <c r="C102" s="118" t="s">
        <v>422</v>
      </c>
      <c r="D102" s="108">
        <f>D101-D119-D121</f>
        <v>36209696</v>
      </c>
      <c r="E102" s="108">
        <f>E101-E119-E121</f>
        <v>35640891</v>
      </c>
      <c r="F102" s="108">
        <f>F101-F119-F121</f>
        <v>29228653</v>
      </c>
      <c r="G102" s="108">
        <f>G101-G119-G121</f>
        <v>28992141</v>
      </c>
      <c r="H102" s="108">
        <f t="shared" si="41"/>
        <v>130071381</v>
      </c>
      <c r="I102" s="108">
        <f>I101-I119-I121</f>
        <v>26996852</v>
      </c>
      <c r="J102" s="108">
        <f>J101-J119-J121</f>
        <v>25967788</v>
      </c>
      <c r="K102" s="108">
        <f>K101-K119-K121</f>
        <v>25054390</v>
      </c>
      <c r="L102" s="108">
        <f>L101-L119-L121</f>
        <v>25006988</v>
      </c>
      <c r="M102" s="108">
        <f t="shared" si="42"/>
        <v>103026018</v>
      </c>
      <c r="N102" s="108">
        <f>N101-N119-N121</f>
        <v>24325319</v>
      </c>
      <c r="O102" s="108">
        <f>O101-O119-O121</f>
        <v>24098355</v>
      </c>
      <c r="P102" s="108">
        <f>P101-P119-P121</f>
        <v>24105156</v>
      </c>
      <c r="Q102" s="108">
        <f>Q101-Q119-Q121</f>
        <v>24398856</v>
      </c>
      <c r="R102" s="108">
        <f t="shared" si="43"/>
        <v>96927686</v>
      </c>
      <c r="S102" s="108">
        <f>S101-S119-S121</f>
        <v>24009790</v>
      </c>
      <c r="T102" s="108">
        <f>T101-T119-T121</f>
        <v>23893573</v>
      </c>
      <c r="U102" s="108">
        <f>U101-U119-U121</f>
        <v>23692977</v>
      </c>
      <c r="V102" s="108">
        <f>V101-V119-V121</f>
        <v>23572754</v>
      </c>
      <c r="W102" s="108">
        <f t="shared" si="44"/>
        <v>95169094</v>
      </c>
      <c r="X102" s="108">
        <f>X101-X119-X121</f>
        <v>22731136</v>
      </c>
      <c r="Y102" s="108">
        <f>Y101-Y119-Y121</f>
        <v>22810561</v>
      </c>
      <c r="Z102" s="108">
        <f>Z101-Z119-Z121</f>
        <v>22612103</v>
      </c>
      <c r="AA102" s="108">
        <f>AA101-AA119-AA121</f>
        <v>22270566</v>
      </c>
      <c r="AB102" s="108">
        <f t="shared" si="45"/>
        <v>90424366</v>
      </c>
      <c r="AC102" s="108">
        <f>AC101-AC119-AC121</f>
        <v>21712527</v>
      </c>
      <c r="AD102" s="108">
        <f>AD101-AD119-AD121</f>
        <v>21351250</v>
      </c>
      <c r="AE102" s="108">
        <f>AE101-AE119-AE121</f>
        <v>21750576</v>
      </c>
      <c r="AF102" s="108">
        <f>AF101-AF119-AF121</f>
        <v>20082551</v>
      </c>
      <c r="AG102" s="108">
        <f t="shared" si="46"/>
        <v>84896904</v>
      </c>
      <c r="AH102" s="108">
        <f>AH101-AH119-AH121</f>
        <v>15090196</v>
      </c>
      <c r="AI102" s="108">
        <f>AI101-AI119-AI121</f>
        <v>13669991</v>
      </c>
      <c r="AJ102" s="108">
        <f>AJ101-AJ119-AJ121</f>
        <v>11253676</v>
      </c>
      <c r="AK102" s="108">
        <f>AK101-AK119-AK121</f>
        <v>10393702</v>
      </c>
      <c r="AL102" s="108">
        <f t="shared" si="47"/>
        <v>50407565</v>
      </c>
      <c r="AM102" s="108">
        <f>AM101-AM119-AM121</f>
        <v>8832070</v>
      </c>
      <c r="AN102" s="108">
        <f>AN101-AN119-AN121</f>
        <v>8501310</v>
      </c>
      <c r="AO102" s="108">
        <f>AO101-AO119-AO121</f>
        <v>7955806</v>
      </c>
      <c r="AQ102" s="108"/>
      <c r="AR102" s="108"/>
    </row>
    <row r="103" spans="3:44" hidden="1" outlineLevel="2">
      <c r="C103" s="80" t="s">
        <v>370</v>
      </c>
      <c r="D103" s="56">
        <v>322490</v>
      </c>
      <c r="E103" s="56">
        <v>323441</v>
      </c>
      <c r="F103" s="56">
        <v>321774</v>
      </c>
      <c r="G103" s="56">
        <v>322071</v>
      </c>
      <c r="H103" s="108">
        <f t="shared" si="41"/>
        <v>1289776</v>
      </c>
      <c r="I103" s="56">
        <v>308997</v>
      </c>
      <c r="J103" s="56">
        <v>293884</v>
      </c>
      <c r="K103" s="56">
        <v>279511</v>
      </c>
      <c r="L103" s="56">
        <v>271370</v>
      </c>
      <c r="M103" s="108">
        <f t="shared" si="42"/>
        <v>1153762</v>
      </c>
      <c r="N103" s="56">
        <v>255607</v>
      </c>
      <c r="O103" s="56">
        <v>234771</v>
      </c>
      <c r="P103" s="56">
        <v>215033</v>
      </c>
      <c r="Q103" s="56">
        <v>199480</v>
      </c>
      <c r="R103" s="108">
        <f t="shared" si="43"/>
        <v>904891</v>
      </c>
      <c r="S103" s="56">
        <v>178411</v>
      </c>
      <c r="T103" s="56">
        <v>163277</v>
      </c>
      <c r="U103" s="56">
        <v>151000</v>
      </c>
      <c r="V103" s="56">
        <v>141844</v>
      </c>
      <c r="W103" s="108">
        <f t="shared" si="44"/>
        <v>634532</v>
      </c>
      <c r="X103" s="56">
        <v>117131</v>
      </c>
      <c r="Y103" s="56">
        <v>106747</v>
      </c>
      <c r="Z103" s="56">
        <v>98822</v>
      </c>
      <c r="AA103" s="56">
        <v>90494</v>
      </c>
      <c r="AB103" s="108">
        <f t="shared" si="45"/>
        <v>413194</v>
      </c>
      <c r="AC103" s="56">
        <v>78403</v>
      </c>
      <c r="AD103" s="56">
        <v>70731</v>
      </c>
      <c r="AE103" s="56">
        <v>64879</v>
      </c>
      <c r="AF103" s="56">
        <v>59190</v>
      </c>
      <c r="AG103" s="108">
        <f t="shared" si="46"/>
        <v>273203</v>
      </c>
      <c r="AH103" s="56">
        <v>52325</v>
      </c>
      <c r="AI103" s="56">
        <v>48022</v>
      </c>
      <c r="AJ103" s="56">
        <v>45060</v>
      </c>
      <c r="AK103" s="56">
        <v>42450</v>
      </c>
      <c r="AL103" s="108">
        <f t="shared" si="47"/>
        <v>187857</v>
      </c>
      <c r="AM103" s="56">
        <v>36619</v>
      </c>
      <c r="AN103" s="56">
        <v>33881</v>
      </c>
      <c r="AO103" s="56">
        <v>30395</v>
      </c>
      <c r="AQ103" s="108"/>
      <c r="AR103" s="108"/>
    </row>
    <row r="104" spans="3:44" hidden="1" outlineLevel="2">
      <c r="C104" s="80" t="s">
        <v>371</v>
      </c>
      <c r="D104" s="56">
        <v>74325</v>
      </c>
      <c r="E104" s="56">
        <v>74844</v>
      </c>
      <c r="F104" s="56">
        <v>74522</v>
      </c>
      <c r="G104" s="56">
        <v>74715</v>
      </c>
      <c r="H104" s="108">
        <f t="shared" si="41"/>
        <v>298406</v>
      </c>
      <c r="I104" s="56">
        <v>65592</v>
      </c>
      <c r="J104" s="56">
        <v>40257</v>
      </c>
      <c r="K104" s="56">
        <v>26416</v>
      </c>
      <c r="L104" s="56">
        <v>20396</v>
      </c>
      <c r="M104" s="108">
        <f t="shared" si="42"/>
        <v>152661</v>
      </c>
      <c r="N104" s="56">
        <v>14841</v>
      </c>
      <c r="O104" s="56">
        <v>11762</v>
      </c>
      <c r="P104" s="56">
        <v>10976</v>
      </c>
      <c r="Q104" s="56">
        <v>10681</v>
      </c>
      <c r="R104" s="108">
        <f t="shared" si="43"/>
        <v>48260</v>
      </c>
      <c r="S104" s="56">
        <v>8238</v>
      </c>
      <c r="T104" s="56">
        <v>6985</v>
      </c>
      <c r="U104" s="56">
        <v>6051</v>
      </c>
      <c r="V104" s="56">
        <v>5442</v>
      </c>
      <c r="W104" s="108">
        <f t="shared" si="44"/>
        <v>26716</v>
      </c>
      <c r="X104" s="56">
        <v>4449</v>
      </c>
      <c r="Y104" s="56">
        <v>4734</v>
      </c>
      <c r="Z104" s="56">
        <v>3935</v>
      </c>
      <c r="AA104" s="56">
        <v>3403</v>
      </c>
      <c r="AB104" s="108">
        <f t="shared" si="45"/>
        <v>16521</v>
      </c>
      <c r="AC104" s="56">
        <v>2893</v>
      </c>
      <c r="AD104" s="56">
        <v>2478</v>
      </c>
      <c r="AE104" s="56">
        <v>2632</v>
      </c>
      <c r="AF104" s="56">
        <v>2470</v>
      </c>
      <c r="AG104" s="108">
        <f t="shared" si="46"/>
        <v>10473</v>
      </c>
      <c r="AH104" s="56">
        <v>2006</v>
      </c>
      <c r="AI104" s="56">
        <v>2084</v>
      </c>
      <c r="AJ104" s="56">
        <v>1778</v>
      </c>
      <c r="AK104" s="56">
        <v>2670</v>
      </c>
      <c r="AL104" s="108">
        <f t="shared" si="47"/>
        <v>8538</v>
      </c>
      <c r="AM104" s="56">
        <v>3421</v>
      </c>
      <c r="AN104" s="56">
        <v>2727</v>
      </c>
      <c r="AO104" s="56">
        <v>1853</v>
      </c>
      <c r="AQ104" s="108"/>
      <c r="AR104" s="108"/>
    </row>
    <row r="105" spans="3:44" hidden="1" outlineLevel="2">
      <c r="C105" s="80" t="s">
        <v>372</v>
      </c>
      <c r="D105" s="56">
        <v>2649729</v>
      </c>
      <c r="E105" s="56">
        <v>3092421</v>
      </c>
      <c r="F105" s="56">
        <v>3417807</v>
      </c>
      <c r="G105" s="56">
        <v>3766855</v>
      </c>
      <c r="H105" s="108">
        <f t="shared" si="41"/>
        <v>12926812</v>
      </c>
      <c r="I105" s="56">
        <v>3889413</v>
      </c>
      <c r="J105" s="56">
        <v>3904441</v>
      </c>
      <c r="K105" s="56">
        <v>3927139</v>
      </c>
      <c r="L105" s="56">
        <v>4044352</v>
      </c>
      <c r="M105" s="108">
        <f t="shared" si="42"/>
        <v>15765345</v>
      </c>
      <c r="N105" s="56">
        <v>4107102</v>
      </c>
      <c r="O105" s="56">
        <v>4287503</v>
      </c>
      <c r="P105" s="56">
        <v>4458302</v>
      </c>
      <c r="Q105" s="56">
        <v>4781894</v>
      </c>
      <c r="R105" s="108">
        <f t="shared" si="43"/>
        <v>17634801</v>
      </c>
      <c r="S105" s="56">
        <v>5074807</v>
      </c>
      <c r="T105" s="56">
        <v>5403316</v>
      </c>
      <c r="U105" s="56">
        <v>5580065</v>
      </c>
      <c r="V105" s="56">
        <v>5764095</v>
      </c>
      <c r="W105" s="108">
        <f t="shared" si="44"/>
        <v>21822283</v>
      </c>
      <c r="X105" s="56">
        <v>5824131</v>
      </c>
      <c r="Y105" s="56">
        <v>6127288</v>
      </c>
      <c r="Z105" s="56">
        <v>6278311</v>
      </c>
      <c r="AA105" s="56">
        <v>6374485</v>
      </c>
      <c r="AB105" s="108">
        <f t="shared" si="45"/>
        <v>24604215</v>
      </c>
      <c r="AC105" s="56">
        <v>6327764</v>
      </c>
      <c r="AD105" s="56">
        <v>6272087</v>
      </c>
      <c r="AE105" s="56">
        <v>6476109</v>
      </c>
      <c r="AF105" s="56">
        <v>6608740</v>
      </c>
      <c r="AG105" s="108">
        <f t="shared" si="46"/>
        <v>25684700</v>
      </c>
      <c r="AH105" s="56">
        <v>6463410</v>
      </c>
      <c r="AI105" s="56">
        <v>6364697</v>
      </c>
      <c r="AJ105" s="56">
        <v>6265643</v>
      </c>
      <c r="AK105" s="56">
        <v>6224818</v>
      </c>
      <c r="AL105" s="108">
        <f t="shared" si="47"/>
        <v>25318568</v>
      </c>
      <c r="AM105" s="56">
        <v>5898474</v>
      </c>
      <c r="AN105" s="56">
        <v>5837398</v>
      </c>
      <c r="AO105" s="56">
        <v>5775878</v>
      </c>
      <c r="AQ105" s="108"/>
      <c r="AR105" s="108"/>
    </row>
    <row r="106" spans="3:44" hidden="1" outlineLevel="2">
      <c r="C106" s="80" t="s">
        <v>373</v>
      </c>
      <c r="D106" s="56">
        <v>302550</v>
      </c>
      <c r="E106" s="56">
        <v>274405</v>
      </c>
      <c r="F106" s="56">
        <v>248700</v>
      </c>
      <c r="G106" s="56">
        <v>229424</v>
      </c>
      <c r="H106" s="108">
        <f t="shared" si="41"/>
        <v>1055079</v>
      </c>
      <c r="I106" s="56">
        <v>205447</v>
      </c>
      <c r="J106" s="56">
        <v>185992</v>
      </c>
      <c r="K106" s="56">
        <v>169647</v>
      </c>
      <c r="L106" s="56">
        <v>157317</v>
      </c>
      <c r="M106" s="108">
        <f t="shared" si="42"/>
        <v>718403</v>
      </c>
      <c r="N106" s="56">
        <v>140898</v>
      </c>
      <c r="O106" s="56">
        <v>128664</v>
      </c>
      <c r="P106" s="56">
        <v>121332</v>
      </c>
      <c r="Q106" s="56">
        <v>115280</v>
      </c>
      <c r="R106" s="108">
        <f t="shared" si="43"/>
        <v>506174</v>
      </c>
      <c r="S106" s="56">
        <v>97325</v>
      </c>
      <c r="T106" s="56">
        <v>88403</v>
      </c>
      <c r="U106" s="56">
        <v>82566</v>
      </c>
      <c r="V106" s="56">
        <v>78445</v>
      </c>
      <c r="W106" s="108">
        <f t="shared" si="44"/>
        <v>346739</v>
      </c>
      <c r="X106" s="56">
        <v>69615</v>
      </c>
      <c r="Y106" s="56">
        <v>65666</v>
      </c>
      <c r="Z106" s="56">
        <v>61934</v>
      </c>
      <c r="AA106" s="56">
        <v>58568</v>
      </c>
      <c r="AB106" s="108">
        <f t="shared" si="45"/>
        <v>255783</v>
      </c>
      <c r="AC106" s="56">
        <v>52183</v>
      </c>
      <c r="AD106" s="56">
        <v>47577</v>
      </c>
      <c r="AE106" s="56">
        <v>45361</v>
      </c>
      <c r="AF106" s="56">
        <v>43204</v>
      </c>
      <c r="AG106" s="108">
        <f t="shared" si="46"/>
        <v>188325</v>
      </c>
      <c r="AH106" s="56">
        <v>39476</v>
      </c>
      <c r="AI106" s="56">
        <v>19074</v>
      </c>
      <c r="AJ106" s="56">
        <v>9301</v>
      </c>
      <c r="AK106" s="56">
        <v>7286</v>
      </c>
      <c r="AL106" s="108">
        <f t="shared" si="47"/>
        <v>75137</v>
      </c>
      <c r="AM106" s="56">
        <v>5454</v>
      </c>
      <c r="AN106" s="56">
        <v>4240</v>
      </c>
      <c r="AO106" s="56">
        <v>3753</v>
      </c>
      <c r="AQ106" s="108"/>
      <c r="AR106" s="108"/>
    </row>
    <row r="107" spans="3:44" hidden="1" outlineLevel="2">
      <c r="C107" s="80" t="s">
        <v>374</v>
      </c>
      <c r="D107" s="56">
        <v>629102</v>
      </c>
      <c r="E107" s="56">
        <v>585333</v>
      </c>
      <c r="F107" s="56">
        <v>534823</v>
      </c>
      <c r="G107" s="56">
        <v>494536</v>
      </c>
      <c r="H107" s="108">
        <f t="shared" si="41"/>
        <v>2243794</v>
      </c>
      <c r="I107" s="56">
        <v>446393</v>
      </c>
      <c r="J107" s="56">
        <v>404709</v>
      </c>
      <c r="K107" s="56">
        <v>369962</v>
      </c>
      <c r="L107" s="56">
        <v>344410</v>
      </c>
      <c r="M107" s="108">
        <f t="shared" si="42"/>
        <v>1565474</v>
      </c>
      <c r="N107" s="56">
        <v>307277</v>
      </c>
      <c r="O107" s="56">
        <v>283334</v>
      </c>
      <c r="P107" s="56">
        <v>265854</v>
      </c>
      <c r="Q107" s="56">
        <v>251534</v>
      </c>
      <c r="R107" s="108">
        <f t="shared" si="43"/>
        <v>1107999</v>
      </c>
      <c r="S107" s="56">
        <v>220546</v>
      </c>
      <c r="T107" s="56">
        <v>201356</v>
      </c>
      <c r="U107" s="56">
        <v>186911</v>
      </c>
      <c r="V107" s="56">
        <v>174248</v>
      </c>
      <c r="W107" s="108">
        <f t="shared" si="44"/>
        <v>783061</v>
      </c>
      <c r="X107" s="56">
        <v>154051</v>
      </c>
      <c r="Y107" s="56">
        <v>143586</v>
      </c>
      <c r="Z107" s="56">
        <v>133428</v>
      </c>
      <c r="AA107" s="56">
        <v>124258</v>
      </c>
      <c r="AB107" s="108">
        <f t="shared" si="45"/>
        <v>555323</v>
      </c>
      <c r="AC107" s="56">
        <v>109757</v>
      </c>
      <c r="AD107" s="56">
        <v>98811</v>
      </c>
      <c r="AE107" s="56">
        <v>92925</v>
      </c>
      <c r="AF107" s="56">
        <v>87555</v>
      </c>
      <c r="AG107" s="108">
        <f t="shared" si="46"/>
        <v>389048</v>
      </c>
      <c r="AH107" s="56">
        <v>80250</v>
      </c>
      <c r="AI107" s="56">
        <v>75113</v>
      </c>
      <c r="AJ107" s="56">
        <v>70160</v>
      </c>
      <c r="AK107" s="56">
        <v>67702</v>
      </c>
      <c r="AL107" s="108">
        <f t="shared" si="47"/>
        <v>293225</v>
      </c>
      <c r="AM107" s="56">
        <v>59328</v>
      </c>
      <c r="AN107" s="56">
        <v>55587</v>
      </c>
      <c r="AO107" s="56">
        <v>50171</v>
      </c>
      <c r="AQ107" s="108"/>
      <c r="AR107" s="108"/>
    </row>
    <row r="108" spans="3:44" hidden="1" outlineLevel="2">
      <c r="C108" s="80" t="s">
        <v>375</v>
      </c>
      <c r="D108" s="56">
        <v>18856820</v>
      </c>
      <c r="E108" s="56">
        <v>18791545</v>
      </c>
      <c r="F108" s="56">
        <v>18296498</v>
      </c>
      <c r="G108" s="56">
        <v>18071195</v>
      </c>
      <c r="H108" s="108">
        <f t="shared" si="41"/>
        <v>74016058</v>
      </c>
      <c r="I108" s="56">
        <v>17397355</v>
      </c>
      <c r="J108" s="56">
        <v>16675040</v>
      </c>
      <c r="K108" s="56">
        <v>15984215</v>
      </c>
      <c r="L108" s="56">
        <v>15780384</v>
      </c>
      <c r="M108" s="108">
        <f t="shared" si="42"/>
        <v>65836994</v>
      </c>
      <c r="N108" s="56">
        <v>15151105</v>
      </c>
      <c r="O108" s="56">
        <v>14689668</v>
      </c>
      <c r="P108" s="56">
        <v>14385038</v>
      </c>
      <c r="Q108" s="56">
        <v>14249247</v>
      </c>
      <c r="R108" s="108">
        <f t="shared" si="43"/>
        <v>58475058</v>
      </c>
      <c r="S108" s="56">
        <v>13623384</v>
      </c>
      <c r="T108" s="56">
        <v>13100862</v>
      </c>
      <c r="U108" s="56">
        <v>12646251</v>
      </c>
      <c r="V108" s="56">
        <v>12344430</v>
      </c>
      <c r="W108" s="108">
        <f t="shared" si="44"/>
        <v>51714927</v>
      </c>
      <c r="X108" s="56">
        <v>11666545</v>
      </c>
      <c r="Y108" s="56">
        <v>11480075</v>
      </c>
      <c r="Z108" s="56">
        <v>11200680</v>
      </c>
      <c r="AA108" s="56">
        <v>10918267</v>
      </c>
      <c r="AB108" s="108">
        <f t="shared" si="45"/>
        <v>45265567</v>
      </c>
      <c r="AC108" s="56">
        <v>10613929</v>
      </c>
      <c r="AD108" s="56">
        <v>10459144</v>
      </c>
      <c r="AE108" s="56">
        <v>10768743</v>
      </c>
      <c r="AF108" s="56">
        <v>9059430</v>
      </c>
      <c r="AG108" s="108">
        <f t="shared" si="46"/>
        <v>40901246</v>
      </c>
      <c r="AH108" s="56">
        <v>4508801</v>
      </c>
      <c r="AI108" s="56">
        <v>3321957</v>
      </c>
      <c r="AJ108" s="56">
        <v>1094660</v>
      </c>
      <c r="AK108" s="56">
        <v>822325</v>
      </c>
      <c r="AL108" s="108">
        <f t="shared" si="47"/>
        <v>9747743</v>
      </c>
      <c r="AM108" s="56">
        <v>557243</v>
      </c>
      <c r="AN108" s="56">
        <v>429007</v>
      </c>
      <c r="AO108" s="56">
        <v>374563</v>
      </c>
      <c r="AQ108" s="108"/>
      <c r="AR108" s="108"/>
    </row>
    <row r="109" spans="3:44" hidden="1" outlineLevel="2">
      <c r="C109" s="80" t="s">
        <v>376</v>
      </c>
      <c r="H109" s="108"/>
      <c r="M109" s="108"/>
      <c r="R109" s="108"/>
      <c r="W109" s="108"/>
      <c r="AB109" s="108"/>
      <c r="AG109" s="108"/>
      <c r="AL109" s="108"/>
      <c r="AN109" s="56">
        <v>2002</v>
      </c>
      <c r="AO109" s="56">
        <v>12022</v>
      </c>
      <c r="AQ109" s="108"/>
      <c r="AR109" s="108"/>
    </row>
    <row r="110" spans="3:44" hidden="1" outlineLevel="2">
      <c r="C110" s="80" t="s">
        <v>377</v>
      </c>
      <c r="H110" s="108"/>
      <c r="M110" s="108"/>
      <c r="R110" s="108"/>
      <c r="W110" s="108"/>
      <c r="Y110" s="56">
        <v>71</v>
      </c>
      <c r="Z110" s="56">
        <v>17192</v>
      </c>
      <c r="AA110" s="56">
        <v>54898</v>
      </c>
      <c r="AB110" s="108">
        <f t="shared" ref="AB110:AB133" si="48">SUM(X110:AA110)</f>
        <v>72161</v>
      </c>
      <c r="AC110" s="56">
        <v>85311</v>
      </c>
      <c r="AD110" s="56">
        <v>113680</v>
      </c>
      <c r="AE110" s="56">
        <v>148227</v>
      </c>
      <c r="AF110" s="56">
        <v>187860</v>
      </c>
      <c r="AG110" s="108">
        <f>SUM(AC110:AF110)</f>
        <v>535078</v>
      </c>
      <c r="AH110" s="56">
        <v>196902</v>
      </c>
      <c r="AI110" s="56">
        <v>210329</v>
      </c>
      <c r="AJ110" s="56">
        <v>224891</v>
      </c>
      <c r="AK110" s="56">
        <v>240693</v>
      </c>
      <c r="AL110" s="108">
        <f>SUM(AH110:AK110)</f>
        <v>872815</v>
      </c>
      <c r="AM110" s="56">
        <v>225762</v>
      </c>
      <c r="AN110" s="56">
        <v>228986</v>
      </c>
      <c r="AO110" s="56">
        <v>228868</v>
      </c>
      <c r="AQ110" s="108"/>
      <c r="AR110" s="108"/>
    </row>
    <row r="111" spans="3:44" hidden="1" outlineLevel="2">
      <c r="C111" s="80" t="s">
        <v>378</v>
      </c>
      <c r="D111" s="56">
        <v>7670</v>
      </c>
      <c r="E111" s="56">
        <v>6617</v>
      </c>
      <c r="F111" s="56">
        <v>5781</v>
      </c>
      <c r="G111" s="56">
        <v>5486</v>
      </c>
      <c r="H111" s="108">
        <f t="shared" ref="H111:H117" si="49">SUM(D111:G111)</f>
        <v>25554</v>
      </c>
      <c r="I111" s="56">
        <v>5071</v>
      </c>
      <c r="J111" s="56">
        <v>4637</v>
      </c>
      <c r="K111" s="56">
        <v>4425</v>
      </c>
      <c r="L111" s="56">
        <v>4345</v>
      </c>
      <c r="M111" s="108">
        <f t="shared" ref="M111:M117" si="50">SUM(I111:L111)</f>
        <v>18478</v>
      </c>
      <c r="N111" s="56">
        <v>3766</v>
      </c>
      <c r="O111" s="56">
        <v>3539</v>
      </c>
      <c r="P111" s="56">
        <v>3288</v>
      </c>
      <c r="Q111" s="56">
        <v>3074</v>
      </c>
      <c r="R111" s="108">
        <f t="shared" ref="R111:R126" si="51">SUM(N111:Q111)</f>
        <v>13667</v>
      </c>
      <c r="S111" s="56">
        <v>2782</v>
      </c>
      <c r="T111" s="56">
        <v>2651</v>
      </c>
      <c r="U111" s="56">
        <v>2429</v>
      </c>
      <c r="V111" s="56">
        <v>1868</v>
      </c>
      <c r="W111" s="108">
        <f t="shared" ref="W111:W133" si="52">SUM(S111:V111)</f>
        <v>9730</v>
      </c>
      <c r="X111" s="56">
        <v>823</v>
      </c>
      <c r="Y111" s="56">
        <v>475</v>
      </c>
      <c r="Z111" s="56">
        <v>791</v>
      </c>
      <c r="AA111" s="56">
        <v>794</v>
      </c>
      <c r="AB111" s="108">
        <f t="shared" si="48"/>
        <v>2883</v>
      </c>
      <c r="AC111" s="56">
        <v>831</v>
      </c>
      <c r="AD111" s="56">
        <v>823</v>
      </c>
      <c r="AE111" s="56">
        <v>807</v>
      </c>
      <c r="AF111" s="56">
        <v>743</v>
      </c>
      <c r="AG111" s="108">
        <f>SUM(AC111:AF111)</f>
        <v>3204</v>
      </c>
      <c r="AH111" s="56">
        <v>734</v>
      </c>
      <c r="AI111" s="56">
        <v>763</v>
      </c>
      <c r="AJ111" s="56">
        <v>646</v>
      </c>
      <c r="AK111" s="56">
        <v>690</v>
      </c>
      <c r="AL111" s="108">
        <f>SUM(AH111:AK111)</f>
        <v>2833</v>
      </c>
      <c r="AM111" s="56">
        <v>710</v>
      </c>
      <c r="AN111" s="56">
        <v>645</v>
      </c>
      <c r="AO111" s="56">
        <v>521</v>
      </c>
      <c r="AQ111" s="108"/>
      <c r="AR111" s="108"/>
    </row>
    <row r="112" spans="3:44" hidden="1" outlineLevel="2">
      <c r="C112" s="80" t="s">
        <v>379</v>
      </c>
      <c r="D112" s="56">
        <v>10914</v>
      </c>
      <c r="E112" s="56">
        <v>9790</v>
      </c>
      <c r="F112" s="56">
        <v>8593</v>
      </c>
      <c r="G112" s="56">
        <v>7918</v>
      </c>
      <c r="H112" s="108">
        <f t="shared" si="49"/>
        <v>37215</v>
      </c>
      <c r="I112" s="56">
        <v>7117</v>
      </c>
      <c r="J112" s="56">
        <v>6634</v>
      </c>
      <c r="K112" s="56">
        <v>6148</v>
      </c>
      <c r="L112" s="56">
        <v>5703</v>
      </c>
      <c r="M112" s="108">
        <f t="shared" si="50"/>
        <v>25602</v>
      </c>
      <c r="N112" s="56">
        <v>5303</v>
      </c>
      <c r="O112" s="56">
        <v>4880</v>
      </c>
      <c r="P112" s="56">
        <v>4468</v>
      </c>
      <c r="Q112" s="56">
        <v>2448</v>
      </c>
      <c r="R112" s="108">
        <f t="shared" si="51"/>
        <v>17099</v>
      </c>
      <c r="S112" s="56">
        <v>623</v>
      </c>
      <c r="T112" s="56">
        <v>917</v>
      </c>
      <c r="U112" s="56">
        <v>971</v>
      </c>
      <c r="V112" s="56">
        <v>948</v>
      </c>
      <c r="W112" s="108">
        <f t="shared" si="52"/>
        <v>3459</v>
      </c>
      <c r="X112" s="56">
        <v>979</v>
      </c>
      <c r="Y112" s="56">
        <v>987</v>
      </c>
      <c r="Z112" s="56">
        <v>962</v>
      </c>
      <c r="AA112" s="56">
        <v>904</v>
      </c>
      <c r="AB112" s="108">
        <f t="shared" si="48"/>
        <v>3832</v>
      </c>
      <c r="AC112" s="56">
        <v>795</v>
      </c>
      <c r="AD112" s="56">
        <v>527</v>
      </c>
      <c r="AE112" s="56">
        <v>321</v>
      </c>
      <c r="AF112" s="56">
        <v>282</v>
      </c>
      <c r="AG112" s="108">
        <f>SUM(AC112:AF112)</f>
        <v>1925</v>
      </c>
      <c r="AH112" s="56">
        <v>292</v>
      </c>
      <c r="AI112" s="56">
        <v>273</v>
      </c>
      <c r="AJ112" s="56">
        <v>311</v>
      </c>
      <c r="AK112" s="56">
        <v>361</v>
      </c>
      <c r="AL112" s="108">
        <f>SUM(AH112:AK112)</f>
        <v>1237</v>
      </c>
      <c r="AM112" s="56">
        <v>312</v>
      </c>
      <c r="AN112" s="56">
        <v>236</v>
      </c>
      <c r="AO112" s="56">
        <v>142</v>
      </c>
      <c r="AQ112" s="108"/>
      <c r="AR112" s="108"/>
    </row>
    <row r="113" spans="3:44" hidden="1" outlineLevel="2">
      <c r="C113" s="80" t="s">
        <v>380</v>
      </c>
      <c r="D113" s="56">
        <v>2545405</v>
      </c>
      <c r="E113" s="56">
        <v>1267375</v>
      </c>
      <c r="F113" s="56">
        <v>507667</v>
      </c>
      <c r="G113" s="56">
        <v>433698</v>
      </c>
      <c r="H113" s="108">
        <f t="shared" si="49"/>
        <v>4754145</v>
      </c>
      <c r="I113" s="56">
        <v>358438</v>
      </c>
      <c r="J113" s="56">
        <v>309864</v>
      </c>
      <c r="K113" s="56">
        <v>117519</v>
      </c>
      <c r="L113" s="56">
        <v>88337</v>
      </c>
      <c r="M113" s="108">
        <f t="shared" si="50"/>
        <v>874158</v>
      </c>
      <c r="N113" s="56">
        <v>68109</v>
      </c>
      <c r="O113" s="56">
        <v>57574</v>
      </c>
      <c r="P113" s="56">
        <v>52325</v>
      </c>
      <c r="Q113" s="56">
        <v>47651</v>
      </c>
      <c r="R113" s="108">
        <f t="shared" si="51"/>
        <v>225659</v>
      </c>
      <c r="S113" s="56">
        <v>40979</v>
      </c>
      <c r="T113" s="56">
        <v>37289</v>
      </c>
      <c r="U113" s="56">
        <v>34571</v>
      </c>
      <c r="V113" s="56">
        <v>32239</v>
      </c>
      <c r="W113" s="108">
        <f t="shared" si="52"/>
        <v>145078</v>
      </c>
      <c r="X113" s="56">
        <v>28862</v>
      </c>
      <c r="Y113" s="56">
        <v>28967</v>
      </c>
      <c r="Z113" s="56">
        <v>27298</v>
      </c>
      <c r="AA113" s="56">
        <v>25698</v>
      </c>
      <c r="AB113" s="108">
        <f t="shared" si="48"/>
        <v>110825</v>
      </c>
      <c r="AC113" s="56">
        <v>22557</v>
      </c>
      <c r="AD113" s="56">
        <v>20626</v>
      </c>
      <c r="AE113" s="56">
        <v>19594</v>
      </c>
      <c r="AF113" s="56">
        <v>18943</v>
      </c>
      <c r="AG113" s="108">
        <f>SUM(AC113:AF113)</f>
        <v>81720</v>
      </c>
      <c r="AH113" s="56">
        <v>17316</v>
      </c>
      <c r="AI113" s="56">
        <v>16805</v>
      </c>
      <c r="AJ113" s="56">
        <v>15592</v>
      </c>
      <c r="AK113" s="56">
        <v>15686</v>
      </c>
      <c r="AL113" s="108">
        <f>SUM(AH113:AK113)</f>
        <v>65399</v>
      </c>
      <c r="AM113" s="56">
        <v>15000</v>
      </c>
      <c r="AN113" s="56">
        <v>13914</v>
      </c>
      <c r="AO113" s="56">
        <v>12919</v>
      </c>
      <c r="AQ113" s="108"/>
      <c r="AR113" s="108"/>
    </row>
    <row r="114" spans="3:44" hidden="1" outlineLevel="2">
      <c r="C114" s="80" t="s">
        <v>381</v>
      </c>
      <c r="D114" s="56">
        <v>166</v>
      </c>
      <c r="E114" s="56">
        <v>50</v>
      </c>
      <c r="F114" s="56">
        <v>36</v>
      </c>
      <c r="G114" s="56">
        <v>17</v>
      </c>
      <c r="H114" s="108">
        <f t="shared" si="49"/>
        <v>269</v>
      </c>
      <c r="I114" s="56">
        <v>7</v>
      </c>
      <c r="J114" s="56">
        <v>4</v>
      </c>
      <c r="K114" s="56">
        <v>14</v>
      </c>
      <c r="L114" s="56">
        <v>2</v>
      </c>
      <c r="M114" s="108">
        <f t="shared" si="50"/>
        <v>27</v>
      </c>
      <c r="O114" s="56">
        <v>2</v>
      </c>
      <c r="R114" s="108">
        <f t="shared" si="51"/>
        <v>2</v>
      </c>
      <c r="S114" s="56">
        <v>1</v>
      </c>
      <c r="W114" s="108">
        <f t="shared" si="52"/>
        <v>1</v>
      </c>
      <c r="AA114" s="56">
        <v>1</v>
      </c>
      <c r="AB114" s="108">
        <f t="shared" si="48"/>
        <v>1</v>
      </c>
      <c r="AG114" s="108"/>
      <c r="AL114" s="108"/>
      <c r="AQ114" s="108"/>
      <c r="AR114" s="108"/>
    </row>
    <row r="115" spans="3:44" hidden="1" outlineLevel="2">
      <c r="C115" s="80" t="s">
        <v>382</v>
      </c>
      <c r="D115" s="56">
        <v>4808</v>
      </c>
      <c r="E115" s="56">
        <v>4179</v>
      </c>
      <c r="F115" s="56">
        <v>3540</v>
      </c>
      <c r="G115" s="56">
        <v>3064</v>
      </c>
      <c r="H115" s="108">
        <f t="shared" si="49"/>
        <v>15591</v>
      </c>
      <c r="I115" s="56">
        <v>2846</v>
      </c>
      <c r="J115" s="56">
        <v>2676</v>
      </c>
      <c r="K115" s="56">
        <v>2584</v>
      </c>
      <c r="L115" s="56">
        <v>2692</v>
      </c>
      <c r="M115" s="108">
        <f t="shared" si="50"/>
        <v>10798</v>
      </c>
      <c r="N115" s="56">
        <v>2398</v>
      </c>
      <c r="O115" s="56">
        <v>2385</v>
      </c>
      <c r="P115" s="56">
        <v>2279</v>
      </c>
      <c r="Q115" s="56">
        <v>2283</v>
      </c>
      <c r="R115" s="108">
        <f t="shared" si="51"/>
        <v>9345</v>
      </c>
      <c r="S115" s="56">
        <v>2095</v>
      </c>
      <c r="T115" s="56">
        <v>1971</v>
      </c>
      <c r="U115" s="56">
        <v>1826</v>
      </c>
      <c r="V115" s="56">
        <v>1831</v>
      </c>
      <c r="W115" s="108">
        <f t="shared" si="52"/>
        <v>7723</v>
      </c>
      <c r="X115" s="56">
        <v>1613</v>
      </c>
      <c r="Y115" s="56">
        <v>1596</v>
      </c>
      <c r="Z115" s="56">
        <v>1599</v>
      </c>
      <c r="AA115" s="56">
        <v>1617</v>
      </c>
      <c r="AB115" s="108">
        <f t="shared" si="48"/>
        <v>6425</v>
      </c>
      <c r="AC115" s="56">
        <v>1371</v>
      </c>
      <c r="AD115" s="56">
        <v>1308</v>
      </c>
      <c r="AE115" s="56">
        <v>1243</v>
      </c>
      <c r="AF115" s="56">
        <v>1268</v>
      </c>
      <c r="AG115" s="108">
        <f t="shared" ref="AG115:AG139" si="53">SUM(AC115:AF115)</f>
        <v>5190</v>
      </c>
      <c r="AH115" s="56">
        <v>1187</v>
      </c>
      <c r="AI115" s="56">
        <v>1238</v>
      </c>
      <c r="AJ115" s="56">
        <v>1114</v>
      </c>
      <c r="AK115" s="56">
        <v>1080</v>
      </c>
      <c r="AL115" s="108">
        <f t="shared" ref="AL115:AL139" si="54">SUM(AH115:AK115)</f>
        <v>4619</v>
      </c>
      <c r="AM115" s="56">
        <v>965</v>
      </c>
      <c r="AN115" s="56">
        <v>953</v>
      </c>
      <c r="AO115" s="56">
        <v>890</v>
      </c>
      <c r="AQ115" s="108"/>
      <c r="AR115" s="108"/>
    </row>
    <row r="116" spans="3:44" hidden="1" outlineLevel="2">
      <c r="C116" s="80" t="s">
        <v>383</v>
      </c>
      <c r="D116" s="56">
        <v>1782</v>
      </c>
      <c r="E116" s="56">
        <v>1717</v>
      </c>
      <c r="F116" s="56">
        <v>1646</v>
      </c>
      <c r="G116" s="56">
        <v>1558</v>
      </c>
      <c r="H116" s="108">
        <f t="shared" si="49"/>
        <v>6703</v>
      </c>
      <c r="I116" s="56">
        <v>1239</v>
      </c>
      <c r="J116" s="56">
        <v>1016</v>
      </c>
      <c r="K116" s="56">
        <v>917</v>
      </c>
      <c r="L116" s="56">
        <v>826</v>
      </c>
      <c r="M116" s="108">
        <f t="shared" si="50"/>
        <v>3998</v>
      </c>
      <c r="N116" s="56">
        <v>819</v>
      </c>
      <c r="O116" s="56">
        <v>872</v>
      </c>
      <c r="P116" s="56">
        <v>793</v>
      </c>
      <c r="Q116" s="56">
        <v>767</v>
      </c>
      <c r="R116" s="108">
        <f t="shared" si="51"/>
        <v>3251</v>
      </c>
      <c r="S116" s="56">
        <v>708</v>
      </c>
      <c r="T116" s="56">
        <v>631</v>
      </c>
      <c r="U116" s="56">
        <v>645</v>
      </c>
      <c r="V116" s="56">
        <v>625</v>
      </c>
      <c r="W116" s="108">
        <f t="shared" si="52"/>
        <v>2609</v>
      </c>
      <c r="X116" s="56">
        <v>504</v>
      </c>
      <c r="Y116" s="56">
        <v>561</v>
      </c>
      <c r="Z116" s="56">
        <v>564</v>
      </c>
      <c r="AA116" s="56">
        <v>511</v>
      </c>
      <c r="AB116" s="108">
        <f t="shared" si="48"/>
        <v>2140</v>
      </c>
      <c r="AC116" s="56">
        <v>461</v>
      </c>
      <c r="AD116" s="56">
        <v>469</v>
      </c>
      <c r="AE116" s="56">
        <v>399</v>
      </c>
      <c r="AF116" s="56">
        <v>387</v>
      </c>
      <c r="AG116" s="108">
        <f t="shared" si="53"/>
        <v>1716</v>
      </c>
      <c r="AH116" s="56">
        <v>333</v>
      </c>
      <c r="AI116" s="56">
        <v>368</v>
      </c>
      <c r="AJ116" s="56">
        <v>329</v>
      </c>
      <c r="AK116" s="56">
        <v>362</v>
      </c>
      <c r="AL116" s="108">
        <f t="shared" si="54"/>
        <v>1392</v>
      </c>
      <c r="AM116" s="56">
        <v>302</v>
      </c>
      <c r="AN116" s="56">
        <v>295</v>
      </c>
      <c r="AO116" s="56">
        <v>279</v>
      </c>
      <c r="AQ116" s="108"/>
      <c r="AR116" s="108"/>
    </row>
    <row r="117" spans="3:44" hidden="1" outlineLevel="2">
      <c r="C117" s="80" t="s">
        <v>384</v>
      </c>
      <c r="D117" s="56">
        <v>2642728</v>
      </c>
      <c r="E117" s="56">
        <v>2737058</v>
      </c>
      <c r="F117" s="56">
        <v>2843247</v>
      </c>
      <c r="G117" s="56">
        <v>2932930</v>
      </c>
      <c r="H117" s="108">
        <f t="shared" si="49"/>
        <v>11155963</v>
      </c>
      <c r="I117" s="56">
        <v>2975159</v>
      </c>
      <c r="J117" s="56">
        <v>3031231</v>
      </c>
      <c r="K117" s="56">
        <v>3087628</v>
      </c>
      <c r="L117" s="56">
        <v>3177209</v>
      </c>
      <c r="M117" s="108">
        <f t="shared" si="50"/>
        <v>12271227</v>
      </c>
      <c r="N117" s="56">
        <v>3163747</v>
      </c>
      <c r="O117" s="56">
        <v>3174964</v>
      </c>
      <c r="P117" s="56">
        <v>3218076</v>
      </c>
      <c r="Q117" s="56">
        <v>3270100</v>
      </c>
      <c r="R117" s="108">
        <f t="shared" si="51"/>
        <v>12826887</v>
      </c>
      <c r="S117" s="56">
        <v>3159664</v>
      </c>
      <c r="T117" s="56">
        <v>3040089</v>
      </c>
      <c r="U117" s="56">
        <v>2878873</v>
      </c>
      <c r="V117" s="56">
        <v>2705231</v>
      </c>
      <c r="W117" s="108">
        <f t="shared" si="52"/>
        <v>11783857</v>
      </c>
      <c r="X117" s="56">
        <v>2460142</v>
      </c>
      <c r="Y117" s="56">
        <v>2331858</v>
      </c>
      <c r="Z117" s="56">
        <v>2245840</v>
      </c>
      <c r="AA117" s="56">
        <v>2145252</v>
      </c>
      <c r="AB117" s="108">
        <f t="shared" si="48"/>
        <v>9183092</v>
      </c>
      <c r="AC117" s="56">
        <v>2048823</v>
      </c>
      <c r="AD117" s="56">
        <v>1971953</v>
      </c>
      <c r="AE117" s="56">
        <v>1909016</v>
      </c>
      <c r="AF117" s="56">
        <v>1844700</v>
      </c>
      <c r="AG117" s="108">
        <f t="shared" si="53"/>
        <v>7774492</v>
      </c>
      <c r="AH117" s="56">
        <v>1672994</v>
      </c>
      <c r="AI117" s="56">
        <v>1596254</v>
      </c>
      <c r="AJ117" s="56">
        <v>1551317</v>
      </c>
      <c r="AK117" s="56">
        <v>1012625</v>
      </c>
      <c r="AL117" s="108">
        <f t="shared" si="54"/>
        <v>5833190</v>
      </c>
      <c r="AM117" s="56">
        <v>225022</v>
      </c>
      <c r="AN117" s="56">
        <v>190016</v>
      </c>
      <c r="AO117" s="56">
        <v>166053</v>
      </c>
      <c r="AQ117" s="108"/>
      <c r="AR117" s="108"/>
    </row>
    <row r="118" spans="3:44" hidden="1" outlineLevel="2">
      <c r="C118" s="80" t="s">
        <v>385</v>
      </c>
      <c r="H118" s="108"/>
      <c r="M118" s="108"/>
      <c r="Q118" s="56">
        <v>6</v>
      </c>
      <c r="R118" s="108">
        <f t="shared" si="51"/>
        <v>6</v>
      </c>
      <c r="S118" s="56">
        <v>148688</v>
      </c>
      <c r="T118" s="56">
        <v>372745</v>
      </c>
      <c r="U118" s="56">
        <v>657287</v>
      </c>
      <c r="V118" s="56">
        <v>861505</v>
      </c>
      <c r="W118" s="108">
        <f t="shared" si="52"/>
        <v>2040225</v>
      </c>
      <c r="X118" s="56">
        <v>961755</v>
      </c>
      <c r="Y118" s="56">
        <v>1029704</v>
      </c>
      <c r="Z118" s="56">
        <v>1025834</v>
      </c>
      <c r="AA118" s="56">
        <v>975832</v>
      </c>
      <c r="AB118" s="108">
        <f t="shared" si="48"/>
        <v>3993125</v>
      </c>
      <c r="AC118" s="56">
        <v>937979</v>
      </c>
      <c r="AD118" s="56">
        <v>908110</v>
      </c>
      <c r="AE118" s="56">
        <v>887557</v>
      </c>
      <c r="AF118" s="56">
        <v>866751</v>
      </c>
      <c r="AG118" s="108">
        <f t="shared" si="53"/>
        <v>3600397</v>
      </c>
      <c r="AH118" s="56">
        <v>775960</v>
      </c>
      <c r="AI118" s="56">
        <v>737086</v>
      </c>
      <c r="AJ118" s="56">
        <v>714133</v>
      </c>
      <c r="AK118" s="56">
        <v>702652</v>
      </c>
      <c r="AL118" s="108">
        <f t="shared" si="54"/>
        <v>2929831</v>
      </c>
      <c r="AM118" s="56">
        <v>656924</v>
      </c>
      <c r="AN118" s="56">
        <v>642076</v>
      </c>
      <c r="AO118" s="56">
        <v>271165</v>
      </c>
      <c r="AQ118" s="108"/>
      <c r="AR118" s="108"/>
    </row>
    <row r="119" spans="3:44" hidden="1" outlineLevel="2">
      <c r="C119" s="80" t="s">
        <v>386</v>
      </c>
      <c r="D119" s="56">
        <v>3881476</v>
      </c>
      <c r="E119" s="56">
        <v>4349954</v>
      </c>
      <c r="F119" s="56">
        <v>4703087</v>
      </c>
      <c r="G119" s="56">
        <v>5020712</v>
      </c>
      <c r="H119" s="108">
        <f t="shared" ref="H119:H125" si="55">SUM(D119:G119)</f>
        <v>17955229</v>
      </c>
      <c r="I119" s="56">
        <v>5288339</v>
      </c>
      <c r="J119" s="56">
        <v>5520966</v>
      </c>
      <c r="K119" s="56">
        <v>5649557</v>
      </c>
      <c r="L119" s="56">
        <v>5838600</v>
      </c>
      <c r="M119" s="108">
        <f t="shared" ref="M119:M125" si="56">SUM(I119:L119)</f>
        <v>22297462</v>
      </c>
      <c r="N119" s="56">
        <v>5114843</v>
      </c>
      <c r="O119" s="56">
        <v>4217581</v>
      </c>
      <c r="P119" s="56">
        <v>3830155</v>
      </c>
      <c r="Q119" s="56">
        <v>3534120</v>
      </c>
      <c r="R119" s="108">
        <f t="shared" si="51"/>
        <v>16696699</v>
      </c>
      <c r="S119" s="56">
        <v>3113752</v>
      </c>
      <c r="T119" s="56">
        <v>2873213</v>
      </c>
      <c r="U119" s="56">
        <v>2747468</v>
      </c>
      <c r="V119" s="56">
        <v>2607998</v>
      </c>
      <c r="W119" s="108">
        <f t="shared" si="52"/>
        <v>11342431</v>
      </c>
      <c r="X119" s="56">
        <v>2347008</v>
      </c>
      <c r="Y119" s="56">
        <v>2233947</v>
      </c>
      <c r="Z119" s="56">
        <v>2080215</v>
      </c>
      <c r="AA119" s="56">
        <v>1964357</v>
      </c>
      <c r="AB119" s="108">
        <f t="shared" si="48"/>
        <v>8625527</v>
      </c>
      <c r="AC119" s="56">
        <v>1785650</v>
      </c>
      <c r="AD119" s="56">
        <v>1633086</v>
      </c>
      <c r="AE119" s="56">
        <v>1501437</v>
      </c>
      <c r="AF119" s="56">
        <v>1402700</v>
      </c>
      <c r="AG119" s="108">
        <f t="shared" si="53"/>
        <v>6322873</v>
      </c>
      <c r="AH119" s="56">
        <v>1263352</v>
      </c>
      <c r="AI119" s="56">
        <v>1168924</v>
      </c>
      <c r="AJ119" s="56">
        <v>1102296</v>
      </c>
      <c r="AK119" s="56">
        <v>1050512</v>
      </c>
      <c r="AL119" s="108">
        <f t="shared" si="54"/>
        <v>4585084</v>
      </c>
      <c r="AM119" s="56">
        <v>946506</v>
      </c>
      <c r="AN119" s="56">
        <v>892915</v>
      </c>
      <c r="AO119" s="56">
        <v>843119</v>
      </c>
      <c r="AQ119" s="108"/>
      <c r="AR119" s="108"/>
    </row>
    <row r="120" spans="3:44" hidden="1" outlineLevel="2">
      <c r="C120" s="80" t="s">
        <v>387</v>
      </c>
      <c r="D120" s="56">
        <v>250005</v>
      </c>
      <c r="E120" s="56">
        <v>255861</v>
      </c>
      <c r="F120" s="56">
        <v>262403</v>
      </c>
      <c r="G120" s="56">
        <v>275000</v>
      </c>
      <c r="H120" s="108">
        <f t="shared" si="55"/>
        <v>1043269</v>
      </c>
      <c r="I120" s="56">
        <v>283272</v>
      </c>
      <c r="J120" s="56">
        <v>293005</v>
      </c>
      <c r="K120" s="56">
        <v>301549</v>
      </c>
      <c r="L120" s="56">
        <v>315841</v>
      </c>
      <c r="M120" s="108">
        <f t="shared" si="56"/>
        <v>1193667</v>
      </c>
      <c r="N120" s="56">
        <v>326488</v>
      </c>
      <c r="O120" s="56">
        <v>349481</v>
      </c>
      <c r="P120" s="56">
        <v>366422</v>
      </c>
      <c r="Q120" s="56">
        <v>389013</v>
      </c>
      <c r="R120" s="108">
        <f t="shared" si="51"/>
        <v>1431404</v>
      </c>
      <c r="S120" s="56">
        <v>389641</v>
      </c>
      <c r="T120" s="56">
        <v>397793</v>
      </c>
      <c r="U120" s="56">
        <v>404670</v>
      </c>
      <c r="V120" s="56">
        <v>412251</v>
      </c>
      <c r="W120" s="108">
        <f t="shared" si="52"/>
        <v>1604355</v>
      </c>
      <c r="X120" s="56">
        <v>436171</v>
      </c>
      <c r="Y120" s="56">
        <v>462869</v>
      </c>
      <c r="Z120" s="56">
        <v>467373</v>
      </c>
      <c r="AA120" s="56">
        <v>467461</v>
      </c>
      <c r="AB120" s="108">
        <f t="shared" si="48"/>
        <v>1833874</v>
      </c>
      <c r="AC120" s="56">
        <v>460668</v>
      </c>
      <c r="AD120" s="56">
        <v>456911</v>
      </c>
      <c r="AE120" s="56">
        <v>459989</v>
      </c>
      <c r="AF120" s="56">
        <v>463386</v>
      </c>
      <c r="AG120" s="108">
        <f t="shared" si="53"/>
        <v>1840954</v>
      </c>
      <c r="AH120" s="56">
        <v>458766</v>
      </c>
      <c r="AI120" s="56">
        <v>464266</v>
      </c>
      <c r="AJ120" s="56">
        <v>465926</v>
      </c>
      <c r="AK120" s="56">
        <v>473629</v>
      </c>
      <c r="AL120" s="108">
        <f t="shared" si="54"/>
        <v>1862587</v>
      </c>
      <c r="AM120" s="56">
        <v>457841</v>
      </c>
      <c r="AN120" s="56">
        <v>459395</v>
      </c>
      <c r="AO120" s="56">
        <v>458822</v>
      </c>
      <c r="AQ120" s="108"/>
      <c r="AR120" s="108"/>
    </row>
    <row r="121" spans="3:44" hidden="1" outlineLevel="2">
      <c r="C121" s="80" t="s">
        <v>388</v>
      </c>
      <c r="D121" s="56">
        <v>3325044</v>
      </c>
      <c r="E121" s="56">
        <v>3493230</v>
      </c>
      <c r="F121" s="56">
        <v>3651967</v>
      </c>
      <c r="G121" s="56">
        <v>3844309</v>
      </c>
      <c r="H121" s="108">
        <f t="shared" si="55"/>
        <v>14314550</v>
      </c>
      <c r="I121" s="56">
        <v>4008400</v>
      </c>
      <c r="J121" s="56">
        <v>4142745</v>
      </c>
      <c r="K121" s="56">
        <v>4208925</v>
      </c>
      <c r="L121" s="56">
        <v>4327578</v>
      </c>
      <c r="M121" s="108">
        <f t="shared" si="56"/>
        <v>16687648</v>
      </c>
      <c r="N121" s="56">
        <v>3803231</v>
      </c>
      <c r="O121" s="56">
        <v>3212927</v>
      </c>
      <c r="P121" s="56">
        <v>3030134</v>
      </c>
      <c r="Q121" s="56">
        <v>2907802</v>
      </c>
      <c r="R121" s="108">
        <f t="shared" si="51"/>
        <v>12954094</v>
      </c>
      <c r="S121" s="56">
        <v>2735917</v>
      </c>
      <c r="T121" s="56">
        <v>2670220</v>
      </c>
      <c r="U121" s="56">
        <v>2629700</v>
      </c>
      <c r="V121" s="56">
        <v>2535305</v>
      </c>
      <c r="W121" s="108">
        <f t="shared" si="52"/>
        <v>10571142</v>
      </c>
      <c r="X121" s="56">
        <v>2347173</v>
      </c>
      <c r="Y121" s="56">
        <v>2303724</v>
      </c>
      <c r="Z121" s="56">
        <v>2240747</v>
      </c>
      <c r="AA121" s="56">
        <v>2191019</v>
      </c>
      <c r="AB121" s="108">
        <f t="shared" si="48"/>
        <v>9082663</v>
      </c>
      <c r="AC121" s="56">
        <v>2134550</v>
      </c>
      <c r="AD121" s="56">
        <v>2086903</v>
      </c>
      <c r="AE121" s="56">
        <v>2045501</v>
      </c>
      <c r="AF121" s="56">
        <v>2042387</v>
      </c>
      <c r="AG121" s="108">
        <f t="shared" si="53"/>
        <v>8309341</v>
      </c>
      <c r="AH121" s="56">
        <v>1996903</v>
      </c>
      <c r="AI121" s="56">
        <v>1975891</v>
      </c>
      <c r="AJ121" s="56">
        <v>1957194</v>
      </c>
      <c r="AK121" s="56">
        <v>1963594</v>
      </c>
      <c r="AL121" s="108">
        <f t="shared" si="54"/>
        <v>7893582</v>
      </c>
      <c r="AM121" s="56">
        <v>1914052</v>
      </c>
      <c r="AN121" s="56">
        <v>1921901</v>
      </c>
      <c r="AO121" s="56">
        <v>1914606</v>
      </c>
      <c r="AQ121" s="108"/>
      <c r="AR121" s="108"/>
    </row>
    <row r="122" spans="3:44" hidden="1" outlineLevel="2">
      <c r="C122" s="80" t="s">
        <v>389</v>
      </c>
      <c r="D122" s="56">
        <v>7251520</v>
      </c>
      <c r="E122" s="56">
        <v>7584777</v>
      </c>
      <c r="F122" s="56">
        <v>2090764</v>
      </c>
      <c r="G122" s="56">
        <v>1756622</v>
      </c>
      <c r="H122" s="108">
        <f t="shared" si="55"/>
        <v>18683683</v>
      </c>
      <c r="I122" s="56">
        <v>450748</v>
      </c>
      <c r="J122" s="56">
        <v>220144</v>
      </c>
      <c r="K122" s="56">
        <v>183124</v>
      </c>
      <c r="L122" s="56">
        <v>163566</v>
      </c>
      <c r="M122" s="108">
        <f t="shared" si="56"/>
        <v>1017582</v>
      </c>
      <c r="N122" s="56">
        <v>146773</v>
      </c>
      <c r="O122" s="56">
        <v>137400</v>
      </c>
      <c r="P122" s="56">
        <v>131714</v>
      </c>
      <c r="Q122" s="56">
        <v>112166</v>
      </c>
      <c r="R122" s="108">
        <f t="shared" si="51"/>
        <v>528053</v>
      </c>
      <c r="S122" s="56">
        <v>82986</v>
      </c>
      <c r="T122" s="56">
        <v>76806</v>
      </c>
      <c r="U122" s="56">
        <v>71509</v>
      </c>
      <c r="V122" s="56">
        <v>67280</v>
      </c>
      <c r="W122" s="108">
        <f t="shared" si="52"/>
        <v>298581</v>
      </c>
      <c r="X122" s="56">
        <v>60545</v>
      </c>
      <c r="Y122" s="56">
        <v>58441</v>
      </c>
      <c r="Z122" s="56">
        <v>55864</v>
      </c>
      <c r="AA122" s="56">
        <v>53837</v>
      </c>
      <c r="AB122" s="108">
        <f t="shared" si="48"/>
        <v>228687</v>
      </c>
      <c r="AC122" s="56">
        <v>48894</v>
      </c>
      <c r="AD122" s="56">
        <v>46009</v>
      </c>
      <c r="AE122" s="56">
        <v>41570</v>
      </c>
      <c r="AF122" s="56">
        <v>37644</v>
      </c>
      <c r="AG122" s="108">
        <f t="shared" si="53"/>
        <v>174117</v>
      </c>
      <c r="AH122" s="56">
        <v>35204</v>
      </c>
      <c r="AI122" s="56">
        <v>33418</v>
      </c>
      <c r="AJ122" s="56">
        <v>31231</v>
      </c>
      <c r="AK122" s="56">
        <v>30461</v>
      </c>
      <c r="AL122" s="108">
        <f t="shared" si="54"/>
        <v>130314</v>
      </c>
      <c r="AM122" s="56">
        <v>27577</v>
      </c>
      <c r="AN122" s="56">
        <v>26728</v>
      </c>
      <c r="AO122" s="56">
        <v>25082</v>
      </c>
      <c r="AQ122" s="108"/>
      <c r="AR122" s="108"/>
    </row>
    <row r="123" spans="3:44" hidden="1" outlineLevel="1" collapsed="1">
      <c r="C123" s="118" t="s">
        <v>423</v>
      </c>
      <c r="D123" s="108">
        <f>SUM(D124:D132)</f>
        <v>329841</v>
      </c>
      <c r="E123" s="108">
        <f>SUM(E124:E132)</f>
        <v>315739</v>
      </c>
      <c r="F123" s="108">
        <f>SUM(F124:F132)</f>
        <v>305426</v>
      </c>
      <c r="G123" s="108">
        <f>SUM(G124:G132)</f>
        <v>308526</v>
      </c>
      <c r="H123" s="108">
        <f t="shared" si="55"/>
        <v>1259532</v>
      </c>
      <c r="I123" s="108">
        <f>SUM(I124:I132)</f>
        <v>299879</v>
      </c>
      <c r="J123" s="108">
        <f>SUM(J124:J132)</f>
        <v>297127</v>
      </c>
      <c r="K123" s="108">
        <f>SUM(K124:K132)</f>
        <v>296796</v>
      </c>
      <c r="L123" s="108">
        <f>SUM(L124:L132)</f>
        <v>315119</v>
      </c>
      <c r="M123" s="108">
        <f t="shared" si="56"/>
        <v>1208921</v>
      </c>
      <c r="N123" s="108">
        <f>SUM(N124:N132)</f>
        <v>315543</v>
      </c>
      <c r="O123" s="108">
        <f>SUM(O124:O132)</f>
        <v>365778</v>
      </c>
      <c r="P123" s="108">
        <f>SUM(P124:P132)</f>
        <v>434628</v>
      </c>
      <c r="Q123" s="108">
        <f>SUM(Q124:Q132)</f>
        <v>481616</v>
      </c>
      <c r="R123" s="108">
        <f t="shared" si="51"/>
        <v>1597565</v>
      </c>
      <c r="S123" s="108">
        <f>SUM(S124:S132)</f>
        <v>489456</v>
      </c>
      <c r="T123" s="108">
        <f>SUM(T124:T132)</f>
        <v>499241</v>
      </c>
      <c r="U123" s="108">
        <f>SUM(U124:U132)</f>
        <v>493676</v>
      </c>
      <c r="V123" s="108">
        <f>SUM(V124:V132)</f>
        <v>490236</v>
      </c>
      <c r="W123" s="108">
        <f t="shared" si="52"/>
        <v>1972609</v>
      </c>
      <c r="X123" s="108">
        <f>SUM(X124:X132)</f>
        <v>471910</v>
      </c>
      <c r="Y123" s="108">
        <f>SUM(Y124:Y132)</f>
        <v>483468</v>
      </c>
      <c r="Z123" s="108">
        <f>SUM(Z124:Z132)</f>
        <v>495838</v>
      </c>
      <c r="AA123" s="108">
        <f>SUM(AA124:AA132)</f>
        <v>487143</v>
      </c>
      <c r="AB123" s="108">
        <f t="shared" si="48"/>
        <v>1938359</v>
      </c>
      <c r="AC123" s="108">
        <f>SUM(AC124:AC132)</f>
        <v>459954</v>
      </c>
      <c r="AD123" s="108">
        <f>SUM(AD124:AD132)</f>
        <v>440003</v>
      </c>
      <c r="AE123" s="108">
        <f>SUM(AE124:AE132)</f>
        <v>415602</v>
      </c>
      <c r="AF123" s="108">
        <f>SUM(AF124:AF132)</f>
        <v>399999</v>
      </c>
      <c r="AG123" s="108">
        <f t="shared" si="53"/>
        <v>1715558</v>
      </c>
      <c r="AH123" s="108">
        <f>SUM(AH124:AH132)</f>
        <v>392120</v>
      </c>
      <c r="AI123" s="108">
        <f>SUM(AI124:AI132)</f>
        <v>389122</v>
      </c>
      <c r="AJ123" s="108">
        <f>SUM(AJ124:AJ132)</f>
        <v>380792</v>
      </c>
      <c r="AK123" s="108">
        <f>SUM(AK124:AK132)</f>
        <v>374106</v>
      </c>
      <c r="AL123" s="108">
        <f t="shared" si="54"/>
        <v>1536140</v>
      </c>
      <c r="AM123" s="108">
        <f>SUM(AM124:AM132)</f>
        <v>330558</v>
      </c>
      <c r="AN123" s="108">
        <f>SUM(AN124:AN132)</f>
        <v>286612</v>
      </c>
      <c r="AO123" s="108">
        <f>SUM(AO124:AO132)</f>
        <v>271215</v>
      </c>
      <c r="AQ123" s="108"/>
      <c r="AR123" s="108"/>
    </row>
    <row r="124" spans="3:44" hidden="1" outlineLevel="2">
      <c r="C124" s="80" t="s">
        <v>391</v>
      </c>
      <c r="D124" s="56">
        <v>141489</v>
      </c>
      <c r="E124" s="56">
        <v>121976</v>
      </c>
      <c r="F124" s="56">
        <v>110533</v>
      </c>
      <c r="G124" s="56">
        <v>99550</v>
      </c>
      <c r="H124" s="108">
        <f t="shared" si="55"/>
        <v>473548</v>
      </c>
      <c r="I124" s="56">
        <v>87081</v>
      </c>
      <c r="J124" s="56">
        <v>77418</v>
      </c>
      <c r="K124" s="56">
        <v>68995</v>
      </c>
      <c r="L124" s="56">
        <v>62171</v>
      </c>
      <c r="M124" s="108">
        <f t="shared" si="56"/>
        <v>295665</v>
      </c>
      <c r="N124" s="56">
        <v>48276</v>
      </c>
      <c r="O124" s="56">
        <v>41298</v>
      </c>
      <c r="P124" s="56">
        <v>38288</v>
      </c>
      <c r="Q124" s="56">
        <v>35099</v>
      </c>
      <c r="R124" s="108">
        <f t="shared" si="51"/>
        <v>162961</v>
      </c>
      <c r="S124" s="56">
        <v>30280</v>
      </c>
      <c r="T124" s="56">
        <v>27401</v>
      </c>
      <c r="U124" s="56">
        <v>24863</v>
      </c>
      <c r="V124" s="56">
        <v>22822</v>
      </c>
      <c r="W124" s="108">
        <f t="shared" si="52"/>
        <v>105366</v>
      </c>
      <c r="X124" s="56">
        <v>19403</v>
      </c>
      <c r="Y124" s="56">
        <v>17616</v>
      </c>
      <c r="Z124" s="56">
        <v>15834</v>
      </c>
      <c r="AA124" s="56">
        <v>14474</v>
      </c>
      <c r="AB124" s="108">
        <f t="shared" si="48"/>
        <v>67327</v>
      </c>
      <c r="AC124" s="56">
        <v>12507</v>
      </c>
      <c r="AD124" s="56">
        <v>10879</v>
      </c>
      <c r="AE124" s="56">
        <v>10303</v>
      </c>
      <c r="AF124" s="56">
        <v>9566</v>
      </c>
      <c r="AG124" s="108">
        <f t="shared" si="53"/>
        <v>43255</v>
      </c>
      <c r="AH124" s="56">
        <v>8895</v>
      </c>
      <c r="AI124" s="56">
        <v>7815</v>
      </c>
      <c r="AJ124" s="56">
        <v>7142</v>
      </c>
      <c r="AK124" s="56">
        <v>6704</v>
      </c>
      <c r="AL124" s="108">
        <f t="shared" si="54"/>
        <v>30556</v>
      </c>
      <c r="AM124" s="56">
        <v>6008</v>
      </c>
      <c r="AN124" s="56">
        <v>5368</v>
      </c>
      <c r="AO124" s="56">
        <v>4788</v>
      </c>
      <c r="AQ124" s="108"/>
      <c r="AR124" s="108"/>
    </row>
    <row r="125" spans="3:44" hidden="1" outlineLevel="2">
      <c r="C125" s="80" t="s">
        <v>392</v>
      </c>
      <c r="D125" s="56">
        <v>101450</v>
      </c>
      <c r="E125" s="56">
        <v>104616</v>
      </c>
      <c r="F125" s="56">
        <v>104892</v>
      </c>
      <c r="G125" s="56">
        <v>112947</v>
      </c>
      <c r="H125" s="108">
        <f t="shared" si="55"/>
        <v>423905</v>
      </c>
      <c r="I125" s="56">
        <v>114857</v>
      </c>
      <c r="J125" s="56">
        <v>121198</v>
      </c>
      <c r="K125" s="56">
        <v>131285</v>
      </c>
      <c r="L125" s="56">
        <v>147754</v>
      </c>
      <c r="M125" s="108">
        <f t="shared" si="56"/>
        <v>515094</v>
      </c>
      <c r="N125" s="56">
        <v>149384</v>
      </c>
      <c r="O125" s="56">
        <v>154930</v>
      </c>
      <c r="P125" s="56">
        <v>166338</v>
      </c>
      <c r="Q125" s="56">
        <v>177185</v>
      </c>
      <c r="R125" s="108">
        <f t="shared" si="51"/>
        <v>647837</v>
      </c>
      <c r="S125" s="56">
        <v>171897</v>
      </c>
      <c r="T125" s="56">
        <v>161058</v>
      </c>
      <c r="U125" s="56">
        <v>140197</v>
      </c>
      <c r="V125" s="56">
        <v>118832</v>
      </c>
      <c r="W125" s="108">
        <f t="shared" si="52"/>
        <v>591984</v>
      </c>
      <c r="X125" s="56">
        <v>99652</v>
      </c>
      <c r="Y125" s="56">
        <v>91277</v>
      </c>
      <c r="Z125" s="56">
        <v>88270</v>
      </c>
      <c r="AA125" s="56">
        <v>87050</v>
      </c>
      <c r="AB125" s="108">
        <f t="shared" si="48"/>
        <v>366249</v>
      </c>
      <c r="AC125" s="56">
        <v>85539</v>
      </c>
      <c r="AD125" s="56">
        <v>85087</v>
      </c>
      <c r="AE125" s="56">
        <v>84567</v>
      </c>
      <c r="AF125" s="56">
        <v>85953</v>
      </c>
      <c r="AG125" s="108">
        <f t="shared" si="53"/>
        <v>341146</v>
      </c>
      <c r="AH125" s="56">
        <v>88542</v>
      </c>
      <c r="AI125" s="56">
        <v>89867</v>
      </c>
      <c r="AJ125" s="56">
        <v>88088</v>
      </c>
      <c r="AK125" s="56">
        <v>87115</v>
      </c>
      <c r="AL125" s="108">
        <f t="shared" si="54"/>
        <v>353612</v>
      </c>
      <c r="AM125" s="56">
        <v>66758</v>
      </c>
      <c r="AN125" s="56">
        <v>33949</v>
      </c>
      <c r="AO125" s="56">
        <v>33379</v>
      </c>
      <c r="AQ125" s="108"/>
      <c r="AR125" s="108"/>
    </row>
    <row r="126" spans="3:44" hidden="1" outlineLevel="2">
      <c r="C126" s="80" t="s">
        <v>393</v>
      </c>
      <c r="H126" s="108"/>
      <c r="M126" s="108"/>
      <c r="N126" s="56">
        <v>151</v>
      </c>
      <c r="O126" s="56">
        <v>3951</v>
      </c>
      <c r="P126" s="56">
        <v>9995</v>
      </c>
      <c r="Q126" s="56">
        <v>15439</v>
      </c>
      <c r="R126" s="108">
        <f t="shared" si="51"/>
        <v>29536</v>
      </c>
      <c r="S126" s="56">
        <v>17811</v>
      </c>
      <c r="T126" s="56">
        <v>22594</v>
      </c>
      <c r="U126" s="56">
        <v>28997</v>
      </c>
      <c r="V126" s="56">
        <v>36523</v>
      </c>
      <c r="W126" s="108">
        <f t="shared" si="52"/>
        <v>105925</v>
      </c>
      <c r="X126" s="56">
        <v>33456</v>
      </c>
      <c r="Y126" s="56">
        <v>34983</v>
      </c>
      <c r="Z126" s="56">
        <v>33150</v>
      </c>
      <c r="AA126" s="56">
        <v>19084</v>
      </c>
      <c r="AB126" s="108">
        <f t="shared" si="48"/>
        <v>120673</v>
      </c>
      <c r="AC126" s="56">
        <v>11115</v>
      </c>
      <c r="AD126" s="56">
        <v>8819</v>
      </c>
      <c r="AE126" s="56">
        <v>7770</v>
      </c>
      <c r="AF126" s="56">
        <v>6772</v>
      </c>
      <c r="AG126" s="108">
        <f t="shared" si="53"/>
        <v>34476</v>
      </c>
      <c r="AH126" s="56">
        <v>7040</v>
      </c>
      <c r="AI126" s="56">
        <v>8012</v>
      </c>
      <c r="AJ126" s="56">
        <v>8751</v>
      </c>
      <c r="AK126" s="56">
        <v>9172</v>
      </c>
      <c r="AL126" s="108">
        <f t="shared" si="54"/>
        <v>32975</v>
      </c>
      <c r="AM126" s="56">
        <v>8830</v>
      </c>
      <c r="AN126" s="56">
        <v>8517</v>
      </c>
      <c r="AO126" s="56">
        <v>8567</v>
      </c>
      <c r="AQ126" s="108"/>
      <c r="AR126" s="108"/>
    </row>
    <row r="127" spans="3:44" hidden="1" outlineLevel="2">
      <c r="C127" s="80" t="s">
        <v>394</v>
      </c>
      <c r="H127" s="108"/>
      <c r="M127" s="108"/>
      <c r="R127" s="108"/>
      <c r="V127" s="56">
        <v>105</v>
      </c>
      <c r="W127" s="108">
        <f t="shared" si="52"/>
        <v>105</v>
      </c>
      <c r="X127" s="56">
        <v>272</v>
      </c>
      <c r="Y127" s="56">
        <v>344</v>
      </c>
      <c r="Z127" s="56">
        <v>480</v>
      </c>
      <c r="AA127" s="56">
        <v>271</v>
      </c>
      <c r="AB127" s="108">
        <f t="shared" si="48"/>
        <v>1367</v>
      </c>
      <c r="AC127" s="56">
        <v>289</v>
      </c>
      <c r="AD127" s="56">
        <v>201</v>
      </c>
      <c r="AE127" s="56">
        <v>211</v>
      </c>
      <c r="AF127" s="56">
        <v>186</v>
      </c>
      <c r="AG127" s="108">
        <f t="shared" si="53"/>
        <v>887</v>
      </c>
      <c r="AH127" s="56">
        <v>161</v>
      </c>
      <c r="AI127" s="56">
        <v>123</v>
      </c>
      <c r="AJ127" s="56">
        <v>131</v>
      </c>
      <c r="AK127" s="56">
        <v>68</v>
      </c>
      <c r="AL127" s="108">
        <f t="shared" si="54"/>
        <v>483</v>
      </c>
      <c r="AM127" s="56">
        <v>72</v>
      </c>
      <c r="AN127" s="56">
        <v>68</v>
      </c>
      <c r="AO127" s="56">
        <v>38</v>
      </c>
      <c r="AQ127" s="108"/>
      <c r="AR127" s="108"/>
    </row>
    <row r="128" spans="3:44" hidden="1" outlineLevel="2">
      <c r="C128" s="80" t="s">
        <v>395</v>
      </c>
      <c r="H128" s="108"/>
      <c r="K128" s="56">
        <v>7</v>
      </c>
      <c r="L128" s="56">
        <v>2348</v>
      </c>
      <c r="M128" s="108">
        <f>SUM(I128:L128)</f>
        <v>2355</v>
      </c>
      <c r="N128" s="56">
        <v>7397</v>
      </c>
      <c r="O128" s="56">
        <v>11613</v>
      </c>
      <c r="P128" s="56">
        <v>15010</v>
      </c>
      <c r="Q128" s="56">
        <v>18780</v>
      </c>
      <c r="R128" s="108">
        <f t="shared" ref="R128:R133" si="57">SUM(N128:Q128)</f>
        <v>52800</v>
      </c>
      <c r="S128" s="56">
        <v>21014</v>
      </c>
      <c r="T128" s="56">
        <v>26077</v>
      </c>
      <c r="U128" s="56">
        <v>32920</v>
      </c>
      <c r="V128" s="56">
        <v>38841</v>
      </c>
      <c r="W128" s="108">
        <f t="shared" si="52"/>
        <v>118852</v>
      </c>
      <c r="X128" s="56">
        <v>43904</v>
      </c>
      <c r="Y128" s="56">
        <v>52078</v>
      </c>
      <c r="Z128" s="56">
        <v>56243</v>
      </c>
      <c r="AA128" s="56">
        <v>56069</v>
      </c>
      <c r="AB128" s="108">
        <f t="shared" si="48"/>
        <v>208294</v>
      </c>
      <c r="AC128" s="56">
        <v>54242</v>
      </c>
      <c r="AD128" s="56">
        <v>52152</v>
      </c>
      <c r="AE128" s="56">
        <v>52327</v>
      </c>
      <c r="AF128" s="56">
        <v>55653</v>
      </c>
      <c r="AG128" s="108">
        <f t="shared" si="53"/>
        <v>214374</v>
      </c>
      <c r="AH128" s="56">
        <v>65530</v>
      </c>
      <c r="AI128" s="56">
        <v>69765</v>
      </c>
      <c r="AJ128" s="56">
        <v>70857</v>
      </c>
      <c r="AK128" s="56">
        <v>71145</v>
      </c>
      <c r="AL128" s="108">
        <f t="shared" si="54"/>
        <v>277297</v>
      </c>
      <c r="AM128" s="56">
        <v>66452</v>
      </c>
      <c r="AN128" s="56">
        <v>65551</v>
      </c>
      <c r="AO128" s="56">
        <v>64717</v>
      </c>
      <c r="AQ128" s="108"/>
      <c r="AR128" s="108"/>
    </row>
    <row r="129" spans="3:44" hidden="1" outlineLevel="2">
      <c r="C129" s="80" t="s">
        <v>396</v>
      </c>
      <c r="D129" s="56">
        <v>37442</v>
      </c>
      <c r="E129" s="56">
        <v>29240</v>
      </c>
      <c r="F129" s="56">
        <v>22202</v>
      </c>
      <c r="G129" s="56">
        <v>20818</v>
      </c>
      <c r="H129" s="108">
        <f>SUM(D129:G129)</f>
        <v>109702</v>
      </c>
      <c r="I129" s="56">
        <v>18657</v>
      </c>
      <c r="J129" s="56">
        <v>15424</v>
      </c>
      <c r="K129" s="56">
        <v>11932</v>
      </c>
      <c r="L129" s="56">
        <v>9414</v>
      </c>
      <c r="M129" s="108">
        <f>SUM(I129:L129)</f>
        <v>55427</v>
      </c>
      <c r="N129" s="56">
        <v>8289</v>
      </c>
      <c r="O129" s="56">
        <v>10731</v>
      </c>
      <c r="P129" s="56">
        <v>8651</v>
      </c>
      <c r="Q129" s="56">
        <v>6846</v>
      </c>
      <c r="R129" s="108">
        <f t="shared" si="57"/>
        <v>34517</v>
      </c>
      <c r="S129" s="56">
        <v>6662</v>
      </c>
      <c r="T129" s="56">
        <v>5959</v>
      </c>
      <c r="U129" s="56">
        <v>5492</v>
      </c>
      <c r="V129" s="56">
        <v>4594</v>
      </c>
      <c r="W129" s="108">
        <f t="shared" si="52"/>
        <v>22707</v>
      </c>
      <c r="X129" s="56">
        <v>4691</v>
      </c>
      <c r="Y129" s="56">
        <v>8153</v>
      </c>
      <c r="Z129" s="56">
        <v>8344</v>
      </c>
      <c r="AA129" s="56">
        <v>4033</v>
      </c>
      <c r="AB129" s="108">
        <f t="shared" si="48"/>
        <v>25221</v>
      </c>
      <c r="AC129" s="56">
        <v>2541</v>
      </c>
      <c r="AD129" s="56">
        <v>2479</v>
      </c>
      <c r="AE129" s="56">
        <v>2532</v>
      </c>
      <c r="AF129" s="56">
        <v>2602</v>
      </c>
      <c r="AG129" s="108">
        <f t="shared" si="53"/>
        <v>10154</v>
      </c>
      <c r="AH129" s="56">
        <v>1949</v>
      </c>
      <c r="AI129" s="56">
        <v>1707</v>
      </c>
      <c r="AJ129" s="56">
        <v>1545</v>
      </c>
      <c r="AK129" s="56">
        <v>1488</v>
      </c>
      <c r="AL129" s="108">
        <f t="shared" si="54"/>
        <v>6689</v>
      </c>
      <c r="AM129" s="56">
        <v>1442</v>
      </c>
      <c r="AN129" s="56">
        <v>1343</v>
      </c>
      <c r="AO129" s="56">
        <v>1402</v>
      </c>
      <c r="AQ129" s="108"/>
      <c r="AR129" s="108"/>
    </row>
    <row r="130" spans="3:44" hidden="1" outlineLevel="2">
      <c r="C130" s="80" t="s">
        <v>397</v>
      </c>
      <c r="D130" s="56">
        <v>18306</v>
      </c>
      <c r="E130" s="56">
        <v>19970</v>
      </c>
      <c r="F130" s="56">
        <v>19290</v>
      </c>
      <c r="G130" s="56">
        <v>19263</v>
      </c>
      <c r="H130" s="108">
        <f>SUM(D130:G130)</f>
        <v>76829</v>
      </c>
      <c r="I130" s="56">
        <v>20264</v>
      </c>
      <c r="J130" s="56">
        <v>19655</v>
      </c>
      <c r="K130" s="56">
        <v>20698</v>
      </c>
      <c r="L130" s="56">
        <v>23610</v>
      </c>
      <c r="M130" s="108">
        <f>SUM(I130:L130)</f>
        <v>84227</v>
      </c>
      <c r="N130" s="56">
        <v>32867</v>
      </c>
      <c r="O130" s="56">
        <v>36528</v>
      </c>
      <c r="P130" s="56">
        <v>37599</v>
      </c>
      <c r="Q130" s="56">
        <v>38957</v>
      </c>
      <c r="R130" s="108">
        <f t="shared" si="57"/>
        <v>145951</v>
      </c>
      <c r="S130" s="56">
        <v>38987</v>
      </c>
      <c r="T130" s="56">
        <v>40441</v>
      </c>
      <c r="U130" s="56">
        <v>40896</v>
      </c>
      <c r="V130" s="56">
        <v>41122</v>
      </c>
      <c r="W130" s="108">
        <f t="shared" si="52"/>
        <v>161446</v>
      </c>
      <c r="X130" s="56">
        <v>41357</v>
      </c>
      <c r="Y130" s="56">
        <v>41881</v>
      </c>
      <c r="Z130" s="56">
        <v>43236</v>
      </c>
      <c r="AA130" s="56">
        <v>41838</v>
      </c>
      <c r="AB130" s="108">
        <f t="shared" si="48"/>
        <v>168312</v>
      </c>
      <c r="AC130" s="56">
        <v>41477</v>
      </c>
      <c r="AD130" s="56">
        <v>41241</v>
      </c>
      <c r="AE130" s="56">
        <v>42051</v>
      </c>
      <c r="AF130" s="56">
        <v>42057</v>
      </c>
      <c r="AG130" s="108">
        <f t="shared" si="53"/>
        <v>166826</v>
      </c>
      <c r="AH130" s="56">
        <v>43537</v>
      </c>
      <c r="AI130" s="56">
        <v>45198</v>
      </c>
      <c r="AJ130" s="56">
        <v>45722</v>
      </c>
      <c r="AK130" s="56">
        <v>47649</v>
      </c>
      <c r="AL130" s="108">
        <f t="shared" si="54"/>
        <v>182106</v>
      </c>
      <c r="AM130" s="56">
        <v>45434</v>
      </c>
      <c r="AN130" s="56">
        <v>45529</v>
      </c>
      <c r="AO130" s="56">
        <v>42892</v>
      </c>
      <c r="AQ130" s="108"/>
      <c r="AR130" s="108"/>
    </row>
    <row r="131" spans="3:44" hidden="1" outlineLevel="2">
      <c r="C131" s="80" t="s">
        <v>398</v>
      </c>
      <c r="H131" s="108"/>
      <c r="M131" s="108"/>
      <c r="N131" s="56">
        <v>142</v>
      </c>
      <c r="O131" s="56">
        <v>45899</v>
      </c>
      <c r="P131" s="56">
        <v>112647</v>
      </c>
      <c r="Q131" s="56">
        <v>160716</v>
      </c>
      <c r="R131" s="108">
        <f t="shared" si="57"/>
        <v>319404</v>
      </c>
      <c r="S131" s="56">
        <v>177293</v>
      </c>
      <c r="T131" s="56">
        <v>194716</v>
      </c>
      <c r="U131" s="56">
        <v>203876</v>
      </c>
      <c r="V131" s="56">
        <v>212125</v>
      </c>
      <c r="W131" s="108">
        <f t="shared" si="52"/>
        <v>788010</v>
      </c>
      <c r="X131" s="56">
        <v>216657</v>
      </c>
      <c r="Y131" s="56">
        <v>225426</v>
      </c>
      <c r="Z131" s="56">
        <v>238706</v>
      </c>
      <c r="AA131" s="56">
        <v>254869</v>
      </c>
      <c r="AB131" s="108">
        <f t="shared" si="48"/>
        <v>935658</v>
      </c>
      <c r="AC131" s="56">
        <v>243518</v>
      </c>
      <c r="AD131" s="56">
        <v>231011</v>
      </c>
      <c r="AE131" s="56">
        <v>210032</v>
      </c>
      <c r="AF131" s="56">
        <v>191408</v>
      </c>
      <c r="AG131" s="108">
        <f t="shared" si="53"/>
        <v>875969</v>
      </c>
      <c r="AH131" s="56">
        <v>170039</v>
      </c>
      <c r="AI131" s="56">
        <v>159894</v>
      </c>
      <c r="AJ131" s="56">
        <v>152091</v>
      </c>
      <c r="AK131" s="56">
        <v>144481</v>
      </c>
      <c r="AL131" s="108">
        <f t="shared" si="54"/>
        <v>626505</v>
      </c>
      <c r="AM131" s="56">
        <v>129471</v>
      </c>
      <c r="AN131" s="56">
        <v>120552</v>
      </c>
      <c r="AO131" s="56">
        <v>109815</v>
      </c>
      <c r="AQ131" s="108"/>
      <c r="AR131" s="108"/>
    </row>
    <row r="132" spans="3:44" hidden="1" outlineLevel="2">
      <c r="C132" s="80" t="s">
        <v>399</v>
      </c>
      <c r="D132" s="56">
        <v>31154</v>
      </c>
      <c r="E132" s="56">
        <v>39937</v>
      </c>
      <c r="F132" s="56">
        <v>48509</v>
      </c>
      <c r="G132" s="56">
        <v>55948</v>
      </c>
      <c r="H132" s="108">
        <f>SUM(D132:G132)</f>
        <v>175548</v>
      </c>
      <c r="I132" s="56">
        <v>59020</v>
      </c>
      <c r="J132" s="56">
        <v>63432</v>
      </c>
      <c r="K132" s="56">
        <v>63879</v>
      </c>
      <c r="L132" s="56">
        <v>69822</v>
      </c>
      <c r="M132" s="108">
        <f>SUM(I132:L132)</f>
        <v>256153</v>
      </c>
      <c r="N132" s="56">
        <v>69037</v>
      </c>
      <c r="O132" s="56">
        <v>60828</v>
      </c>
      <c r="P132" s="56">
        <v>46100</v>
      </c>
      <c r="Q132" s="56">
        <v>28594</v>
      </c>
      <c r="R132" s="108">
        <f t="shared" si="57"/>
        <v>204559</v>
      </c>
      <c r="S132" s="56">
        <v>25512</v>
      </c>
      <c r="T132" s="56">
        <v>20995</v>
      </c>
      <c r="U132" s="56">
        <v>16435</v>
      </c>
      <c r="V132" s="56">
        <v>15272</v>
      </c>
      <c r="W132" s="108">
        <f t="shared" si="52"/>
        <v>78214</v>
      </c>
      <c r="X132" s="56">
        <v>12518</v>
      </c>
      <c r="Y132" s="56">
        <v>11710</v>
      </c>
      <c r="Z132" s="56">
        <v>11575</v>
      </c>
      <c r="AA132" s="56">
        <v>9455</v>
      </c>
      <c r="AB132" s="108">
        <f t="shared" si="48"/>
        <v>45258</v>
      </c>
      <c r="AC132" s="56">
        <v>8726</v>
      </c>
      <c r="AD132" s="56">
        <v>8134</v>
      </c>
      <c r="AE132" s="56">
        <v>5809</v>
      </c>
      <c r="AF132" s="56">
        <v>5802</v>
      </c>
      <c r="AG132" s="108">
        <f t="shared" si="53"/>
        <v>28471</v>
      </c>
      <c r="AH132" s="56">
        <v>6427</v>
      </c>
      <c r="AI132" s="56">
        <v>6741</v>
      </c>
      <c r="AJ132" s="56">
        <v>6465</v>
      </c>
      <c r="AK132" s="56">
        <v>6284</v>
      </c>
      <c r="AL132" s="108">
        <f t="shared" si="54"/>
        <v>25917</v>
      </c>
      <c r="AM132" s="56">
        <v>6091</v>
      </c>
      <c r="AN132" s="56">
        <v>5735</v>
      </c>
      <c r="AO132" s="56">
        <v>5617</v>
      </c>
      <c r="AQ132" s="108"/>
      <c r="AR132" s="108"/>
    </row>
    <row r="133" spans="3:44" hidden="1" outlineLevel="1" collapsed="1">
      <c r="C133" s="118" t="s">
        <v>424</v>
      </c>
      <c r="D133" s="108">
        <f>SUM(D134:D145)</f>
        <v>5260079</v>
      </c>
      <c r="E133" s="108">
        <f>SUM(E134:E145)</f>
        <v>6983529</v>
      </c>
      <c r="F133" s="108">
        <f>SUM(F134:F145)</f>
        <v>14211386</v>
      </c>
      <c r="G133" s="108">
        <f>SUM(G134:G145)</f>
        <v>15521001</v>
      </c>
      <c r="H133" s="108">
        <f>SUM(D133:G133)</f>
        <v>41975995</v>
      </c>
      <c r="I133" s="108">
        <f>SUM(I134:I145)</f>
        <v>18091095</v>
      </c>
      <c r="J133" s="108">
        <f>SUM(J134:J145)</f>
        <v>19687731</v>
      </c>
      <c r="K133" s="108">
        <f>SUM(K134:K145)</f>
        <v>21005436</v>
      </c>
      <c r="L133" s="108">
        <f>SUM(L134:L145)</f>
        <v>22464848</v>
      </c>
      <c r="M133" s="108">
        <f>SUM(I133:L133)</f>
        <v>81249110</v>
      </c>
      <c r="N133" s="108">
        <f>SUM(N134:N145)</f>
        <v>24006807</v>
      </c>
      <c r="O133" s="108">
        <f>SUM(O134:O145)</f>
        <v>25412908</v>
      </c>
      <c r="P133" s="108">
        <f>SUM(P134:P145)</f>
        <v>26696374</v>
      </c>
      <c r="Q133" s="108">
        <f>SUM(Q134:Q145)</f>
        <v>28261440</v>
      </c>
      <c r="R133" s="108">
        <f t="shared" si="57"/>
        <v>104377529</v>
      </c>
      <c r="S133" s="108">
        <f>SUM(S134:S145)</f>
        <v>29511918</v>
      </c>
      <c r="T133" s="108">
        <f>SUM(T134:T145)</f>
        <v>31011417</v>
      </c>
      <c r="U133" s="108">
        <f>SUM(U134:U145)</f>
        <v>31900128</v>
      </c>
      <c r="V133" s="108">
        <f>SUM(V134:V145)</f>
        <v>32941854</v>
      </c>
      <c r="W133" s="108">
        <f t="shared" si="52"/>
        <v>125365317</v>
      </c>
      <c r="X133" s="108">
        <f>SUM(X134:X145)</f>
        <v>33445146</v>
      </c>
      <c r="Y133" s="108">
        <f>SUM(Y134:Y145)</f>
        <v>34814309</v>
      </c>
      <c r="Z133" s="108">
        <f>SUM(Z134:Z145)</f>
        <v>35374633</v>
      </c>
      <c r="AA133" s="108">
        <f>SUM(AA134:AA145)</f>
        <v>36163443</v>
      </c>
      <c r="AB133" s="108">
        <f t="shared" si="48"/>
        <v>139797531</v>
      </c>
      <c r="AC133" s="108">
        <f>SUM(AC134:AC145)</f>
        <v>36531668</v>
      </c>
      <c r="AD133" s="108">
        <f>SUM(AD134:AD145)</f>
        <v>37187551</v>
      </c>
      <c r="AE133" s="108">
        <f>SUM(AE134:AE145)</f>
        <v>36726590</v>
      </c>
      <c r="AF133" s="108">
        <f>SUM(AF134:AF145)</f>
        <v>38671615</v>
      </c>
      <c r="AG133" s="108">
        <f t="shared" si="53"/>
        <v>149117424</v>
      </c>
      <c r="AH133" s="108">
        <f>SUM(AH134:AH145)</f>
        <v>44215974</v>
      </c>
      <c r="AI133" s="108">
        <f>SUM(AI134:AI145)</f>
        <v>45773925</v>
      </c>
      <c r="AJ133" s="108">
        <f>SUM(AJ134:AJ145)</f>
        <v>47919301</v>
      </c>
      <c r="AK133" s="108">
        <f>SUM(AK134:AK145)</f>
        <v>49784416</v>
      </c>
      <c r="AL133" s="108">
        <f t="shared" si="54"/>
        <v>187693616</v>
      </c>
      <c r="AM133" s="108">
        <f>SUM(AM134:AM145)</f>
        <v>50393448</v>
      </c>
      <c r="AN133" s="108">
        <f>SUM(AN134:AN145)</f>
        <v>51113687</v>
      </c>
      <c r="AO133" s="108">
        <f>SUM(AO134:AO145)</f>
        <v>51430228</v>
      </c>
      <c r="AQ133" s="108"/>
      <c r="AR133" s="108"/>
    </row>
    <row r="134" spans="3:44" hidden="1" outlineLevel="2">
      <c r="C134" s="80" t="s">
        <v>401</v>
      </c>
      <c r="H134" s="108"/>
      <c r="M134" s="108"/>
      <c r="R134" s="108"/>
      <c r="W134" s="108"/>
      <c r="AB134" s="108"/>
      <c r="AF134" s="56">
        <v>2433356</v>
      </c>
      <c r="AG134" s="108">
        <f t="shared" si="53"/>
        <v>2433356</v>
      </c>
      <c r="AH134" s="56">
        <v>8269025</v>
      </c>
      <c r="AI134" s="56">
        <v>10008853</v>
      </c>
      <c r="AJ134" s="56">
        <v>12637733</v>
      </c>
      <c r="AK134" s="56">
        <v>14225841</v>
      </c>
      <c r="AL134" s="108">
        <f t="shared" si="54"/>
        <v>45141452</v>
      </c>
      <c r="AM134" s="56">
        <v>15260115</v>
      </c>
      <c r="AN134" s="56">
        <v>16041187</v>
      </c>
      <c r="AO134" s="56">
        <v>16858995</v>
      </c>
      <c r="AQ134" s="108"/>
      <c r="AR134" s="108"/>
    </row>
    <row r="135" spans="3:44" hidden="1" outlineLevel="2">
      <c r="C135" s="80" t="s">
        <v>402</v>
      </c>
      <c r="D135" s="56">
        <v>194682</v>
      </c>
      <c r="E135" s="56">
        <v>202321</v>
      </c>
      <c r="F135" s="56">
        <v>202017</v>
      </c>
      <c r="G135" s="56">
        <v>204115</v>
      </c>
      <c r="H135" s="108">
        <f>SUM(D135:G135)</f>
        <v>803135</v>
      </c>
      <c r="I135" s="56">
        <v>204945</v>
      </c>
      <c r="J135" s="56">
        <v>207225</v>
      </c>
      <c r="K135" s="56">
        <v>207725</v>
      </c>
      <c r="L135" s="56">
        <v>213798</v>
      </c>
      <c r="M135" s="108">
        <f>SUM(I135:L135)</f>
        <v>833693</v>
      </c>
      <c r="N135" s="56">
        <v>208947</v>
      </c>
      <c r="O135" s="56">
        <v>211492</v>
      </c>
      <c r="P135" s="56">
        <v>216557</v>
      </c>
      <c r="Q135" s="56">
        <v>215959</v>
      </c>
      <c r="R135" s="108">
        <f>SUM(N135:Q135)</f>
        <v>852955</v>
      </c>
      <c r="S135" s="56">
        <v>216556</v>
      </c>
      <c r="T135" s="56">
        <v>221777</v>
      </c>
      <c r="U135" s="56">
        <v>228798</v>
      </c>
      <c r="V135" s="56">
        <v>227397</v>
      </c>
      <c r="W135" s="108">
        <f>SUM(S135:V135)</f>
        <v>894528</v>
      </c>
      <c r="X135" s="56">
        <v>222363</v>
      </c>
      <c r="Y135" s="56">
        <v>230485</v>
      </c>
      <c r="Z135" s="56">
        <v>236191</v>
      </c>
      <c r="AA135" s="56">
        <v>237112</v>
      </c>
      <c r="AB135" s="108">
        <f>SUM(X135:AA135)</f>
        <v>926151</v>
      </c>
      <c r="AC135" s="56">
        <v>234851</v>
      </c>
      <c r="AD135" s="56">
        <v>235379</v>
      </c>
      <c r="AE135" s="56">
        <v>235442</v>
      </c>
      <c r="AF135" s="56">
        <v>231976</v>
      </c>
      <c r="AG135" s="108">
        <f t="shared" si="53"/>
        <v>937648</v>
      </c>
      <c r="AH135" s="56">
        <v>231205</v>
      </c>
      <c r="AI135" s="56">
        <v>235141</v>
      </c>
      <c r="AJ135" s="56">
        <v>237936</v>
      </c>
      <c r="AK135" s="56">
        <v>240711</v>
      </c>
      <c r="AL135" s="108">
        <f t="shared" si="54"/>
        <v>944993</v>
      </c>
      <c r="AM135" s="56">
        <v>231954</v>
      </c>
      <c r="AN135" s="56">
        <v>234692</v>
      </c>
      <c r="AO135" s="56">
        <v>239287</v>
      </c>
      <c r="AQ135" s="108"/>
      <c r="AR135" s="108"/>
    </row>
    <row r="136" spans="3:44" hidden="1" outlineLevel="2">
      <c r="C136" s="80" t="s">
        <v>403</v>
      </c>
      <c r="D136" s="56">
        <v>59337</v>
      </c>
      <c r="E136" s="56">
        <v>59081</v>
      </c>
      <c r="F136" s="56">
        <v>57417</v>
      </c>
      <c r="G136" s="56">
        <v>57054</v>
      </c>
      <c r="H136" s="108">
        <f>SUM(D136:G136)</f>
        <v>232889</v>
      </c>
      <c r="I136" s="56">
        <v>55888</v>
      </c>
      <c r="J136" s="56">
        <v>55567</v>
      </c>
      <c r="K136" s="56">
        <v>53496</v>
      </c>
      <c r="L136" s="56">
        <v>51778</v>
      </c>
      <c r="M136" s="108">
        <f>SUM(I136:L136)</f>
        <v>216729</v>
      </c>
      <c r="N136" s="56">
        <v>44809</v>
      </c>
      <c r="O136" s="56">
        <v>42642</v>
      </c>
      <c r="P136" s="56">
        <v>42601</v>
      </c>
      <c r="Q136" s="56">
        <v>41954</v>
      </c>
      <c r="R136" s="108">
        <f>SUM(N136:Q136)</f>
        <v>172006</v>
      </c>
      <c r="S136" s="56">
        <v>40675</v>
      </c>
      <c r="T136" s="56">
        <v>41052</v>
      </c>
      <c r="U136" s="56">
        <v>41255</v>
      </c>
      <c r="V136" s="56">
        <v>40253</v>
      </c>
      <c r="W136" s="108">
        <f>SUM(S136:V136)</f>
        <v>163235</v>
      </c>
      <c r="X136" s="56">
        <v>39043</v>
      </c>
      <c r="Y136" s="56">
        <v>41529</v>
      </c>
      <c r="Z136" s="56">
        <v>41445</v>
      </c>
      <c r="AA136" s="56">
        <v>41720</v>
      </c>
      <c r="AB136" s="108">
        <f>SUM(X136:AA136)</f>
        <v>163737</v>
      </c>
      <c r="AC136" s="56">
        <v>41091</v>
      </c>
      <c r="AD136" s="56">
        <v>41950</v>
      </c>
      <c r="AE136" s="56">
        <v>43283</v>
      </c>
      <c r="AF136" s="56">
        <v>43114</v>
      </c>
      <c r="AG136" s="108">
        <f t="shared" si="53"/>
        <v>169438</v>
      </c>
      <c r="AH136" s="56">
        <v>41571</v>
      </c>
      <c r="AI136" s="56">
        <v>41539</v>
      </c>
      <c r="AJ136" s="56">
        <v>42307</v>
      </c>
      <c r="AK136" s="56">
        <v>41519</v>
      </c>
      <c r="AL136" s="108">
        <f t="shared" si="54"/>
        <v>166936</v>
      </c>
      <c r="AM136" s="56">
        <v>40642</v>
      </c>
      <c r="AN136" s="56">
        <v>42205</v>
      </c>
      <c r="AO136" s="56">
        <v>45852</v>
      </c>
      <c r="AQ136" s="108"/>
      <c r="AR136" s="108"/>
    </row>
    <row r="137" spans="3:44" hidden="1" outlineLevel="2">
      <c r="C137" s="80" t="s">
        <v>404</v>
      </c>
      <c r="E137" s="56">
        <v>0</v>
      </c>
      <c r="F137" s="56">
        <v>1176</v>
      </c>
      <c r="G137" s="56">
        <v>2200</v>
      </c>
      <c r="H137" s="108">
        <f>SUM(D137:G137)</f>
        <v>3376</v>
      </c>
      <c r="I137" s="56">
        <v>8869</v>
      </c>
      <c r="J137" s="56">
        <v>34797</v>
      </c>
      <c r="K137" s="56">
        <v>50993</v>
      </c>
      <c r="L137" s="56">
        <v>58897</v>
      </c>
      <c r="M137" s="108">
        <f>SUM(I137:L137)</f>
        <v>153556</v>
      </c>
      <c r="N137" s="56">
        <v>63751</v>
      </c>
      <c r="O137" s="56">
        <v>68922</v>
      </c>
      <c r="P137" s="56">
        <v>72163</v>
      </c>
      <c r="Q137" s="56">
        <v>75039</v>
      </c>
      <c r="R137" s="108">
        <f>SUM(N137:Q137)</f>
        <v>279875</v>
      </c>
      <c r="S137" s="56">
        <v>77523</v>
      </c>
      <c r="T137" s="56">
        <v>83175</v>
      </c>
      <c r="U137" s="56">
        <v>89196</v>
      </c>
      <c r="V137" s="56">
        <v>92853</v>
      </c>
      <c r="W137" s="108">
        <f>SUM(S137:V137)</f>
        <v>342747</v>
      </c>
      <c r="X137" s="56">
        <v>92653</v>
      </c>
      <c r="Y137" s="56">
        <v>97062</v>
      </c>
      <c r="Z137" s="56">
        <v>103068</v>
      </c>
      <c r="AA137" s="56">
        <v>105556</v>
      </c>
      <c r="AB137" s="108">
        <f>SUM(X137:AA137)</f>
        <v>398339</v>
      </c>
      <c r="AC137" s="56">
        <v>104762</v>
      </c>
      <c r="AD137" s="56">
        <v>108376</v>
      </c>
      <c r="AE137" s="56">
        <v>111192</v>
      </c>
      <c r="AF137" s="56">
        <v>112467</v>
      </c>
      <c r="AG137" s="108">
        <f t="shared" si="53"/>
        <v>436797</v>
      </c>
      <c r="AH137" s="56">
        <v>111735</v>
      </c>
      <c r="AI137" s="56">
        <v>116953</v>
      </c>
      <c r="AJ137" s="56">
        <v>120113</v>
      </c>
      <c r="AK137" s="56">
        <v>121404</v>
      </c>
      <c r="AL137" s="108">
        <f t="shared" si="54"/>
        <v>470205</v>
      </c>
      <c r="AM137" s="56">
        <v>116220</v>
      </c>
      <c r="AN137" s="56">
        <v>122747</v>
      </c>
      <c r="AO137" s="56">
        <v>129542</v>
      </c>
      <c r="AQ137" s="108"/>
      <c r="AR137" s="108"/>
    </row>
    <row r="138" spans="3:44" hidden="1" outlineLevel="2">
      <c r="C138" s="80" t="s">
        <v>405</v>
      </c>
      <c r="D138" s="56">
        <v>2112</v>
      </c>
      <c r="E138" s="56">
        <v>17088</v>
      </c>
      <c r="F138" s="56">
        <v>39645</v>
      </c>
      <c r="G138" s="56">
        <v>64791</v>
      </c>
      <c r="H138" s="108">
        <f>SUM(D138:G138)</f>
        <v>123636</v>
      </c>
      <c r="I138" s="56">
        <v>85802</v>
      </c>
      <c r="J138" s="56">
        <v>111877</v>
      </c>
      <c r="K138" s="56">
        <v>144733</v>
      </c>
      <c r="L138" s="56">
        <v>188430</v>
      </c>
      <c r="M138" s="108">
        <f>SUM(I138:L138)</f>
        <v>530842</v>
      </c>
      <c r="N138" s="56">
        <v>228031</v>
      </c>
      <c r="O138" s="56">
        <v>270776</v>
      </c>
      <c r="P138" s="56">
        <v>338430</v>
      </c>
      <c r="Q138" s="56">
        <v>426337</v>
      </c>
      <c r="R138" s="108">
        <f>SUM(N138:Q138)</f>
        <v>1263574</v>
      </c>
      <c r="S138" s="56">
        <v>516933</v>
      </c>
      <c r="T138" s="56">
        <v>616184</v>
      </c>
      <c r="U138" s="56">
        <v>711116</v>
      </c>
      <c r="V138" s="56">
        <v>808441</v>
      </c>
      <c r="W138" s="108">
        <f>SUM(S138:V138)</f>
        <v>2652674</v>
      </c>
      <c r="X138" s="56">
        <v>959963</v>
      </c>
      <c r="Y138" s="56">
        <v>1075915</v>
      </c>
      <c r="Z138" s="56">
        <v>1224180</v>
      </c>
      <c r="AA138" s="56">
        <v>1342646</v>
      </c>
      <c r="AB138" s="108">
        <f>SUM(X138:AA138)</f>
        <v>4602704</v>
      </c>
      <c r="AC138" s="56">
        <v>1424629</v>
      </c>
      <c r="AD138" s="56">
        <v>1507841</v>
      </c>
      <c r="AE138" s="56">
        <v>1576886</v>
      </c>
      <c r="AF138" s="56">
        <v>1648827</v>
      </c>
      <c r="AG138" s="108">
        <f t="shared" si="53"/>
        <v>6158183</v>
      </c>
      <c r="AH138" s="56">
        <v>1795726</v>
      </c>
      <c r="AI138" s="56">
        <v>1915452</v>
      </c>
      <c r="AJ138" s="56">
        <v>1992346</v>
      </c>
      <c r="AK138" s="56">
        <v>2577659</v>
      </c>
      <c r="AL138" s="108">
        <f t="shared" si="54"/>
        <v>8281183</v>
      </c>
      <c r="AM138" s="56">
        <v>3279268</v>
      </c>
      <c r="AN138" s="56">
        <v>3415448</v>
      </c>
      <c r="AO138" s="56">
        <v>3423675</v>
      </c>
      <c r="AQ138" s="108"/>
      <c r="AR138" s="108"/>
    </row>
    <row r="139" spans="3:44" hidden="1" outlineLevel="2">
      <c r="C139" s="80" t="s">
        <v>406</v>
      </c>
      <c r="H139" s="108"/>
      <c r="M139" s="108"/>
      <c r="R139" s="108"/>
      <c r="V139" s="56">
        <v>484</v>
      </c>
      <c r="W139" s="108">
        <f>SUM(S139:V139)</f>
        <v>484</v>
      </c>
      <c r="X139" s="56">
        <v>2173</v>
      </c>
      <c r="Y139" s="56">
        <v>4503</v>
      </c>
      <c r="Z139" s="56">
        <v>6627</v>
      </c>
      <c r="AA139" s="56">
        <v>7527</v>
      </c>
      <c r="AB139" s="108">
        <f>SUM(X139:AA139)</f>
        <v>20830</v>
      </c>
      <c r="AC139" s="56">
        <v>7716</v>
      </c>
      <c r="AD139" s="56">
        <v>7845</v>
      </c>
      <c r="AE139" s="56">
        <v>7718</v>
      </c>
      <c r="AF139" s="56">
        <v>7680</v>
      </c>
      <c r="AG139" s="108">
        <f t="shared" si="53"/>
        <v>30959</v>
      </c>
      <c r="AH139" s="56">
        <v>8481</v>
      </c>
      <c r="AI139" s="56">
        <v>8718</v>
      </c>
      <c r="AJ139" s="56">
        <v>9505</v>
      </c>
      <c r="AK139" s="56">
        <v>9831</v>
      </c>
      <c r="AL139" s="108">
        <f t="shared" si="54"/>
        <v>36535</v>
      </c>
      <c r="AM139" s="56">
        <v>9240</v>
      </c>
      <c r="AN139" s="56">
        <v>8923</v>
      </c>
      <c r="AO139" s="56">
        <v>9310</v>
      </c>
      <c r="AQ139" s="108"/>
      <c r="AR139" s="108"/>
    </row>
    <row r="140" spans="3:44" hidden="1" outlineLevel="2">
      <c r="C140" s="80" t="s">
        <v>407</v>
      </c>
      <c r="H140" s="108"/>
      <c r="M140" s="108"/>
      <c r="R140" s="108"/>
      <c r="W140" s="108"/>
      <c r="AB140" s="108"/>
      <c r="AG140" s="108"/>
      <c r="AL140" s="108"/>
      <c r="AO140" s="56">
        <v>352540</v>
      </c>
      <c r="AQ140" s="108"/>
      <c r="AR140" s="108"/>
    </row>
    <row r="141" spans="3:44" hidden="1" outlineLevel="2">
      <c r="C141" s="80" t="s">
        <v>408</v>
      </c>
      <c r="H141" s="108"/>
      <c r="M141" s="108"/>
      <c r="R141" s="108"/>
      <c r="W141" s="108"/>
      <c r="AB141" s="108"/>
      <c r="AG141" s="108"/>
      <c r="AI141" s="56">
        <v>17761</v>
      </c>
      <c r="AJ141" s="56">
        <v>29095</v>
      </c>
      <c r="AK141" s="56">
        <v>31955</v>
      </c>
      <c r="AL141" s="108">
        <f t="shared" ref="AL141:AL146" si="58">SUM(AH141:AK141)</f>
        <v>78811</v>
      </c>
      <c r="AM141" s="56">
        <v>32274</v>
      </c>
      <c r="AN141" s="56">
        <v>32707</v>
      </c>
      <c r="AO141" s="56">
        <v>31711</v>
      </c>
      <c r="AQ141" s="108"/>
      <c r="AR141" s="108"/>
    </row>
    <row r="142" spans="3:44" hidden="1" outlineLevel="2">
      <c r="C142" s="80" t="s">
        <v>409</v>
      </c>
      <c r="D142" s="56">
        <v>1522943</v>
      </c>
      <c r="E142" s="56">
        <v>1525958</v>
      </c>
      <c r="F142" s="56">
        <v>1521388</v>
      </c>
      <c r="G142" s="56">
        <v>1520872</v>
      </c>
      <c r="H142" s="108">
        <f>SUM(D142:G142)</f>
        <v>6091161</v>
      </c>
      <c r="I142" s="56">
        <v>1507207</v>
      </c>
      <c r="J142" s="56">
        <v>1497816</v>
      </c>
      <c r="K142" s="56">
        <v>1491914</v>
      </c>
      <c r="L142" s="56">
        <v>1514176</v>
      </c>
      <c r="M142" s="108">
        <f>SUM(I142:L142)</f>
        <v>6011113</v>
      </c>
      <c r="N142" s="56">
        <v>1493989</v>
      </c>
      <c r="O142" s="56">
        <v>1494047</v>
      </c>
      <c r="P142" s="56">
        <v>1516894</v>
      </c>
      <c r="Q142" s="56">
        <v>1542912</v>
      </c>
      <c r="R142" s="108">
        <f>SUM(N142:Q142)</f>
        <v>6047842</v>
      </c>
      <c r="S142" s="56">
        <v>1528847</v>
      </c>
      <c r="T142" s="56">
        <v>1529202</v>
      </c>
      <c r="U142" s="56">
        <v>1536741</v>
      </c>
      <c r="V142" s="56">
        <v>1532045</v>
      </c>
      <c r="W142" s="108">
        <f>SUM(S142:V142)</f>
        <v>6126835</v>
      </c>
      <c r="X142" s="56">
        <v>1459767</v>
      </c>
      <c r="Y142" s="56">
        <v>1472336</v>
      </c>
      <c r="Z142" s="56">
        <v>1479817</v>
      </c>
      <c r="AA142" s="56">
        <v>1463918</v>
      </c>
      <c r="AB142" s="108">
        <f>SUM(X142:AA142)</f>
        <v>5875838</v>
      </c>
      <c r="AC142" s="56">
        <v>1430325</v>
      </c>
      <c r="AD142" s="56">
        <v>1418047</v>
      </c>
      <c r="AE142" s="56">
        <v>1376407</v>
      </c>
      <c r="AF142" s="56">
        <v>1343304</v>
      </c>
      <c r="AG142" s="108">
        <f>SUM(AC142:AF142)</f>
        <v>5568083</v>
      </c>
      <c r="AH142" s="56">
        <v>1321753</v>
      </c>
      <c r="AI142" s="56">
        <v>1314576</v>
      </c>
      <c r="AJ142" s="56">
        <v>1302411</v>
      </c>
      <c r="AK142" s="56">
        <v>1281249</v>
      </c>
      <c r="AL142" s="108">
        <f t="shared" si="58"/>
        <v>5219989</v>
      </c>
      <c r="AM142" s="56">
        <v>1221645</v>
      </c>
      <c r="AN142" s="56">
        <v>1224433</v>
      </c>
      <c r="AO142" s="56">
        <v>1213105</v>
      </c>
      <c r="AQ142" s="108"/>
      <c r="AR142" s="108"/>
    </row>
    <row r="143" spans="3:44" hidden="1" outlineLevel="2">
      <c r="C143" s="80" t="s">
        <v>410</v>
      </c>
      <c r="D143" s="56">
        <v>3481005</v>
      </c>
      <c r="E143" s="56">
        <v>3798541</v>
      </c>
      <c r="F143" s="56">
        <v>3873794</v>
      </c>
      <c r="G143" s="56">
        <v>3921620</v>
      </c>
      <c r="H143" s="108">
        <f>SUM(D143:G143)</f>
        <v>15074960</v>
      </c>
      <c r="I143" s="56">
        <v>3949594</v>
      </c>
      <c r="J143" s="56">
        <v>3932969</v>
      </c>
      <c r="K143" s="56">
        <v>3865721</v>
      </c>
      <c r="L143" s="56">
        <v>3853914</v>
      </c>
      <c r="M143" s="108">
        <f>SUM(I143:L143)</f>
        <v>15602198</v>
      </c>
      <c r="N143" s="56">
        <v>3818853</v>
      </c>
      <c r="O143" s="56">
        <v>3757151</v>
      </c>
      <c r="P143" s="56">
        <v>3711797</v>
      </c>
      <c r="Q143" s="56">
        <v>3710351</v>
      </c>
      <c r="R143" s="108">
        <f>SUM(N143:Q143)</f>
        <v>14998152</v>
      </c>
      <c r="S143" s="56">
        <v>3645516</v>
      </c>
      <c r="T143" s="56">
        <v>3623048</v>
      </c>
      <c r="U143" s="56">
        <v>3561465</v>
      </c>
      <c r="V143" s="56">
        <v>3525896</v>
      </c>
      <c r="W143" s="108">
        <f>SUM(S143:V143)</f>
        <v>14355925</v>
      </c>
      <c r="X143" s="56">
        <v>3431521</v>
      </c>
      <c r="Y143" s="56">
        <v>3439498</v>
      </c>
      <c r="Z143" s="56">
        <v>3384049</v>
      </c>
      <c r="AA143" s="56">
        <v>3339051</v>
      </c>
      <c r="AB143" s="108">
        <f>SUM(X143:AA143)</f>
        <v>13594119</v>
      </c>
      <c r="AC143" s="56">
        <v>3253471</v>
      </c>
      <c r="AD143" s="56">
        <v>3214020</v>
      </c>
      <c r="AE143" s="56">
        <v>3223491</v>
      </c>
      <c r="AF143" s="56">
        <v>3203369</v>
      </c>
      <c r="AG143" s="108">
        <f>SUM(AC143:AF143)</f>
        <v>12894351</v>
      </c>
      <c r="AH143" s="56">
        <v>3166484</v>
      </c>
      <c r="AI143" s="56">
        <v>3119046</v>
      </c>
      <c r="AJ143" s="56">
        <v>3050383</v>
      </c>
      <c r="AK143" s="56">
        <v>3017914</v>
      </c>
      <c r="AL143" s="108">
        <f t="shared" si="58"/>
        <v>12353827</v>
      </c>
      <c r="AM143" s="56">
        <v>2918765</v>
      </c>
      <c r="AN143" s="56">
        <v>2886286</v>
      </c>
      <c r="AO143" s="56">
        <v>2795303</v>
      </c>
      <c r="AQ143" s="108"/>
      <c r="AR143" s="108"/>
    </row>
    <row r="144" spans="3:44" hidden="1" outlineLevel="2">
      <c r="C144" s="80" t="s">
        <v>411</v>
      </c>
      <c r="E144" s="56">
        <v>1215679</v>
      </c>
      <c r="F144" s="56">
        <v>1950993</v>
      </c>
      <c r="G144" s="56">
        <v>2034811</v>
      </c>
      <c r="H144" s="108">
        <f>SUM(D144:G144)</f>
        <v>5201483</v>
      </c>
      <c r="I144" s="56">
        <v>2196228</v>
      </c>
      <c r="J144" s="56">
        <v>2338317</v>
      </c>
      <c r="K144" s="56">
        <v>2615018</v>
      </c>
      <c r="L144" s="56">
        <v>2809540</v>
      </c>
      <c r="M144" s="108">
        <f>SUM(I144:L144)</f>
        <v>9959103</v>
      </c>
      <c r="N144" s="56">
        <v>2979486</v>
      </c>
      <c r="O144" s="56">
        <v>3195018</v>
      </c>
      <c r="P144" s="56">
        <v>3412045</v>
      </c>
      <c r="Q144" s="56">
        <v>3697414</v>
      </c>
      <c r="R144" s="108">
        <f>SUM(N144:Q144)</f>
        <v>13283963</v>
      </c>
      <c r="S144" s="56">
        <v>3918328</v>
      </c>
      <c r="T144" s="56">
        <v>4188230</v>
      </c>
      <c r="U144" s="56">
        <v>4360480</v>
      </c>
      <c r="V144" s="56">
        <v>4582429</v>
      </c>
      <c r="W144" s="108">
        <f>SUM(S144:V144)</f>
        <v>17049467</v>
      </c>
      <c r="X144" s="56">
        <v>4690225</v>
      </c>
      <c r="Y144" s="56">
        <v>4975827</v>
      </c>
      <c r="Z144" s="56">
        <v>5114676</v>
      </c>
      <c r="AA144" s="56">
        <v>5290718</v>
      </c>
      <c r="AB144" s="108">
        <f>SUM(X144:AA144)</f>
        <v>20071446</v>
      </c>
      <c r="AC144" s="56">
        <v>5415479</v>
      </c>
      <c r="AD144" s="56">
        <v>5617662</v>
      </c>
      <c r="AE144" s="56">
        <v>6167728</v>
      </c>
      <c r="AF144" s="56">
        <v>6658338</v>
      </c>
      <c r="AG144" s="108">
        <f>SUM(AC144:AF144)</f>
        <v>23859207</v>
      </c>
      <c r="AH144" s="56">
        <v>6978574</v>
      </c>
      <c r="AI144" s="56">
        <v>7203695</v>
      </c>
      <c r="AJ144" s="56">
        <v>7328348</v>
      </c>
      <c r="AK144" s="56">
        <v>7498736</v>
      </c>
      <c r="AL144" s="108">
        <f t="shared" si="58"/>
        <v>29009353</v>
      </c>
      <c r="AM144" s="56">
        <v>7486074</v>
      </c>
      <c r="AN144" s="56">
        <v>7657694</v>
      </c>
      <c r="AO144" s="56">
        <v>7645576</v>
      </c>
      <c r="AQ144" s="108"/>
      <c r="AR144" s="108"/>
    </row>
    <row r="145" spans="3:44" hidden="1" outlineLevel="2">
      <c r="C145" s="80" t="s">
        <v>412</v>
      </c>
      <c r="D145" s="56">
        <v>0</v>
      </c>
      <c r="E145" s="56">
        <v>164861</v>
      </c>
      <c r="F145" s="56">
        <v>6564956</v>
      </c>
      <c r="G145" s="56">
        <v>7715538</v>
      </c>
      <c r="H145" s="108">
        <f>SUM(D145:G145)</f>
        <v>14445355</v>
      </c>
      <c r="I145" s="56">
        <v>10082562</v>
      </c>
      <c r="J145" s="56">
        <v>11509163</v>
      </c>
      <c r="K145" s="56">
        <v>12575836</v>
      </c>
      <c r="L145" s="56">
        <v>13774315</v>
      </c>
      <c r="M145" s="108">
        <f>SUM(I145:L145)</f>
        <v>47941876</v>
      </c>
      <c r="N145" s="56">
        <v>15168941</v>
      </c>
      <c r="O145" s="56">
        <v>16372860</v>
      </c>
      <c r="P145" s="56">
        <v>17385887</v>
      </c>
      <c r="Q145" s="56">
        <v>18551474</v>
      </c>
      <c r="R145" s="108">
        <f>SUM(N145:Q145)</f>
        <v>67479162</v>
      </c>
      <c r="S145" s="56">
        <v>19567540</v>
      </c>
      <c r="T145" s="56">
        <v>20708749</v>
      </c>
      <c r="U145" s="56">
        <v>21371077</v>
      </c>
      <c r="V145" s="56">
        <v>22132056</v>
      </c>
      <c r="W145" s="108">
        <f>SUM(S145:V145)</f>
        <v>83779422</v>
      </c>
      <c r="X145" s="56">
        <v>22547438</v>
      </c>
      <c r="Y145" s="56">
        <v>23477154</v>
      </c>
      <c r="Z145" s="56">
        <v>23784580</v>
      </c>
      <c r="AA145" s="56">
        <v>24335195</v>
      </c>
      <c r="AB145" s="108">
        <f>SUM(X145:AA145)</f>
        <v>94144367</v>
      </c>
      <c r="AC145" s="56">
        <v>24619344</v>
      </c>
      <c r="AD145" s="56">
        <v>25036431</v>
      </c>
      <c r="AE145" s="56">
        <v>23984443</v>
      </c>
      <c r="AF145" s="56">
        <v>22989184</v>
      </c>
      <c r="AG145" s="108">
        <f>SUM(AC145:AF145)</f>
        <v>96629402</v>
      </c>
      <c r="AH145" s="56">
        <v>22291420</v>
      </c>
      <c r="AI145" s="56">
        <v>21792191</v>
      </c>
      <c r="AJ145" s="56">
        <v>21169124</v>
      </c>
      <c r="AK145" s="56">
        <v>20737597</v>
      </c>
      <c r="AL145" s="108">
        <f t="shared" si="58"/>
        <v>85990332</v>
      </c>
      <c r="AM145" s="56">
        <v>19797251</v>
      </c>
      <c r="AN145" s="56">
        <v>19447365</v>
      </c>
      <c r="AO145" s="56">
        <v>18685332</v>
      </c>
      <c r="AQ145" s="108"/>
      <c r="AR145" s="108"/>
    </row>
    <row r="146" spans="3:44" hidden="1" outlineLevel="1">
      <c r="C146" s="118" t="s">
        <v>425</v>
      </c>
      <c r="D146" s="82">
        <f>(D101+D123+D133)</f>
        <v>49006136</v>
      </c>
      <c r="E146" s="82">
        <f>(E101+E123+E133)</f>
        <v>50783343</v>
      </c>
      <c r="F146" s="82">
        <f>(F101+F123+F133)</f>
        <v>52100519</v>
      </c>
      <c r="G146" s="82">
        <f>(G101+G123+G133)</f>
        <v>53686689</v>
      </c>
      <c r="H146" s="108">
        <f>SUM(D146:G146)</f>
        <v>205576687</v>
      </c>
      <c r="I146" s="82">
        <f>(I101+I123+I133)</f>
        <v>54684565</v>
      </c>
      <c r="J146" s="82">
        <f>(J101+J123+J133)</f>
        <v>55616357</v>
      </c>
      <c r="K146" s="82">
        <f>(K101+K123+K133)</f>
        <v>56215104</v>
      </c>
      <c r="L146" s="82">
        <f>(L101+L123+L133)</f>
        <v>57953133</v>
      </c>
      <c r="M146" s="108">
        <f>SUM(I146:L146)</f>
        <v>224469159</v>
      </c>
      <c r="N146" s="82">
        <f>(N101+N123+N133)</f>
        <v>57565743</v>
      </c>
      <c r="O146" s="82">
        <f>(O101+O123+O133)</f>
        <v>57307549</v>
      </c>
      <c r="P146" s="82">
        <f>(P101+P123+P133)</f>
        <v>58096447</v>
      </c>
      <c r="Q146" s="82">
        <f>(Q101+Q123+Q133)</f>
        <v>59583834</v>
      </c>
      <c r="R146" s="108">
        <f>SUM(N146:Q146)</f>
        <v>232553573</v>
      </c>
      <c r="S146" s="82">
        <f>(S101+S123+S133)</f>
        <v>59860833</v>
      </c>
      <c r="T146" s="82">
        <f>(T101+T123+T133)</f>
        <v>60947664</v>
      </c>
      <c r="U146" s="82">
        <f>(U101+U123+U133)</f>
        <v>61463949</v>
      </c>
      <c r="V146" s="82">
        <f>(V101+V123+V133)</f>
        <v>62148147</v>
      </c>
      <c r="W146" s="108">
        <f>SUM(S146:V146)</f>
        <v>244420593</v>
      </c>
      <c r="X146" s="82">
        <f>(X101+X123+X133)</f>
        <v>61342373</v>
      </c>
      <c r="Y146" s="82">
        <f>(Y101+Y123+Y133)</f>
        <v>62646009</v>
      </c>
      <c r="Z146" s="82">
        <f>(Z101+Z123+Z133)</f>
        <v>62803536</v>
      </c>
      <c r="AA146" s="82">
        <f>(AA101+AA123+AA133)</f>
        <v>63076528</v>
      </c>
      <c r="AB146" s="108">
        <f>SUM(X146:AA146)</f>
        <v>249868446</v>
      </c>
      <c r="AC146" s="82">
        <f>(AC101+AC123+AC133)</f>
        <v>62624349</v>
      </c>
      <c r="AD146" s="82">
        <f>(AD101+AD123+AD133)</f>
        <v>62698793</v>
      </c>
      <c r="AE146" s="82">
        <f>(AE101+AE123+AE133)</f>
        <v>62439706</v>
      </c>
      <c r="AF146" s="82">
        <f>(AF101+AF123+AF133)</f>
        <v>62599252</v>
      </c>
      <c r="AG146" s="108">
        <f>SUM(AC146:AF146)</f>
        <v>250362100</v>
      </c>
      <c r="AH146" s="82">
        <f>(AH101+AH123+AH133)</f>
        <v>62958545</v>
      </c>
      <c r="AI146" s="82">
        <f>(AI101+AI123+AI133)</f>
        <v>62977853</v>
      </c>
      <c r="AJ146" s="82">
        <f>(AJ101+AJ123+AJ133)</f>
        <v>62613259</v>
      </c>
      <c r="AK146" s="82">
        <f>(AK101+AK123+AK133)</f>
        <v>63566330</v>
      </c>
      <c r="AL146" s="108">
        <f t="shared" si="58"/>
        <v>252115987</v>
      </c>
      <c r="AM146" s="82">
        <f>(AM101+AM123+AM133)</f>
        <v>62416634</v>
      </c>
      <c r="AN146" s="82">
        <f>(AN101+AN123+AN133)</f>
        <v>62716425</v>
      </c>
      <c r="AO146" s="82">
        <f>(AO101+AO123+AO133)</f>
        <v>62414974</v>
      </c>
      <c r="AQ146" s="108"/>
      <c r="AR146" s="108"/>
    </row>
    <row r="147" spans="3:44" hidden="1" outlineLevel="1">
      <c r="C147" s="118"/>
      <c r="L147" s="121"/>
      <c r="N147" s="121"/>
      <c r="O147" s="121"/>
      <c r="P147" s="121"/>
      <c r="Q147" s="121"/>
      <c r="S147" s="121"/>
      <c r="T147" s="121"/>
      <c r="U147" s="121"/>
      <c r="V147" s="121"/>
      <c r="X147" s="121"/>
      <c r="Y147" s="121"/>
      <c r="Z147" s="121"/>
      <c r="AA147" s="121"/>
      <c r="AC147" s="121"/>
      <c r="AD147" s="121"/>
      <c r="AE147" s="121"/>
      <c r="AF147" s="121"/>
      <c r="AH147" s="121"/>
      <c r="AI147" s="121"/>
      <c r="AJ147" s="121"/>
      <c r="AK147" s="121"/>
      <c r="AM147" s="121"/>
      <c r="AN147" s="121"/>
    </row>
    <row r="148" spans="3:44" ht="38.25" hidden="1" outlineLevel="1">
      <c r="C148" s="118" t="s">
        <v>426</v>
      </c>
      <c r="D148" s="122" t="s">
        <v>427</v>
      </c>
      <c r="E148" s="122" t="s">
        <v>428</v>
      </c>
      <c r="F148" s="122" t="s">
        <v>429</v>
      </c>
      <c r="G148" s="122" t="s">
        <v>430</v>
      </c>
      <c r="H148" s="53">
        <f>H100</f>
        <v>2006</v>
      </c>
      <c r="I148" s="122" t="s">
        <v>431</v>
      </c>
      <c r="J148" s="122" t="s">
        <v>432</v>
      </c>
      <c r="K148" s="122" t="s">
        <v>433</v>
      </c>
      <c r="L148" s="122" t="s">
        <v>434</v>
      </c>
      <c r="M148" s="53">
        <f>M100</f>
        <v>2007</v>
      </c>
      <c r="N148" s="122" t="s">
        <v>435</v>
      </c>
      <c r="O148" s="122" t="s">
        <v>436</v>
      </c>
      <c r="P148" s="122" t="s">
        <v>437</v>
      </c>
      <c r="Q148" s="122" t="s">
        <v>438</v>
      </c>
      <c r="R148" s="53">
        <f>R100</f>
        <v>2008</v>
      </c>
      <c r="S148" s="122" t="s">
        <v>439</v>
      </c>
      <c r="T148" s="122" t="s">
        <v>440</v>
      </c>
      <c r="U148" s="122" t="s">
        <v>441</v>
      </c>
      <c r="V148" s="122" t="s">
        <v>442</v>
      </c>
      <c r="W148" s="53">
        <f>W100</f>
        <v>2009</v>
      </c>
      <c r="X148" s="122" t="s">
        <v>443</v>
      </c>
      <c r="Y148" s="122" t="s">
        <v>444</v>
      </c>
      <c r="Z148" s="122" t="s">
        <v>445</v>
      </c>
      <c r="AA148" s="122" t="s">
        <v>446</v>
      </c>
      <c r="AB148" s="53">
        <f>AB100</f>
        <v>2010</v>
      </c>
      <c r="AC148" s="122" t="s">
        <v>447</v>
      </c>
      <c r="AD148" s="122" t="s">
        <v>448</v>
      </c>
      <c r="AE148" s="122" t="s">
        <v>449</v>
      </c>
      <c r="AF148" s="122" t="s">
        <v>450</v>
      </c>
      <c r="AG148" s="53">
        <f>AG100</f>
        <v>2011</v>
      </c>
      <c r="AH148" s="122" t="s">
        <v>451</v>
      </c>
      <c r="AI148" s="122" t="s">
        <v>452</v>
      </c>
      <c r="AJ148" s="122" t="s">
        <v>453</v>
      </c>
      <c r="AK148" s="122" t="s">
        <v>454</v>
      </c>
      <c r="AL148" s="53">
        <f>AL100</f>
        <v>2012</v>
      </c>
      <c r="AM148" s="122" t="s">
        <v>455</v>
      </c>
      <c r="AN148" s="122" t="s">
        <v>456</v>
      </c>
      <c r="AO148" s="122" t="s">
        <v>457</v>
      </c>
      <c r="AQ148" s="53"/>
      <c r="AR148" s="53"/>
    </row>
    <row r="149" spans="3:44" hidden="1" outlineLevel="1">
      <c r="C149" s="123" t="s">
        <v>368</v>
      </c>
      <c r="D149" s="93">
        <f>SUM(D151:D170)</f>
        <v>1969455829</v>
      </c>
      <c r="E149" s="93">
        <f>SUM(E151:E170)</f>
        <v>1935427260</v>
      </c>
      <c r="F149" s="93">
        <f>SUM(F151:F170)</f>
        <v>1730375631</v>
      </c>
      <c r="G149" s="93">
        <f>SUM(G151:G170)</f>
        <v>1737829967</v>
      </c>
      <c r="H149" s="93">
        <f t="shared" ref="H149:H156" si="59">SUM(D149:G149)</f>
        <v>7373088687</v>
      </c>
      <c r="I149" s="93">
        <f>SUM(I151:I170)</f>
        <v>1607806717</v>
      </c>
      <c r="J149" s="93">
        <f>SUM(J151:J170)</f>
        <v>1543383208</v>
      </c>
      <c r="K149" s="93">
        <f>SUM(K151:K170)</f>
        <v>1519619478</v>
      </c>
      <c r="L149" s="93">
        <f>SUM(L151:L170)</f>
        <v>1523312274</v>
      </c>
      <c r="M149" s="93">
        <f t="shared" ref="M149:M156" si="60">SUM(I149:L149)</f>
        <v>6194121677</v>
      </c>
      <c r="N149" s="93">
        <f>SUM(N151:N170)</f>
        <v>1463245733</v>
      </c>
      <c r="O149" s="93">
        <f>SUM(O151:O170)</f>
        <v>1407365372</v>
      </c>
      <c r="P149" s="93">
        <f>SUM(P151:P170)</f>
        <v>1374433759</v>
      </c>
      <c r="Q149" s="93">
        <f>SUM(Q151:Q170)</f>
        <v>1336957280</v>
      </c>
      <c r="R149" s="93">
        <f t="shared" ref="R149:R156" si="61">SUM(N149:Q149)</f>
        <v>5582002144</v>
      </c>
      <c r="S149" s="93">
        <f>SUM(S151:S170)</f>
        <v>1348822748</v>
      </c>
      <c r="T149" s="93">
        <f>SUM(T151:T170)</f>
        <v>1328668334</v>
      </c>
      <c r="U149" s="93">
        <f>SUM(U151:U170)</f>
        <v>1306226072</v>
      </c>
      <c r="V149" s="93">
        <f>SUM(V151:V170)</f>
        <v>1302327824</v>
      </c>
      <c r="W149" s="93">
        <f t="shared" ref="W149:W156" si="62">SUM(S149:V149)</f>
        <v>5286044978</v>
      </c>
      <c r="X149" s="93">
        <f>SUM(X151:X170)</f>
        <v>1323969924</v>
      </c>
      <c r="Y149" s="93">
        <f>SUM(Y151:Y170)</f>
        <v>1296400355</v>
      </c>
      <c r="Z149" s="93">
        <f>SUM(Z151:Z170)</f>
        <v>1252688067</v>
      </c>
      <c r="AA149" s="93">
        <f>SUM(AA151:AA170)</f>
        <v>1262412776</v>
      </c>
      <c r="AB149" s="93">
        <f t="shared" ref="AB149:AB156" si="63">SUM(X149:AA149)</f>
        <v>5135471122</v>
      </c>
      <c r="AC149" s="93">
        <f>SUM(AC151:AC170)</f>
        <v>1244776709</v>
      </c>
      <c r="AD149" s="93">
        <f>SUM(AD151:AD170)</f>
        <v>1242696075</v>
      </c>
      <c r="AE149" s="93">
        <f>SUM(AE151:AE170)</f>
        <v>1214672120</v>
      </c>
      <c r="AF149" s="93">
        <f>SUM(AF151:AF170)</f>
        <v>1125266782</v>
      </c>
      <c r="AG149" s="93">
        <f t="shared" ref="AG149:AG156" si="64">SUM(AC149:AF149)</f>
        <v>4827411686</v>
      </c>
      <c r="AH149" s="93">
        <f>SUM(AH151:AH170)</f>
        <v>928824581</v>
      </c>
      <c r="AI149" s="93">
        <f>SUM(AI151:AI170)</f>
        <v>829029774</v>
      </c>
      <c r="AJ149" s="93">
        <f>SUM(AJ151:AJ170)</f>
        <v>720685061</v>
      </c>
      <c r="AK149" s="93">
        <f>SUM(AK151:AK170)</f>
        <v>678550812</v>
      </c>
      <c r="AL149" s="93">
        <f t="shared" ref="AL149:AL156" si="65">SUM(AH149:AK149)</f>
        <v>3157090228</v>
      </c>
      <c r="AM149" s="93">
        <f>SUM(AM151:AM170)</f>
        <v>631060034</v>
      </c>
      <c r="AN149" s="93">
        <f>SUM(AN151:AN170)</f>
        <v>601837072</v>
      </c>
      <c r="AO149" s="93">
        <f>SUM(AO151:AO170)</f>
        <v>528228728</v>
      </c>
      <c r="AQ149" s="93"/>
      <c r="AR149" s="93"/>
    </row>
    <row r="150" spans="3:44" hidden="1" outlineLevel="1" collapsed="1">
      <c r="C150" s="123" t="s">
        <v>458</v>
      </c>
      <c r="D150" s="93">
        <f>D149-D167-D169</f>
        <v>1659343489</v>
      </c>
      <c r="E150" s="93">
        <f>E149-E167-E169</f>
        <v>1598812789</v>
      </c>
      <c r="F150" s="93">
        <f>F149-F167-F169</f>
        <v>1372947569</v>
      </c>
      <c r="G150" s="93">
        <f>G149-G167-G169</f>
        <v>1358789117</v>
      </c>
      <c r="H150" s="93">
        <f t="shared" si="59"/>
        <v>5989892964</v>
      </c>
      <c r="I150" s="93">
        <f>I149-I167-I169</f>
        <v>1204697177</v>
      </c>
      <c r="J150" s="93">
        <f>J149-J167-J169</f>
        <v>1122822618</v>
      </c>
      <c r="K150" s="93">
        <f>K149-K167-K169</f>
        <v>1088775128</v>
      </c>
      <c r="L150" s="93">
        <f>L149-L167-L169</f>
        <v>1084560344</v>
      </c>
      <c r="M150" s="93">
        <f t="shared" si="60"/>
        <v>4500855267</v>
      </c>
      <c r="N150" s="93">
        <f>N149-N167-N169</f>
        <v>1068232583</v>
      </c>
      <c r="O150" s="93">
        <f>O149-O167-O169</f>
        <v>1076403372</v>
      </c>
      <c r="P150" s="93">
        <f>P149-P167-P169</f>
        <v>1062472259</v>
      </c>
      <c r="Q150" s="93">
        <f>Q149-Q167-Q169</f>
        <v>1058813260</v>
      </c>
      <c r="R150" s="93">
        <f t="shared" si="61"/>
        <v>4265921474</v>
      </c>
      <c r="S150" s="93">
        <f>S149-S167-S169</f>
        <v>1083428478</v>
      </c>
      <c r="T150" s="93">
        <f>T149-T167-T169</f>
        <v>1074608084</v>
      </c>
      <c r="U150" s="93">
        <f>U149-U167-U169</f>
        <v>1059070842</v>
      </c>
      <c r="V150" s="93">
        <f>V149-V167-V169</f>
        <v>1067963434</v>
      </c>
      <c r="W150" s="93">
        <f t="shared" si="62"/>
        <v>4285070838</v>
      </c>
      <c r="X150" s="93">
        <f>X149-X167-X169</f>
        <v>1091390634</v>
      </c>
      <c r="Y150" s="93">
        <f>Y149-Y167-Y169</f>
        <v>1077399475</v>
      </c>
      <c r="Z150" s="93">
        <f>Z149-Z167-Z169</f>
        <v>1044378287</v>
      </c>
      <c r="AA150" s="93">
        <f>AA149-AA167-AA169</f>
        <v>1058169546</v>
      </c>
      <c r="AB150" s="93">
        <f t="shared" si="63"/>
        <v>4271337942</v>
      </c>
      <c r="AC150" s="93">
        <f>AC149-AC167-AC169</f>
        <v>1044684659</v>
      </c>
      <c r="AD150" s="93">
        <f>AD149-AD167-AD169</f>
        <v>1053367395</v>
      </c>
      <c r="AE150" s="93">
        <f>AE149-AE167-AE169</f>
        <v>1034484230</v>
      </c>
      <c r="AF150" s="93">
        <f>AF149-AF167-AF169</f>
        <v>953017302</v>
      </c>
      <c r="AG150" s="93">
        <f t="shared" si="64"/>
        <v>4085553586</v>
      </c>
      <c r="AH150" s="93">
        <f>AH149-AH167-AH169</f>
        <v>759042081</v>
      </c>
      <c r="AI150" s="93">
        <f>AI149-AI167-AI169</f>
        <v>667128994</v>
      </c>
      <c r="AJ150" s="93">
        <f>AJ149-AJ167-AJ169</f>
        <v>562810191</v>
      </c>
      <c r="AK150" s="93">
        <f>AK149-AK167-AK169</f>
        <v>523515632</v>
      </c>
      <c r="AL150" s="93">
        <f t="shared" si="65"/>
        <v>2512496898</v>
      </c>
      <c r="AM150" s="93">
        <f>AM149-AM167-AM169</f>
        <v>479447164</v>
      </c>
      <c r="AN150" s="93">
        <f>AN149-AN167-AN169</f>
        <v>454532888</v>
      </c>
      <c r="AO150" s="93">
        <f>AO149-AO167-AO169</f>
        <v>389969958</v>
      </c>
      <c r="AQ150" s="93"/>
      <c r="AR150" s="93"/>
    </row>
    <row r="151" spans="3:44" hidden="1" outlineLevel="2">
      <c r="C151" s="56" t="s">
        <v>370</v>
      </c>
      <c r="D151" s="93">
        <v>16681500</v>
      </c>
      <c r="E151" s="93">
        <v>17004690</v>
      </c>
      <c r="F151" s="93">
        <v>16754040</v>
      </c>
      <c r="G151" s="93">
        <v>17483310</v>
      </c>
      <c r="H151" s="93">
        <f t="shared" si="59"/>
        <v>67923540</v>
      </c>
      <c r="I151" s="93">
        <v>16038000</v>
      </c>
      <c r="J151" s="93">
        <v>15530580</v>
      </c>
      <c r="K151" s="93">
        <v>14762700</v>
      </c>
      <c r="L151" s="93">
        <v>14348880</v>
      </c>
      <c r="M151" s="93">
        <f t="shared" si="60"/>
        <v>60680160</v>
      </c>
      <c r="N151" s="93">
        <v>13843980</v>
      </c>
      <c r="O151" s="93">
        <v>12834990</v>
      </c>
      <c r="P151" s="93">
        <v>11935800</v>
      </c>
      <c r="Q151" s="93">
        <v>10524690</v>
      </c>
      <c r="R151" s="93">
        <f t="shared" si="61"/>
        <v>49139460</v>
      </c>
      <c r="S151" s="93">
        <v>10377810</v>
      </c>
      <c r="T151" s="93">
        <v>9458640</v>
      </c>
      <c r="U151" s="93">
        <v>8916840</v>
      </c>
      <c r="V151" s="93">
        <v>8400420</v>
      </c>
      <c r="W151" s="93">
        <f t="shared" si="62"/>
        <v>37153710</v>
      </c>
      <c r="X151" s="93">
        <v>6611940</v>
      </c>
      <c r="Y151" s="93">
        <v>7259400</v>
      </c>
      <c r="Z151" s="93">
        <v>6337440</v>
      </c>
      <c r="AA151" s="93">
        <v>5777460</v>
      </c>
      <c r="AB151" s="93">
        <f t="shared" si="63"/>
        <v>25986240</v>
      </c>
      <c r="AC151" s="93">
        <v>5139810</v>
      </c>
      <c r="AD151" s="93">
        <v>4550850</v>
      </c>
      <c r="AE151" s="93">
        <v>4119300</v>
      </c>
      <c r="AF151" s="93">
        <v>3650490</v>
      </c>
      <c r="AG151" s="93">
        <f t="shared" si="64"/>
        <v>17460450</v>
      </c>
      <c r="AH151" s="93">
        <v>3477330</v>
      </c>
      <c r="AI151" s="93">
        <v>2862450</v>
      </c>
      <c r="AJ151" s="93">
        <v>2767680</v>
      </c>
      <c r="AK151" s="93">
        <v>2718360</v>
      </c>
      <c r="AL151" s="93">
        <f t="shared" si="65"/>
        <v>11825820</v>
      </c>
      <c r="AM151" s="93">
        <v>2438820</v>
      </c>
      <c r="AN151" s="93">
        <v>2172330</v>
      </c>
      <c r="AO151" s="93">
        <v>1943280</v>
      </c>
      <c r="AQ151" s="93"/>
      <c r="AR151" s="93"/>
    </row>
    <row r="152" spans="3:44" hidden="1" outlineLevel="2">
      <c r="C152" s="56" t="s">
        <v>371</v>
      </c>
      <c r="D152" s="93">
        <v>18436710</v>
      </c>
      <c r="E152" s="93">
        <v>17780820</v>
      </c>
      <c r="F152" s="93">
        <v>17721090</v>
      </c>
      <c r="G152" s="93">
        <v>16402150</v>
      </c>
      <c r="H152" s="93">
        <f t="shared" si="59"/>
        <v>70340770</v>
      </c>
      <c r="I152" s="93">
        <v>15412240</v>
      </c>
      <c r="J152" s="93">
        <v>12203990</v>
      </c>
      <c r="K152" s="93">
        <v>10188520</v>
      </c>
      <c r="L152" s="93">
        <v>10140560</v>
      </c>
      <c r="M152" s="93">
        <f t="shared" si="60"/>
        <v>47945310</v>
      </c>
      <c r="N152" s="93">
        <v>8468650</v>
      </c>
      <c r="O152" s="93">
        <v>8619060</v>
      </c>
      <c r="P152" s="93">
        <v>8952070</v>
      </c>
      <c r="Q152" s="93">
        <v>9010380</v>
      </c>
      <c r="R152" s="93">
        <f t="shared" si="61"/>
        <v>35050160</v>
      </c>
      <c r="S152" s="93">
        <v>8125610</v>
      </c>
      <c r="T152" s="93">
        <v>7816450</v>
      </c>
      <c r="U152" s="93">
        <v>7504030</v>
      </c>
      <c r="V152" s="93">
        <v>7019600</v>
      </c>
      <c r="W152" s="93">
        <f t="shared" si="62"/>
        <v>30465690</v>
      </c>
      <c r="X152" s="93">
        <v>6617850</v>
      </c>
      <c r="Y152" s="93">
        <v>6245990</v>
      </c>
      <c r="Z152" s="93">
        <v>5246450</v>
      </c>
      <c r="AA152" s="93">
        <v>5259460</v>
      </c>
      <c r="AB152" s="93">
        <f t="shared" si="63"/>
        <v>23369750</v>
      </c>
      <c r="AC152" s="93">
        <v>5322040</v>
      </c>
      <c r="AD152" s="93">
        <v>4902040</v>
      </c>
      <c r="AE152" s="93">
        <v>4894550</v>
      </c>
      <c r="AF152" s="93">
        <v>4657070</v>
      </c>
      <c r="AG152" s="93">
        <f t="shared" si="64"/>
        <v>19775700</v>
      </c>
      <c r="AH152" s="93">
        <v>4364770</v>
      </c>
      <c r="AI152" s="93">
        <v>3813530</v>
      </c>
      <c r="AJ152" s="93">
        <v>3573070</v>
      </c>
      <c r="AK152" s="93">
        <v>3432570</v>
      </c>
      <c r="AL152" s="93">
        <f t="shared" si="65"/>
        <v>15183940</v>
      </c>
      <c r="AM152" s="93">
        <v>3864140</v>
      </c>
      <c r="AN152" s="93">
        <v>5475040</v>
      </c>
      <c r="AO152" s="93">
        <v>3254750</v>
      </c>
      <c r="AQ152" s="93"/>
      <c r="AR152" s="93"/>
    </row>
    <row r="153" spans="3:44" hidden="1" outlineLevel="2">
      <c r="C153" s="56" t="s">
        <v>372</v>
      </c>
      <c r="D153" s="93">
        <v>103900960</v>
      </c>
      <c r="E153" s="93">
        <v>121333550</v>
      </c>
      <c r="F153" s="93">
        <v>134248070</v>
      </c>
      <c r="G153" s="93">
        <v>149542020</v>
      </c>
      <c r="H153" s="93">
        <f t="shared" si="59"/>
        <v>509024600</v>
      </c>
      <c r="I153" s="93">
        <v>154019460</v>
      </c>
      <c r="J153" s="93">
        <v>156892890</v>
      </c>
      <c r="K153" s="93">
        <v>158264970</v>
      </c>
      <c r="L153" s="93">
        <v>162910510</v>
      </c>
      <c r="M153" s="93">
        <f t="shared" si="60"/>
        <v>632087830</v>
      </c>
      <c r="N153" s="93">
        <v>165461800</v>
      </c>
      <c r="O153" s="93">
        <v>178277710</v>
      </c>
      <c r="P153" s="93">
        <v>184151850</v>
      </c>
      <c r="Q153" s="93">
        <v>196160880</v>
      </c>
      <c r="R153" s="93">
        <f t="shared" si="61"/>
        <v>724052240</v>
      </c>
      <c r="S153" s="93">
        <v>217789230</v>
      </c>
      <c r="T153" s="93">
        <v>232265150</v>
      </c>
      <c r="U153" s="93">
        <v>234642920</v>
      </c>
      <c r="V153" s="93">
        <v>245444620</v>
      </c>
      <c r="W153" s="93">
        <f t="shared" si="62"/>
        <v>930141920</v>
      </c>
      <c r="X153" s="93">
        <v>264782110</v>
      </c>
      <c r="Y153" s="93">
        <v>273586660</v>
      </c>
      <c r="Z153" s="93">
        <v>271167550</v>
      </c>
      <c r="AA153" s="93">
        <v>283761760</v>
      </c>
      <c r="AB153" s="93">
        <f t="shared" si="63"/>
        <v>1093298080</v>
      </c>
      <c r="AC153" s="93">
        <v>283895460</v>
      </c>
      <c r="AD153" s="93">
        <v>289851260</v>
      </c>
      <c r="AE153" s="93">
        <v>289839420</v>
      </c>
      <c r="AF153" s="93">
        <v>301688810</v>
      </c>
      <c r="AG153" s="93">
        <f t="shared" si="64"/>
        <v>1165274950</v>
      </c>
      <c r="AH153" s="93">
        <v>294459510</v>
      </c>
      <c r="AI153" s="93">
        <v>297028410</v>
      </c>
      <c r="AJ153" s="93">
        <v>289993350</v>
      </c>
      <c r="AK153" s="93">
        <v>293001710</v>
      </c>
      <c r="AL153" s="93">
        <f t="shared" si="65"/>
        <v>1174482980</v>
      </c>
      <c r="AM153" s="93">
        <v>282680600</v>
      </c>
      <c r="AN153" s="93">
        <v>281202340</v>
      </c>
      <c r="AO153" s="93">
        <v>253047730</v>
      </c>
      <c r="AQ153" s="93"/>
      <c r="AR153" s="93"/>
    </row>
    <row r="154" spans="3:44" hidden="1" outlineLevel="2">
      <c r="C154" s="56" t="s">
        <v>373</v>
      </c>
      <c r="D154" s="93">
        <v>14927050</v>
      </c>
      <c r="E154" s="93">
        <v>13544630</v>
      </c>
      <c r="F154" s="93">
        <v>12719600</v>
      </c>
      <c r="G154" s="93">
        <v>12482630</v>
      </c>
      <c r="H154" s="93">
        <f t="shared" si="59"/>
        <v>53673910</v>
      </c>
      <c r="I154" s="93">
        <v>11589120</v>
      </c>
      <c r="J154" s="93">
        <v>10928610</v>
      </c>
      <c r="K154" s="93">
        <v>9373210</v>
      </c>
      <c r="L154" s="93">
        <v>7634840</v>
      </c>
      <c r="M154" s="93">
        <f t="shared" si="60"/>
        <v>39525780</v>
      </c>
      <c r="N154" s="93">
        <v>6636920</v>
      </c>
      <c r="O154" s="93">
        <v>6060530</v>
      </c>
      <c r="P154" s="93">
        <v>5394370</v>
      </c>
      <c r="Q154" s="93">
        <v>5134130</v>
      </c>
      <c r="R154" s="93">
        <f t="shared" si="61"/>
        <v>23225950</v>
      </c>
      <c r="S154" s="93">
        <v>4602190</v>
      </c>
      <c r="T154" s="93">
        <v>4214830</v>
      </c>
      <c r="U154" s="93">
        <v>3993310</v>
      </c>
      <c r="V154" s="93">
        <v>3787510</v>
      </c>
      <c r="W154" s="93">
        <f t="shared" si="62"/>
        <v>16597840</v>
      </c>
      <c r="X154" s="93">
        <v>3570440</v>
      </c>
      <c r="Y154" s="93">
        <v>3375290</v>
      </c>
      <c r="Z154" s="93">
        <v>3145650</v>
      </c>
      <c r="AA154" s="93">
        <v>3083870</v>
      </c>
      <c r="AB154" s="93">
        <f t="shared" si="63"/>
        <v>13175250</v>
      </c>
      <c r="AC154" s="93">
        <v>2916100</v>
      </c>
      <c r="AD154" s="93">
        <v>2578430</v>
      </c>
      <c r="AE154" s="93">
        <v>2419590</v>
      </c>
      <c r="AF154" s="93">
        <v>2325190</v>
      </c>
      <c r="AG154" s="93">
        <f t="shared" si="64"/>
        <v>10239310</v>
      </c>
      <c r="AH154" s="93">
        <v>2233400</v>
      </c>
      <c r="AI154" s="93">
        <v>1086680</v>
      </c>
      <c r="AJ154" s="93">
        <v>617840</v>
      </c>
      <c r="AK154" s="93">
        <v>489800</v>
      </c>
      <c r="AL154" s="93">
        <f t="shared" si="65"/>
        <v>4427720</v>
      </c>
      <c r="AM154" s="93">
        <v>394500</v>
      </c>
      <c r="AN154" s="93">
        <v>319830</v>
      </c>
      <c r="AO154" s="93">
        <v>194980</v>
      </c>
      <c r="AQ154" s="93"/>
      <c r="AR154" s="93"/>
    </row>
    <row r="155" spans="3:44" hidden="1" outlineLevel="2">
      <c r="C155" s="56" t="s">
        <v>374</v>
      </c>
      <c r="D155" s="93">
        <v>26187090</v>
      </c>
      <c r="E155" s="93">
        <v>24602580</v>
      </c>
      <c r="F155" s="93">
        <v>22786410</v>
      </c>
      <c r="G155" s="93">
        <v>21665290</v>
      </c>
      <c r="H155" s="93">
        <f t="shared" si="59"/>
        <v>95241370</v>
      </c>
      <c r="I155" s="93">
        <v>19430100</v>
      </c>
      <c r="J155" s="93">
        <v>17974350</v>
      </c>
      <c r="K155" s="93">
        <v>16218520</v>
      </c>
      <c r="L155" s="93">
        <v>14797380</v>
      </c>
      <c r="M155" s="93">
        <f t="shared" si="60"/>
        <v>68420350</v>
      </c>
      <c r="N155" s="93">
        <v>13128180</v>
      </c>
      <c r="O155" s="93">
        <v>12217220</v>
      </c>
      <c r="P155" s="93">
        <v>11395210</v>
      </c>
      <c r="Q155" s="93">
        <v>10539650</v>
      </c>
      <c r="R155" s="93">
        <f t="shared" si="61"/>
        <v>47280260</v>
      </c>
      <c r="S155" s="93">
        <v>9553090</v>
      </c>
      <c r="T155" s="93">
        <v>8857690</v>
      </c>
      <c r="U155" s="93">
        <v>8364930</v>
      </c>
      <c r="V155" s="93">
        <v>7807050</v>
      </c>
      <c r="W155" s="93">
        <f t="shared" si="62"/>
        <v>34582760</v>
      </c>
      <c r="X155" s="93">
        <v>7561060</v>
      </c>
      <c r="Y155" s="93">
        <v>6853290</v>
      </c>
      <c r="Z155" s="93">
        <v>6432390</v>
      </c>
      <c r="AA155" s="93">
        <v>6103020</v>
      </c>
      <c r="AB155" s="93">
        <f t="shared" si="63"/>
        <v>26949760</v>
      </c>
      <c r="AC155" s="93">
        <v>5524320</v>
      </c>
      <c r="AD155" s="93">
        <v>5098200</v>
      </c>
      <c r="AE155" s="93">
        <v>4689920</v>
      </c>
      <c r="AF155" s="93">
        <v>4394600</v>
      </c>
      <c r="AG155" s="93">
        <f t="shared" si="64"/>
        <v>19707040</v>
      </c>
      <c r="AH155" s="93">
        <v>4147480</v>
      </c>
      <c r="AI155" s="93">
        <v>3277340</v>
      </c>
      <c r="AJ155" s="93">
        <v>3343030</v>
      </c>
      <c r="AK155" s="93">
        <v>3050410</v>
      </c>
      <c r="AL155" s="93">
        <f t="shared" si="65"/>
        <v>13818260</v>
      </c>
      <c r="AM155" s="93">
        <v>2789030</v>
      </c>
      <c r="AN155" s="93">
        <v>2645800</v>
      </c>
      <c r="AO155" s="93">
        <v>2304890</v>
      </c>
      <c r="AQ155" s="93"/>
      <c r="AR155" s="93"/>
    </row>
    <row r="156" spans="3:44" hidden="1" outlineLevel="2">
      <c r="C156" s="56" t="s">
        <v>375</v>
      </c>
      <c r="D156" s="93">
        <v>781879095</v>
      </c>
      <c r="E156" s="93">
        <v>778292173</v>
      </c>
      <c r="F156" s="93">
        <v>755583951</v>
      </c>
      <c r="G156" s="93">
        <v>749896947</v>
      </c>
      <c r="H156" s="93">
        <f t="shared" si="59"/>
        <v>3065652166</v>
      </c>
      <c r="I156" s="93">
        <v>715203585</v>
      </c>
      <c r="J156" s="93">
        <v>693522036</v>
      </c>
      <c r="K156" s="93">
        <v>666457012</v>
      </c>
      <c r="L156" s="93">
        <v>658852626</v>
      </c>
      <c r="M156" s="93">
        <f t="shared" si="60"/>
        <v>2734035259</v>
      </c>
      <c r="N156" s="93">
        <v>642527485</v>
      </c>
      <c r="O156" s="93">
        <v>636469792</v>
      </c>
      <c r="P156" s="93">
        <v>620428863</v>
      </c>
      <c r="Q156" s="93">
        <v>607554620</v>
      </c>
      <c r="R156" s="93">
        <f t="shared" si="61"/>
        <v>2506980760</v>
      </c>
      <c r="S156" s="93">
        <v>597480552</v>
      </c>
      <c r="T156" s="93">
        <v>578800624</v>
      </c>
      <c r="U156" s="93">
        <v>561268406</v>
      </c>
      <c r="V156" s="93">
        <v>557355598</v>
      </c>
      <c r="W156" s="93">
        <f t="shared" si="62"/>
        <v>2294905180</v>
      </c>
      <c r="X156" s="93">
        <v>555152860</v>
      </c>
      <c r="Y156" s="93">
        <v>540545993</v>
      </c>
      <c r="Z156" s="93">
        <v>518391617</v>
      </c>
      <c r="AA156" s="93">
        <v>519381280</v>
      </c>
      <c r="AB156" s="93">
        <f t="shared" si="63"/>
        <v>2133471750</v>
      </c>
      <c r="AC156" s="93">
        <v>510315801</v>
      </c>
      <c r="AD156" s="93">
        <v>517676241</v>
      </c>
      <c r="AE156" s="93">
        <v>505527288</v>
      </c>
      <c r="AF156" s="93">
        <v>416251814</v>
      </c>
      <c r="AG156" s="93">
        <f t="shared" si="64"/>
        <v>1949771144</v>
      </c>
      <c r="AH156" s="93">
        <v>235678109</v>
      </c>
      <c r="AI156" s="93">
        <v>155522692</v>
      </c>
      <c r="AJ156" s="93">
        <v>58521591</v>
      </c>
      <c r="AK156" s="93">
        <v>48051432</v>
      </c>
      <c r="AL156" s="93">
        <f t="shared" si="65"/>
        <v>497773824</v>
      </c>
      <c r="AM156" s="93">
        <v>43975500</v>
      </c>
      <c r="AN156" s="93">
        <v>22644680</v>
      </c>
      <c r="AO156" s="93">
        <v>15355492</v>
      </c>
      <c r="AQ156" s="93"/>
      <c r="AR156" s="93"/>
    </row>
    <row r="157" spans="3:44" hidden="1" outlineLevel="2">
      <c r="C157" s="56" t="s">
        <v>376</v>
      </c>
      <c r="D157" s="93"/>
      <c r="E157" s="93"/>
      <c r="F157" s="93"/>
      <c r="G157" s="93"/>
      <c r="H157" s="93"/>
      <c r="I157" s="93"/>
      <c r="J157" s="93"/>
      <c r="K157" s="93"/>
      <c r="L157" s="93"/>
      <c r="M157" s="93"/>
      <c r="N157" s="93"/>
      <c r="O157" s="93"/>
      <c r="P157" s="93"/>
      <c r="Q157" s="93"/>
      <c r="R157" s="93"/>
      <c r="S157" s="93"/>
      <c r="T157" s="93"/>
      <c r="U157" s="93"/>
      <c r="V157" s="93"/>
      <c r="W157" s="93"/>
      <c r="X157" s="93"/>
      <c r="Y157" s="93"/>
      <c r="Z157" s="93"/>
      <c r="AA157" s="93"/>
      <c r="AB157" s="93"/>
      <c r="AC157" s="93"/>
      <c r="AD157" s="93"/>
      <c r="AE157" s="93"/>
      <c r="AF157" s="93"/>
      <c r="AG157" s="93"/>
      <c r="AH157" s="93"/>
      <c r="AI157" s="93"/>
      <c r="AJ157" s="93"/>
      <c r="AK157" s="93"/>
      <c r="AL157" s="93"/>
      <c r="AM157" s="93"/>
      <c r="AN157" s="93">
        <v>114690</v>
      </c>
      <c r="AO157" s="93">
        <v>522360</v>
      </c>
      <c r="AQ157" s="93"/>
      <c r="AR157" s="93"/>
    </row>
    <row r="158" spans="3:44" hidden="1" outlineLevel="2">
      <c r="C158" s="56" t="s">
        <v>377</v>
      </c>
      <c r="D158" s="93"/>
      <c r="E158" s="93"/>
      <c r="F158" s="93"/>
      <c r="G158" s="93"/>
      <c r="H158" s="93"/>
      <c r="I158" s="93"/>
      <c r="J158" s="93"/>
      <c r="K158" s="93"/>
      <c r="L158" s="93"/>
      <c r="M158" s="93"/>
      <c r="N158" s="93"/>
      <c r="O158" s="93"/>
      <c r="P158" s="93"/>
      <c r="Q158" s="93"/>
      <c r="R158" s="93"/>
      <c r="S158" s="93"/>
      <c r="T158" s="93"/>
      <c r="U158" s="93"/>
      <c r="V158" s="93"/>
      <c r="W158" s="93"/>
      <c r="X158" s="93"/>
      <c r="Y158" s="93">
        <v>306720</v>
      </c>
      <c r="Z158" s="93">
        <v>1208160</v>
      </c>
      <c r="AA158" s="93">
        <v>2736540</v>
      </c>
      <c r="AB158" s="93">
        <f>SUM(X158:AA158)</f>
        <v>4251420</v>
      </c>
      <c r="AC158" s="93">
        <v>3603060</v>
      </c>
      <c r="AD158" s="93">
        <v>4380480</v>
      </c>
      <c r="AE158" s="93">
        <v>5611140</v>
      </c>
      <c r="AF158" s="93">
        <v>6953760</v>
      </c>
      <c r="AG158" s="93">
        <f>SUM(AC158:AF158)</f>
        <v>20548440</v>
      </c>
      <c r="AH158" s="93">
        <v>7352010</v>
      </c>
      <c r="AI158" s="93">
        <v>7781580</v>
      </c>
      <c r="AJ158" s="93">
        <v>8165700</v>
      </c>
      <c r="AK158" s="93">
        <v>8652150</v>
      </c>
      <c r="AL158" s="93">
        <f>SUM(AH158:AK158)</f>
        <v>31951440</v>
      </c>
      <c r="AM158" s="93">
        <v>8434530</v>
      </c>
      <c r="AN158" s="93">
        <v>8414190</v>
      </c>
      <c r="AO158" s="93">
        <v>8174880</v>
      </c>
      <c r="AQ158" s="93"/>
      <c r="AR158" s="93"/>
    </row>
    <row r="159" spans="3:44" hidden="1" outlineLevel="2">
      <c r="C159" s="56" t="s">
        <v>378</v>
      </c>
      <c r="D159" s="93">
        <v>615240</v>
      </c>
      <c r="E159" s="93">
        <v>508600</v>
      </c>
      <c r="F159" s="93">
        <v>446800</v>
      </c>
      <c r="G159" s="93">
        <v>442540</v>
      </c>
      <c r="H159" s="93">
        <f t="shared" ref="H159:H173" si="66">SUM(D159:G159)</f>
        <v>2013180</v>
      </c>
      <c r="I159" s="93">
        <v>395220</v>
      </c>
      <c r="J159" s="93">
        <v>364560</v>
      </c>
      <c r="K159" s="93">
        <v>343220</v>
      </c>
      <c r="L159" s="93">
        <v>331940</v>
      </c>
      <c r="M159" s="93">
        <f t="shared" ref="M159:M165" si="67">SUM(I159:L159)</f>
        <v>1434940</v>
      </c>
      <c r="N159" s="93">
        <v>320380</v>
      </c>
      <c r="O159" s="93">
        <v>306360</v>
      </c>
      <c r="P159" s="93">
        <v>275580</v>
      </c>
      <c r="Q159" s="93">
        <v>265520</v>
      </c>
      <c r="R159" s="93">
        <f>SUM(N159:Q159)</f>
        <v>1167840</v>
      </c>
      <c r="S159" s="93">
        <v>243300</v>
      </c>
      <c r="T159" s="93">
        <v>224460</v>
      </c>
      <c r="U159" s="93">
        <v>212060</v>
      </c>
      <c r="V159" s="93">
        <v>158240</v>
      </c>
      <c r="W159" s="93">
        <f>SUM(S159:V159)</f>
        <v>838060</v>
      </c>
      <c r="X159" s="93">
        <v>89920</v>
      </c>
      <c r="Y159" s="93">
        <v>34000</v>
      </c>
      <c r="Z159" s="93">
        <v>85460</v>
      </c>
      <c r="AA159" s="93">
        <v>80340</v>
      </c>
      <c r="AB159" s="93">
        <f>SUM(X159:AA159)</f>
        <v>289720</v>
      </c>
      <c r="AC159" s="93">
        <v>86300</v>
      </c>
      <c r="AD159" s="93">
        <v>87340</v>
      </c>
      <c r="AE159" s="93">
        <v>74060</v>
      </c>
      <c r="AF159" s="93">
        <v>77380</v>
      </c>
      <c r="AG159" s="93">
        <f>SUM(AC159:AF159)</f>
        <v>325080</v>
      </c>
      <c r="AH159" s="93">
        <v>69600</v>
      </c>
      <c r="AI159" s="93">
        <v>69320</v>
      </c>
      <c r="AJ159" s="93">
        <v>62400</v>
      </c>
      <c r="AK159" s="93">
        <v>70420</v>
      </c>
      <c r="AL159" s="93">
        <f>SUM(AH159:AK159)</f>
        <v>271740</v>
      </c>
      <c r="AM159" s="93">
        <v>59200</v>
      </c>
      <c r="AN159" s="93">
        <v>55920</v>
      </c>
      <c r="AO159" s="93">
        <v>48240</v>
      </c>
      <c r="AQ159" s="93"/>
      <c r="AR159" s="93"/>
    </row>
    <row r="160" spans="3:44" hidden="1" outlineLevel="2">
      <c r="C160" s="56" t="s">
        <v>379</v>
      </c>
      <c r="D160" s="93">
        <v>510280</v>
      </c>
      <c r="E160" s="93">
        <v>416760</v>
      </c>
      <c r="F160" s="93">
        <v>388220</v>
      </c>
      <c r="G160" s="93">
        <v>393240</v>
      </c>
      <c r="H160" s="93">
        <f t="shared" si="66"/>
        <v>1708500</v>
      </c>
      <c r="I160" s="93">
        <v>357640</v>
      </c>
      <c r="J160" s="93">
        <v>297960</v>
      </c>
      <c r="K160" s="93">
        <v>298020</v>
      </c>
      <c r="L160" s="93">
        <v>285120</v>
      </c>
      <c r="M160" s="93">
        <f t="shared" si="67"/>
        <v>1238740</v>
      </c>
      <c r="N160" s="93">
        <v>290160</v>
      </c>
      <c r="O160" s="93">
        <v>250260</v>
      </c>
      <c r="P160" s="93">
        <v>204540</v>
      </c>
      <c r="Q160" s="93">
        <v>11220</v>
      </c>
      <c r="R160" s="93">
        <f>SUM(N160:Q160)</f>
        <v>756180</v>
      </c>
      <c r="S160" s="93">
        <v>45480</v>
      </c>
      <c r="T160" s="93">
        <v>55380</v>
      </c>
      <c r="U160" s="93">
        <v>59700</v>
      </c>
      <c r="V160" s="93">
        <v>58320</v>
      </c>
      <c r="W160" s="93">
        <f>SUM(S160:V160)</f>
        <v>218880</v>
      </c>
      <c r="X160" s="93">
        <v>64860</v>
      </c>
      <c r="Y160" s="93">
        <v>65370</v>
      </c>
      <c r="Z160" s="93">
        <v>57600</v>
      </c>
      <c r="AA160" s="93">
        <v>52020</v>
      </c>
      <c r="AB160" s="93">
        <f>SUM(X160:AA160)</f>
        <v>239850</v>
      </c>
      <c r="AC160" s="93">
        <v>50640</v>
      </c>
      <c r="AD160" s="93">
        <v>26040</v>
      </c>
      <c r="AE160" s="93">
        <v>12180</v>
      </c>
      <c r="AF160" s="93">
        <v>13620</v>
      </c>
      <c r="AG160" s="93">
        <f>SUM(AC160:AF160)</f>
        <v>102480</v>
      </c>
      <c r="AH160" s="93">
        <v>16980</v>
      </c>
      <c r="AI160" s="93">
        <v>19500</v>
      </c>
      <c r="AJ160" s="93">
        <v>17580</v>
      </c>
      <c r="AK160" s="93">
        <v>20280</v>
      </c>
      <c r="AL160" s="93">
        <f>SUM(AH160:AK160)</f>
        <v>74340</v>
      </c>
      <c r="AM160" s="93">
        <v>23880</v>
      </c>
      <c r="AN160" s="93">
        <v>9600</v>
      </c>
      <c r="AO160" s="93">
        <v>5760</v>
      </c>
      <c r="AQ160" s="93"/>
      <c r="AR160" s="93"/>
    </row>
    <row r="161" spans="3:44" hidden="1" outlineLevel="2">
      <c r="C161" s="56" t="s">
        <v>380</v>
      </c>
      <c r="D161" s="93">
        <v>107970490</v>
      </c>
      <c r="E161" s="93">
        <v>46015390</v>
      </c>
      <c r="F161" s="93">
        <v>20603190</v>
      </c>
      <c r="G161" s="93">
        <v>19009420</v>
      </c>
      <c r="H161" s="93">
        <f t="shared" si="66"/>
        <v>193598490</v>
      </c>
      <c r="I161" s="93">
        <v>15566130</v>
      </c>
      <c r="J161" s="93">
        <v>13047260</v>
      </c>
      <c r="K161" s="93">
        <v>5265860</v>
      </c>
      <c r="L161" s="93">
        <v>4372700</v>
      </c>
      <c r="M161" s="93">
        <f t="shared" si="67"/>
        <v>38251950</v>
      </c>
      <c r="N161" s="93">
        <v>3950260</v>
      </c>
      <c r="O161" s="93">
        <v>3870370</v>
      </c>
      <c r="P161" s="93">
        <v>2948020</v>
      </c>
      <c r="Q161" s="93">
        <v>2508560</v>
      </c>
      <c r="R161" s="93">
        <f>SUM(N161:Q161)</f>
        <v>13277210</v>
      </c>
      <c r="S161" s="93">
        <v>2218070</v>
      </c>
      <c r="T161" s="93">
        <v>1889350</v>
      </c>
      <c r="U161" s="93">
        <v>1889490</v>
      </c>
      <c r="V161" s="93">
        <v>2090100</v>
      </c>
      <c r="W161" s="93">
        <f>SUM(S161:V161)</f>
        <v>8087010</v>
      </c>
      <c r="X161" s="93">
        <v>2012760</v>
      </c>
      <c r="Y161" s="93">
        <v>1727820</v>
      </c>
      <c r="Z161" s="93">
        <v>1690650</v>
      </c>
      <c r="AA161" s="93">
        <v>3081330</v>
      </c>
      <c r="AB161" s="93">
        <f>SUM(X161:AA161)</f>
        <v>8512560</v>
      </c>
      <c r="AC161" s="93">
        <v>1578960</v>
      </c>
      <c r="AD161" s="93">
        <v>1836630</v>
      </c>
      <c r="AE161" s="93">
        <v>1908000</v>
      </c>
      <c r="AF161" s="93">
        <v>995310</v>
      </c>
      <c r="AG161" s="93">
        <f>SUM(AC161:AF161)</f>
        <v>6318900</v>
      </c>
      <c r="AH161" s="93">
        <v>884970</v>
      </c>
      <c r="AI161" s="93">
        <v>815040</v>
      </c>
      <c r="AJ161" s="93">
        <v>769950</v>
      </c>
      <c r="AK161" s="93">
        <v>736380</v>
      </c>
      <c r="AL161" s="93">
        <f>SUM(AH161:AK161)</f>
        <v>3206340</v>
      </c>
      <c r="AM161" s="93">
        <v>786240</v>
      </c>
      <c r="AN161" s="93">
        <v>696780</v>
      </c>
      <c r="AO161" s="93">
        <v>699750</v>
      </c>
      <c r="AQ161" s="93"/>
      <c r="AR161" s="93"/>
    </row>
    <row r="162" spans="3:44" hidden="1" outlineLevel="2">
      <c r="C162" s="56" t="s">
        <v>381</v>
      </c>
      <c r="D162" s="93">
        <v>522</v>
      </c>
      <c r="E162" s="93">
        <v>192</v>
      </c>
      <c r="F162" s="93">
        <v>60</v>
      </c>
      <c r="G162" s="93">
        <v>84</v>
      </c>
      <c r="H162" s="93">
        <f t="shared" si="66"/>
        <v>858</v>
      </c>
      <c r="I162" s="93">
        <v>18</v>
      </c>
      <c r="J162" s="93">
        <v>0</v>
      </c>
      <c r="K162" s="93">
        <v>0</v>
      </c>
      <c r="L162" s="93">
        <v>18</v>
      </c>
      <c r="M162" s="93">
        <f t="shared" si="67"/>
        <v>36</v>
      </c>
      <c r="N162" s="93"/>
      <c r="O162" s="93"/>
      <c r="P162" s="93"/>
      <c r="Q162" s="93"/>
      <c r="R162" s="93"/>
      <c r="S162" s="93"/>
      <c r="T162" s="93"/>
      <c r="U162" s="93"/>
      <c r="V162" s="93"/>
      <c r="W162" s="93"/>
      <c r="X162" s="93"/>
      <c r="Y162" s="93"/>
      <c r="Z162" s="93"/>
      <c r="AA162" s="93"/>
      <c r="AB162" s="93"/>
      <c r="AC162" s="93"/>
      <c r="AD162" s="93"/>
      <c r="AE162" s="93"/>
      <c r="AF162" s="93"/>
      <c r="AG162" s="93"/>
      <c r="AH162" s="93"/>
      <c r="AI162" s="93"/>
      <c r="AJ162" s="93"/>
      <c r="AK162" s="93"/>
      <c r="AL162" s="93"/>
      <c r="AM162" s="93"/>
      <c r="AN162" s="93"/>
      <c r="AO162" s="93"/>
      <c r="AQ162" s="93"/>
      <c r="AR162" s="93"/>
    </row>
    <row r="163" spans="3:44" hidden="1" outlineLevel="2">
      <c r="C163" s="56" t="s">
        <v>382</v>
      </c>
      <c r="D163" s="93">
        <v>3642192</v>
      </c>
      <c r="E163" s="93">
        <v>2782782</v>
      </c>
      <c r="F163" s="93">
        <v>2101248</v>
      </c>
      <c r="G163" s="93">
        <v>2278368</v>
      </c>
      <c r="H163" s="93">
        <f t="shared" si="66"/>
        <v>10804590</v>
      </c>
      <c r="I163" s="93">
        <v>1751328</v>
      </c>
      <c r="J163" s="93">
        <v>1792962</v>
      </c>
      <c r="K163" s="93">
        <v>1978668</v>
      </c>
      <c r="L163" s="93">
        <v>1360806</v>
      </c>
      <c r="M163" s="93">
        <f t="shared" si="67"/>
        <v>6883764</v>
      </c>
      <c r="N163" s="93">
        <v>1437216</v>
      </c>
      <c r="O163" s="93">
        <v>1449138</v>
      </c>
      <c r="P163" s="93">
        <v>1731288</v>
      </c>
      <c r="Q163" s="93">
        <v>1716078</v>
      </c>
      <c r="R163" s="93">
        <f t="shared" ref="R163:R174" si="68">SUM(N163:Q163)</f>
        <v>6333720</v>
      </c>
      <c r="S163" s="93">
        <v>1701822</v>
      </c>
      <c r="T163" s="93">
        <v>1843536</v>
      </c>
      <c r="U163" s="93">
        <v>1909152</v>
      </c>
      <c r="V163" s="93">
        <v>1802304</v>
      </c>
      <c r="W163" s="93">
        <f t="shared" ref="W163:W181" si="69">SUM(S163:V163)</f>
        <v>7256814</v>
      </c>
      <c r="X163" s="93">
        <v>1557450</v>
      </c>
      <c r="Y163" s="93">
        <v>1572066</v>
      </c>
      <c r="Z163" s="93">
        <v>1457730</v>
      </c>
      <c r="AA163" s="93">
        <v>1572414</v>
      </c>
      <c r="AB163" s="93">
        <f t="shared" ref="AB163:AB181" si="70">SUM(X163:AA163)</f>
        <v>6159660</v>
      </c>
      <c r="AC163" s="93">
        <v>1776306</v>
      </c>
      <c r="AD163" s="93">
        <v>1633056</v>
      </c>
      <c r="AE163" s="93">
        <v>1783134</v>
      </c>
      <c r="AF163" s="93">
        <v>1049154</v>
      </c>
      <c r="AG163" s="93">
        <f t="shared" ref="AG163:AG187" si="71">SUM(AC163:AF163)</f>
        <v>6241650</v>
      </c>
      <c r="AH163" s="93">
        <v>835974</v>
      </c>
      <c r="AI163" s="93">
        <v>552072</v>
      </c>
      <c r="AJ163" s="93">
        <v>593214</v>
      </c>
      <c r="AK163" s="93">
        <v>589920</v>
      </c>
      <c r="AL163" s="93">
        <f t="shared" ref="AL163:AL187" si="72">SUM(AH163:AK163)</f>
        <v>2571180</v>
      </c>
      <c r="AM163" s="93">
        <v>468750</v>
      </c>
      <c r="AN163" s="93">
        <v>407808</v>
      </c>
      <c r="AO163" s="93">
        <v>413934</v>
      </c>
      <c r="AQ163" s="93"/>
      <c r="AR163" s="93"/>
    </row>
    <row r="164" spans="3:44" hidden="1" outlineLevel="2">
      <c r="C164" s="56" t="s">
        <v>383</v>
      </c>
      <c r="D164" s="93">
        <v>1117340</v>
      </c>
      <c r="E164" s="93">
        <v>1024286</v>
      </c>
      <c r="F164" s="93">
        <v>936800</v>
      </c>
      <c r="G164" s="93">
        <v>851518</v>
      </c>
      <c r="H164" s="93">
        <f t="shared" si="66"/>
        <v>3929944</v>
      </c>
      <c r="I164" s="93">
        <v>685986</v>
      </c>
      <c r="J164" s="93">
        <v>636280</v>
      </c>
      <c r="K164" s="93">
        <v>483038</v>
      </c>
      <c r="L164" s="93">
        <v>318054</v>
      </c>
      <c r="M164" s="93">
        <f t="shared" si="67"/>
        <v>2123358</v>
      </c>
      <c r="N164" s="93">
        <v>296362</v>
      </c>
      <c r="O164" s="93">
        <v>284832</v>
      </c>
      <c r="P164" s="93">
        <v>276598</v>
      </c>
      <c r="Q164" s="93">
        <v>228972</v>
      </c>
      <c r="R164" s="93">
        <f t="shared" si="68"/>
        <v>1086764</v>
      </c>
      <c r="S164" s="93">
        <v>249084</v>
      </c>
      <c r="T164" s="93">
        <v>216434</v>
      </c>
      <c r="U164" s="93">
        <v>198094</v>
      </c>
      <c r="V164" s="93">
        <v>207812</v>
      </c>
      <c r="W164" s="93">
        <f t="shared" si="69"/>
        <v>871424</v>
      </c>
      <c r="X164" s="93">
        <v>184434</v>
      </c>
      <c r="Y164" s="93">
        <v>164276</v>
      </c>
      <c r="Z164" s="93">
        <v>159530</v>
      </c>
      <c r="AA164" s="93">
        <v>126832</v>
      </c>
      <c r="AB164" s="93">
        <f t="shared" si="70"/>
        <v>635072</v>
      </c>
      <c r="AC164" s="93">
        <v>139722</v>
      </c>
      <c r="AD164" s="93">
        <v>150228</v>
      </c>
      <c r="AE164" s="93">
        <v>114488</v>
      </c>
      <c r="AF164" s="93">
        <v>107804</v>
      </c>
      <c r="AG164" s="93">
        <f t="shared" si="71"/>
        <v>512242</v>
      </c>
      <c r="AH164" s="93">
        <v>94668</v>
      </c>
      <c r="AI164" s="93">
        <v>141650</v>
      </c>
      <c r="AJ164" s="93">
        <v>156896</v>
      </c>
      <c r="AK164" s="93">
        <v>97950</v>
      </c>
      <c r="AL164" s="93">
        <f t="shared" si="72"/>
        <v>491164</v>
      </c>
      <c r="AM164" s="93">
        <v>74644</v>
      </c>
      <c r="AN164" s="93">
        <v>70220</v>
      </c>
      <c r="AO164" s="93">
        <v>69902</v>
      </c>
      <c r="AQ164" s="93"/>
      <c r="AR164" s="93"/>
    </row>
    <row r="165" spans="3:44" hidden="1" outlineLevel="2">
      <c r="C165" s="56" t="s">
        <v>384</v>
      </c>
      <c r="D165" s="93">
        <v>112757420</v>
      </c>
      <c r="E165" s="93">
        <v>117072690</v>
      </c>
      <c r="F165" s="93">
        <v>120523640</v>
      </c>
      <c r="G165" s="93">
        <v>125424200</v>
      </c>
      <c r="H165" s="93">
        <f t="shared" si="66"/>
        <v>475777950</v>
      </c>
      <c r="I165" s="93">
        <v>126801190</v>
      </c>
      <c r="J165" s="93">
        <v>130011310</v>
      </c>
      <c r="K165" s="93">
        <v>130592760</v>
      </c>
      <c r="L165" s="93">
        <v>131975370</v>
      </c>
      <c r="M165" s="93">
        <f t="shared" si="67"/>
        <v>519380630</v>
      </c>
      <c r="N165" s="93">
        <v>133663690</v>
      </c>
      <c r="O165" s="93">
        <v>136416810</v>
      </c>
      <c r="P165" s="93">
        <v>136448120</v>
      </c>
      <c r="Q165" s="93">
        <v>135121260</v>
      </c>
      <c r="R165" s="93">
        <f t="shared" si="68"/>
        <v>541649880</v>
      </c>
      <c r="S165" s="93">
        <v>137953870</v>
      </c>
      <c r="T165" s="93">
        <v>133100000</v>
      </c>
      <c r="U165" s="93">
        <v>124428700</v>
      </c>
      <c r="V165" s="93">
        <v>118489080</v>
      </c>
      <c r="W165" s="93">
        <f t="shared" si="69"/>
        <v>513971650</v>
      </c>
      <c r="X165" s="93">
        <v>115917930</v>
      </c>
      <c r="Y165" s="93">
        <v>108602590</v>
      </c>
      <c r="Z165" s="93">
        <v>102266510</v>
      </c>
      <c r="AA165" s="93">
        <v>99756400</v>
      </c>
      <c r="AB165" s="93">
        <f t="shared" si="70"/>
        <v>426543430</v>
      </c>
      <c r="AC165" s="93">
        <v>97891210</v>
      </c>
      <c r="AD165" s="93">
        <v>95689690</v>
      </c>
      <c r="AE165" s="93">
        <v>92074610</v>
      </c>
      <c r="AF165" s="93">
        <v>90001280</v>
      </c>
      <c r="AG165" s="93">
        <f t="shared" si="71"/>
        <v>375656790</v>
      </c>
      <c r="AH165" s="93">
        <v>84286300</v>
      </c>
      <c r="AI165" s="93">
        <v>77461160</v>
      </c>
      <c r="AJ165" s="93">
        <v>76659340</v>
      </c>
      <c r="AK165" s="93">
        <v>45388670</v>
      </c>
      <c r="AL165" s="93">
        <f t="shared" si="72"/>
        <v>283795470</v>
      </c>
      <c r="AM165" s="93">
        <v>17784780</v>
      </c>
      <c r="AN165" s="93">
        <v>18243180</v>
      </c>
      <c r="AO165" s="93">
        <v>14172750</v>
      </c>
      <c r="AQ165" s="93"/>
      <c r="AR165" s="93"/>
    </row>
    <row r="166" spans="3:44" hidden="1" outlineLevel="2">
      <c r="C166" s="56" t="s">
        <v>385</v>
      </c>
      <c r="D166" s="93"/>
      <c r="E166" s="93"/>
      <c r="F166" s="93"/>
      <c r="G166" s="93"/>
      <c r="H166" s="93">
        <f t="shared" si="66"/>
        <v>0</v>
      </c>
      <c r="I166" s="93"/>
      <c r="J166" s="93"/>
      <c r="K166" s="93"/>
      <c r="L166" s="93"/>
      <c r="M166" s="93"/>
      <c r="N166" s="93"/>
      <c r="O166" s="93"/>
      <c r="P166" s="93"/>
      <c r="Q166" s="93">
        <v>1256400</v>
      </c>
      <c r="R166" s="93">
        <f t="shared" si="68"/>
        <v>1256400</v>
      </c>
      <c r="S166" s="93">
        <v>9911070</v>
      </c>
      <c r="T166" s="93">
        <v>13001760</v>
      </c>
      <c r="U166" s="93">
        <v>22738410</v>
      </c>
      <c r="V166" s="93">
        <v>30972780</v>
      </c>
      <c r="W166" s="93">
        <f t="shared" si="69"/>
        <v>76624020</v>
      </c>
      <c r="X166" s="93">
        <v>37477440</v>
      </c>
      <c r="Y166" s="93">
        <v>40195440</v>
      </c>
      <c r="Z166" s="93">
        <v>39038310</v>
      </c>
      <c r="AA166" s="93">
        <v>38737260</v>
      </c>
      <c r="AB166" s="93">
        <f t="shared" si="70"/>
        <v>155448450</v>
      </c>
      <c r="AC166" s="93">
        <v>38611710</v>
      </c>
      <c r="AD166" s="93">
        <v>38643030</v>
      </c>
      <c r="AE166" s="93">
        <v>36621090</v>
      </c>
      <c r="AF166" s="93">
        <v>36217080</v>
      </c>
      <c r="AG166" s="93">
        <f t="shared" si="71"/>
        <v>150092910</v>
      </c>
      <c r="AH166" s="93">
        <v>33915240</v>
      </c>
      <c r="AI166" s="93">
        <v>31838400</v>
      </c>
      <c r="AJ166" s="93">
        <v>31695840</v>
      </c>
      <c r="AK166" s="93">
        <v>31348170</v>
      </c>
      <c r="AL166" s="93">
        <f t="shared" si="72"/>
        <v>128797650</v>
      </c>
      <c r="AM166" s="93">
        <v>28947510</v>
      </c>
      <c r="AN166" s="93">
        <v>27651960</v>
      </c>
      <c r="AO166" s="93">
        <v>9496530</v>
      </c>
      <c r="AQ166" s="93"/>
      <c r="AR166" s="93"/>
    </row>
    <row r="167" spans="3:44" hidden="1" outlineLevel="2">
      <c r="C167" s="56" t="s">
        <v>386</v>
      </c>
      <c r="D167" s="93">
        <v>160674700</v>
      </c>
      <c r="E167" s="93">
        <v>180074830</v>
      </c>
      <c r="F167" s="93">
        <v>193921960</v>
      </c>
      <c r="G167" s="93">
        <v>208181060</v>
      </c>
      <c r="H167" s="93">
        <f t="shared" si="66"/>
        <v>742852550</v>
      </c>
      <c r="I167" s="93">
        <v>223770930</v>
      </c>
      <c r="J167" s="93">
        <v>235813880</v>
      </c>
      <c r="K167" s="93">
        <v>242615300</v>
      </c>
      <c r="L167" s="93">
        <v>248012680</v>
      </c>
      <c r="M167" s="93">
        <f t="shared" ref="M167:M173" si="73">SUM(I167:L167)</f>
        <v>950212790</v>
      </c>
      <c r="N167" s="93">
        <v>222919080</v>
      </c>
      <c r="O167" s="93">
        <v>184854090</v>
      </c>
      <c r="P167" s="93">
        <v>171621980</v>
      </c>
      <c r="Q167" s="93">
        <v>149099900</v>
      </c>
      <c r="R167" s="93">
        <f t="shared" si="68"/>
        <v>728495050</v>
      </c>
      <c r="S167" s="93">
        <v>138758930</v>
      </c>
      <c r="T167" s="93">
        <v>130047200</v>
      </c>
      <c r="U167" s="93">
        <v>124901540</v>
      </c>
      <c r="V167" s="93">
        <v>117652180</v>
      </c>
      <c r="W167" s="93">
        <f t="shared" si="69"/>
        <v>511359850</v>
      </c>
      <c r="X167" s="93">
        <v>114229480</v>
      </c>
      <c r="Y167" s="93">
        <v>106401110</v>
      </c>
      <c r="Z167" s="93">
        <v>99738140</v>
      </c>
      <c r="AA167" s="93">
        <v>95735280</v>
      </c>
      <c r="AB167" s="93">
        <f t="shared" si="70"/>
        <v>416104010</v>
      </c>
      <c r="AC167" s="93">
        <v>91048190</v>
      </c>
      <c r="AD167" s="93">
        <v>83758150</v>
      </c>
      <c r="AE167" s="93">
        <v>76928730</v>
      </c>
      <c r="AF167" s="93">
        <v>70419710</v>
      </c>
      <c r="AG167" s="93">
        <f t="shared" si="71"/>
        <v>322154780</v>
      </c>
      <c r="AH167" s="93">
        <v>66701390</v>
      </c>
      <c r="AI167" s="93">
        <v>61812620</v>
      </c>
      <c r="AJ167" s="93">
        <v>58599440</v>
      </c>
      <c r="AK167" s="93">
        <v>54428460</v>
      </c>
      <c r="AL167" s="93">
        <f t="shared" si="72"/>
        <v>241541910</v>
      </c>
      <c r="AM167" s="93">
        <v>52081820</v>
      </c>
      <c r="AN167" s="93">
        <v>48965790</v>
      </c>
      <c r="AO167" s="93">
        <v>44864530</v>
      </c>
      <c r="AQ167" s="93"/>
      <c r="AR167" s="93"/>
    </row>
    <row r="168" spans="3:44" hidden="1" outlineLevel="2">
      <c r="C168" s="56" t="s">
        <v>387</v>
      </c>
      <c r="D168" s="93">
        <v>50366670</v>
      </c>
      <c r="E168" s="93">
        <v>52239066</v>
      </c>
      <c r="F168" s="93">
        <v>52513540</v>
      </c>
      <c r="G168" s="93">
        <v>55448400</v>
      </c>
      <c r="H168" s="93">
        <f t="shared" si="66"/>
        <v>210567676</v>
      </c>
      <c r="I168" s="93">
        <v>56288150</v>
      </c>
      <c r="J168" s="93">
        <v>58476780</v>
      </c>
      <c r="K168" s="93">
        <v>60072380</v>
      </c>
      <c r="L168" s="93">
        <v>61420100</v>
      </c>
      <c r="M168" s="93">
        <f t="shared" si="73"/>
        <v>236257410</v>
      </c>
      <c r="N168" s="93">
        <v>65162660</v>
      </c>
      <c r="O168" s="93">
        <v>70435010</v>
      </c>
      <c r="P168" s="93">
        <v>72520490</v>
      </c>
      <c r="Q168" s="93">
        <v>73890420</v>
      </c>
      <c r="R168" s="93">
        <f t="shared" si="68"/>
        <v>282008580</v>
      </c>
      <c r="S168" s="93">
        <v>79403460</v>
      </c>
      <c r="T168" s="93">
        <v>79536290</v>
      </c>
      <c r="U168" s="93">
        <v>79773340</v>
      </c>
      <c r="V168" s="93">
        <v>81369310</v>
      </c>
      <c r="W168" s="93">
        <f t="shared" si="69"/>
        <v>320082400</v>
      </c>
      <c r="X168" s="93">
        <v>86746770</v>
      </c>
      <c r="Y168" s="93">
        <v>83963830</v>
      </c>
      <c r="Z168" s="93">
        <v>84893310</v>
      </c>
      <c r="AA168" s="93">
        <v>85525710</v>
      </c>
      <c r="AB168" s="93">
        <f t="shared" si="70"/>
        <v>341129620</v>
      </c>
      <c r="AC168" s="93">
        <v>85346900</v>
      </c>
      <c r="AD168" s="93">
        <v>83874070</v>
      </c>
      <c r="AE168" s="93">
        <v>82690930</v>
      </c>
      <c r="AF168" s="93">
        <v>82811860</v>
      </c>
      <c r="AG168" s="93">
        <f t="shared" si="71"/>
        <v>334723760</v>
      </c>
      <c r="AH168" s="93">
        <v>85432220</v>
      </c>
      <c r="AI168" s="93">
        <v>83212320</v>
      </c>
      <c r="AJ168" s="93">
        <v>84308990</v>
      </c>
      <c r="AK168" s="93">
        <v>84349020</v>
      </c>
      <c r="AL168" s="93">
        <f t="shared" si="72"/>
        <v>337302550</v>
      </c>
      <c r="AM168" s="93">
        <v>85277120</v>
      </c>
      <c r="AN168" s="93">
        <v>83016670</v>
      </c>
      <c r="AO168" s="93">
        <v>78924780</v>
      </c>
      <c r="AQ168" s="93"/>
      <c r="AR168" s="93"/>
    </row>
    <row r="169" spans="3:44" hidden="1" outlineLevel="2">
      <c r="C169" s="56" t="s">
        <v>388</v>
      </c>
      <c r="D169" s="93">
        <v>149437640</v>
      </c>
      <c r="E169" s="93">
        <v>156539641</v>
      </c>
      <c r="F169" s="93">
        <v>163506102</v>
      </c>
      <c r="G169" s="93">
        <v>170859790</v>
      </c>
      <c r="H169" s="93">
        <f t="shared" si="66"/>
        <v>640343173</v>
      </c>
      <c r="I169" s="93">
        <v>179338610</v>
      </c>
      <c r="J169" s="93">
        <v>184746710</v>
      </c>
      <c r="K169" s="93">
        <v>188229050</v>
      </c>
      <c r="L169" s="93">
        <v>190739250</v>
      </c>
      <c r="M169" s="93">
        <f t="shared" si="73"/>
        <v>743053620</v>
      </c>
      <c r="N169" s="93">
        <v>172094070</v>
      </c>
      <c r="O169" s="93">
        <v>146107910</v>
      </c>
      <c r="P169" s="93">
        <v>140339520</v>
      </c>
      <c r="Q169" s="93">
        <v>129044120</v>
      </c>
      <c r="R169" s="93">
        <f t="shared" si="68"/>
        <v>587585620</v>
      </c>
      <c r="S169" s="93">
        <v>126635340</v>
      </c>
      <c r="T169" s="93">
        <v>124013050</v>
      </c>
      <c r="U169" s="93">
        <v>122253690</v>
      </c>
      <c r="V169" s="93">
        <v>116712210</v>
      </c>
      <c r="W169" s="93">
        <f t="shared" si="69"/>
        <v>489614290</v>
      </c>
      <c r="X169" s="93">
        <v>118349810</v>
      </c>
      <c r="Y169" s="93">
        <v>112599770</v>
      </c>
      <c r="Z169" s="93">
        <v>108571640</v>
      </c>
      <c r="AA169" s="93">
        <v>108507950</v>
      </c>
      <c r="AB169" s="93">
        <f t="shared" si="70"/>
        <v>448029170</v>
      </c>
      <c r="AC169" s="93">
        <v>109043860</v>
      </c>
      <c r="AD169" s="93">
        <v>105570530</v>
      </c>
      <c r="AE169" s="93">
        <v>103259160</v>
      </c>
      <c r="AF169" s="93">
        <v>101829770</v>
      </c>
      <c r="AG169" s="93">
        <f t="shared" si="71"/>
        <v>419703320</v>
      </c>
      <c r="AH169" s="93">
        <v>103081110</v>
      </c>
      <c r="AI169" s="93">
        <v>100088160</v>
      </c>
      <c r="AJ169" s="93">
        <v>99275430</v>
      </c>
      <c r="AK169" s="93">
        <v>100606720</v>
      </c>
      <c r="AL169" s="93">
        <f t="shared" si="72"/>
        <v>403051420</v>
      </c>
      <c r="AM169" s="93">
        <v>99531050</v>
      </c>
      <c r="AN169" s="93">
        <v>98338394</v>
      </c>
      <c r="AO169" s="93">
        <v>93394240</v>
      </c>
      <c r="AQ169" s="93"/>
      <c r="AR169" s="93"/>
    </row>
    <row r="170" spans="3:44" hidden="1" outlineLevel="2">
      <c r="C170" s="56" t="s">
        <v>389</v>
      </c>
      <c r="D170" s="93">
        <v>420350930</v>
      </c>
      <c r="E170" s="93">
        <v>406194580</v>
      </c>
      <c r="F170" s="93">
        <v>215620910</v>
      </c>
      <c r="G170" s="93">
        <v>187469000</v>
      </c>
      <c r="H170" s="93">
        <f t="shared" si="66"/>
        <v>1229635420</v>
      </c>
      <c r="I170" s="93">
        <v>71159010</v>
      </c>
      <c r="J170" s="93">
        <v>11143050</v>
      </c>
      <c r="K170" s="93">
        <v>14476250</v>
      </c>
      <c r="L170" s="93">
        <v>15811440</v>
      </c>
      <c r="M170" s="93">
        <f t="shared" si="73"/>
        <v>112589750</v>
      </c>
      <c r="N170" s="93">
        <v>13044840</v>
      </c>
      <c r="O170" s="93">
        <v>8911290</v>
      </c>
      <c r="P170" s="93">
        <v>5809460</v>
      </c>
      <c r="Q170" s="93">
        <v>4890480</v>
      </c>
      <c r="R170" s="93">
        <f t="shared" si="68"/>
        <v>32656070</v>
      </c>
      <c r="S170" s="93">
        <v>3773840</v>
      </c>
      <c r="T170" s="93">
        <v>3327490</v>
      </c>
      <c r="U170" s="93">
        <v>3171460</v>
      </c>
      <c r="V170" s="93">
        <v>3000690</v>
      </c>
      <c r="W170" s="93">
        <f t="shared" si="69"/>
        <v>13273480</v>
      </c>
      <c r="X170" s="93">
        <v>3042810</v>
      </c>
      <c r="Y170" s="93">
        <v>2900740</v>
      </c>
      <c r="Z170" s="93">
        <v>2799930</v>
      </c>
      <c r="AA170" s="93">
        <v>3133850</v>
      </c>
      <c r="AB170" s="93">
        <f t="shared" si="70"/>
        <v>11877330</v>
      </c>
      <c r="AC170" s="93">
        <v>2486320</v>
      </c>
      <c r="AD170" s="93">
        <v>2389810</v>
      </c>
      <c r="AE170" s="93">
        <v>2104530</v>
      </c>
      <c r="AF170" s="93">
        <v>1822080</v>
      </c>
      <c r="AG170" s="93">
        <f t="shared" si="71"/>
        <v>8802740</v>
      </c>
      <c r="AH170" s="93">
        <v>1793520</v>
      </c>
      <c r="AI170" s="93">
        <v>1646850</v>
      </c>
      <c r="AJ170" s="93">
        <v>1563720</v>
      </c>
      <c r="AK170" s="93">
        <v>1518390</v>
      </c>
      <c r="AL170" s="93">
        <f t="shared" si="72"/>
        <v>6522480</v>
      </c>
      <c r="AM170" s="93">
        <v>1447920</v>
      </c>
      <c r="AN170" s="93">
        <v>1391850</v>
      </c>
      <c r="AO170" s="93">
        <v>1339950</v>
      </c>
      <c r="AQ170" s="93"/>
      <c r="AR170" s="93"/>
    </row>
    <row r="171" spans="3:44" hidden="1" outlineLevel="1" collapsed="1">
      <c r="C171" s="123" t="s">
        <v>390</v>
      </c>
      <c r="D171" s="93">
        <f>SUM(D172:D180)</f>
        <v>17420835</v>
      </c>
      <c r="E171" s="93">
        <f>SUM(E172:E180)</f>
        <v>16900647</v>
      </c>
      <c r="F171" s="93">
        <f>SUM(F172:F180)</f>
        <v>16545406</v>
      </c>
      <c r="G171" s="93">
        <f>SUM(G172:G180)</f>
        <v>16913289</v>
      </c>
      <c r="H171" s="93">
        <f t="shared" si="66"/>
        <v>67780177</v>
      </c>
      <c r="I171" s="93">
        <f>SUM(I172:I180)</f>
        <v>16289303</v>
      </c>
      <c r="J171" s="93">
        <f>SUM(J172:J180)</f>
        <v>16593077</v>
      </c>
      <c r="K171" s="93">
        <f>SUM(K172:K180)</f>
        <v>17741910</v>
      </c>
      <c r="L171" s="93">
        <f>SUM(L172:L180)</f>
        <v>19448173</v>
      </c>
      <c r="M171" s="93">
        <f t="shared" si="73"/>
        <v>70072463</v>
      </c>
      <c r="N171" s="93">
        <f>SUM(N172:N180)</f>
        <v>25203162</v>
      </c>
      <c r="O171" s="93">
        <f>SUM(O172:O180)</f>
        <v>26398576</v>
      </c>
      <c r="P171" s="93">
        <f>SUM(P172:P180)</f>
        <v>28992429</v>
      </c>
      <c r="Q171" s="93">
        <f>SUM(Q172:Q180)</f>
        <v>30685773</v>
      </c>
      <c r="R171" s="93">
        <f t="shared" si="68"/>
        <v>111279940</v>
      </c>
      <c r="S171" s="93">
        <f>SUM(S172:S180)</f>
        <v>33637353</v>
      </c>
      <c r="T171" s="93">
        <f>SUM(T172:T180)</f>
        <v>33755708</v>
      </c>
      <c r="U171" s="93">
        <f>SUM(U172:U180)</f>
        <v>33531352</v>
      </c>
      <c r="V171" s="93">
        <f>SUM(V172:V180)</f>
        <v>32837866</v>
      </c>
      <c r="W171" s="93">
        <f t="shared" si="69"/>
        <v>133762279</v>
      </c>
      <c r="X171" s="93">
        <f>SUM(X172:X180)</f>
        <v>35616164</v>
      </c>
      <c r="Y171" s="93">
        <f>SUM(Y172:Y180)</f>
        <v>36295523</v>
      </c>
      <c r="Z171" s="93">
        <f>SUM(Z172:Z180)</f>
        <v>35179086</v>
      </c>
      <c r="AA171" s="93">
        <f>SUM(AA172:AA180)</f>
        <v>33228358</v>
      </c>
      <c r="AB171" s="93">
        <f t="shared" si="70"/>
        <v>140319131</v>
      </c>
      <c r="AC171" s="93">
        <f>SUM(AC172:AC180)</f>
        <v>33077793</v>
      </c>
      <c r="AD171" s="93">
        <f>SUM(AD172:AD180)</f>
        <v>31895787</v>
      </c>
      <c r="AE171" s="93">
        <f>SUM(AE172:AE180)</f>
        <v>28925192</v>
      </c>
      <c r="AF171" s="93">
        <f>SUM(AF172:AF180)</f>
        <v>28521926</v>
      </c>
      <c r="AG171" s="93">
        <f t="shared" si="71"/>
        <v>122420698</v>
      </c>
      <c r="AH171" s="93">
        <f>SUM(AH172:AH180)</f>
        <v>27772143</v>
      </c>
      <c r="AI171" s="93">
        <f>SUM(AI172:AI180)</f>
        <v>26646490</v>
      </c>
      <c r="AJ171" s="93">
        <f>SUM(AJ172:AJ180)</f>
        <v>25911468</v>
      </c>
      <c r="AK171" s="93">
        <f>SUM(AK172:AK180)</f>
        <v>25688413</v>
      </c>
      <c r="AL171" s="93">
        <f t="shared" si="72"/>
        <v>106018514</v>
      </c>
      <c r="AM171" s="93">
        <f>SUM(AM172:AM180)</f>
        <v>24486424</v>
      </c>
      <c r="AN171" s="93">
        <f>SUM(AN172:AN180)</f>
        <v>21672595</v>
      </c>
      <c r="AO171" s="93">
        <f>SUM(AO172:AO180)</f>
        <v>17526786</v>
      </c>
      <c r="AQ171" s="93"/>
      <c r="AR171" s="93"/>
    </row>
    <row r="172" spans="3:44" hidden="1" outlineLevel="2">
      <c r="C172" s="56" t="s">
        <v>391</v>
      </c>
      <c r="D172" s="93">
        <v>5296410</v>
      </c>
      <c r="E172" s="93">
        <v>4515540</v>
      </c>
      <c r="F172" s="93">
        <v>4144080</v>
      </c>
      <c r="G172" s="93">
        <v>3962520</v>
      </c>
      <c r="H172" s="93">
        <f t="shared" si="66"/>
        <v>17918550</v>
      </c>
      <c r="I172" s="93">
        <v>3576540</v>
      </c>
      <c r="J172" s="93">
        <v>3365850</v>
      </c>
      <c r="K172" s="93">
        <v>3009510</v>
      </c>
      <c r="L172" s="93">
        <v>2554710</v>
      </c>
      <c r="M172" s="93">
        <f t="shared" si="73"/>
        <v>12506610</v>
      </c>
      <c r="N172" s="93">
        <v>2005350</v>
      </c>
      <c r="O172" s="93">
        <v>1688400</v>
      </c>
      <c r="P172" s="93">
        <v>1549770</v>
      </c>
      <c r="Q172" s="93">
        <v>1393380</v>
      </c>
      <c r="R172" s="93">
        <f t="shared" si="68"/>
        <v>6636900</v>
      </c>
      <c r="S172" s="93">
        <v>1275480</v>
      </c>
      <c r="T172" s="93">
        <v>1140120</v>
      </c>
      <c r="U172" s="93">
        <v>1060350</v>
      </c>
      <c r="V172" s="93">
        <v>971580</v>
      </c>
      <c r="W172" s="93">
        <f t="shared" si="69"/>
        <v>4447530</v>
      </c>
      <c r="X172" s="93">
        <v>901590</v>
      </c>
      <c r="Y172" s="93">
        <v>813150</v>
      </c>
      <c r="Z172" s="93">
        <v>748350</v>
      </c>
      <c r="AA172" s="93">
        <v>702780</v>
      </c>
      <c r="AB172" s="93">
        <f t="shared" si="70"/>
        <v>3165870</v>
      </c>
      <c r="AC172" s="93">
        <v>656910</v>
      </c>
      <c r="AD172" s="93">
        <v>582060</v>
      </c>
      <c r="AE172" s="93">
        <v>523920</v>
      </c>
      <c r="AF172" s="93">
        <v>502200</v>
      </c>
      <c r="AG172" s="93">
        <f t="shared" si="71"/>
        <v>2265090</v>
      </c>
      <c r="AH172" s="93">
        <v>462390</v>
      </c>
      <c r="AI172" s="93">
        <v>402690</v>
      </c>
      <c r="AJ172" s="93">
        <v>375810</v>
      </c>
      <c r="AK172" s="93">
        <v>363420</v>
      </c>
      <c r="AL172" s="93">
        <f t="shared" si="72"/>
        <v>1604310</v>
      </c>
      <c r="AM172" s="93">
        <v>333570</v>
      </c>
      <c r="AN172" s="93">
        <v>292260</v>
      </c>
      <c r="AO172" s="93">
        <v>249480</v>
      </c>
      <c r="AQ172" s="93"/>
      <c r="AR172" s="93"/>
    </row>
    <row r="173" spans="3:44" hidden="1" outlineLevel="2">
      <c r="C173" s="56" t="s">
        <v>392</v>
      </c>
      <c r="D173" s="93">
        <v>3949060</v>
      </c>
      <c r="E173" s="93">
        <v>3998160</v>
      </c>
      <c r="F173" s="93">
        <v>3982770</v>
      </c>
      <c r="G173" s="93">
        <v>4314120</v>
      </c>
      <c r="H173" s="93">
        <f t="shared" si="66"/>
        <v>16244110</v>
      </c>
      <c r="I173" s="93">
        <v>4335570</v>
      </c>
      <c r="J173" s="93">
        <v>4639800</v>
      </c>
      <c r="K173" s="93">
        <v>5037270</v>
      </c>
      <c r="L173" s="93">
        <v>5519640</v>
      </c>
      <c r="M173" s="93">
        <f t="shared" si="73"/>
        <v>19532280</v>
      </c>
      <c r="N173" s="93">
        <v>5733900</v>
      </c>
      <c r="O173" s="93">
        <v>6003450</v>
      </c>
      <c r="P173" s="93">
        <v>6612570</v>
      </c>
      <c r="Q173" s="93">
        <v>6857070</v>
      </c>
      <c r="R173" s="93">
        <f t="shared" si="68"/>
        <v>25206990</v>
      </c>
      <c r="S173" s="93">
        <v>7068960</v>
      </c>
      <c r="T173" s="93">
        <v>6618400</v>
      </c>
      <c r="U173" s="93">
        <v>5699540</v>
      </c>
      <c r="V173" s="93">
        <v>4609060</v>
      </c>
      <c r="W173" s="93">
        <f t="shared" si="69"/>
        <v>23995960</v>
      </c>
      <c r="X173" s="93">
        <v>4463650</v>
      </c>
      <c r="Y173" s="93">
        <v>4127430</v>
      </c>
      <c r="Z173" s="93">
        <v>3927830</v>
      </c>
      <c r="AA173" s="93">
        <v>3866720</v>
      </c>
      <c r="AB173" s="93">
        <f t="shared" si="70"/>
        <v>16385630</v>
      </c>
      <c r="AC173" s="93">
        <v>3856460</v>
      </c>
      <c r="AD173" s="93">
        <v>3766610</v>
      </c>
      <c r="AE173" s="93">
        <v>3669080</v>
      </c>
      <c r="AF173" s="93">
        <v>3597290</v>
      </c>
      <c r="AG173" s="93">
        <f t="shared" si="71"/>
        <v>14889440</v>
      </c>
      <c r="AH173" s="93">
        <v>3690760</v>
      </c>
      <c r="AI173" s="93">
        <v>3663090</v>
      </c>
      <c r="AJ173" s="93">
        <v>3542140</v>
      </c>
      <c r="AK173" s="93">
        <v>3506830</v>
      </c>
      <c r="AL173" s="93">
        <f t="shared" si="72"/>
        <v>14402820</v>
      </c>
      <c r="AM173" s="93">
        <v>2805450</v>
      </c>
      <c r="AN173" s="93">
        <v>1390420</v>
      </c>
      <c r="AO173" s="93">
        <v>1267040</v>
      </c>
      <c r="AQ173" s="93"/>
      <c r="AR173" s="93"/>
    </row>
    <row r="174" spans="3:44" hidden="1" outlineLevel="2">
      <c r="C174" s="56" t="s">
        <v>393</v>
      </c>
      <c r="D174" s="93"/>
      <c r="E174" s="93"/>
      <c r="F174" s="93"/>
      <c r="G174" s="93"/>
      <c r="H174" s="93"/>
      <c r="I174" s="93"/>
      <c r="J174" s="93"/>
      <c r="K174" s="93"/>
      <c r="L174" s="93"/>
      <c r="M174" s="93"/>
      <c r="N174" s="93">
        <v>101610</v>
      </c>
      <c r="O174" s="93">
        <v>610740</v>
      </c>
      <c r="P174" s="93">
        <v>981990</v>
      </c>
      <c r="Q174" s="93">
        <v>1496430</v>
      </c>
      <c r="R174" s="93">
        <f t="shared" si="68"/>
        <v>3190770</v>
      </c>
      <c r="S174" s="93">
        <v>2024460</v>
      </c>
      <c r="T174" s="93">
        <v>2375820</v>
      </c>
      <c r="U174" s="93">
        <v>2914020</v>
      </c>
      <c r="V174" s="93">
        <v>3039840</v>
      </c>
      <c r="W174" s="93">
        <f t="shared" si="69"/>
        <v>10354140</v>
      </c>
      <c r="X174" s="93">
        <v>3516570</v>
      </c>
      <c r="Y174" s="93">
        <v>3450150</v>
      </c>
      <c r="Z174" s="93">
        <v>2250540</v>
      </c>
      <c r="AA174" s="93">
        <v>567450</v>
      </c>
      <c r="AB174" s="93">
        <f t="shared" si="70"/>
        <v>9784710</v>
      </c>
      <c r="AC174" s="93">
        <v>573480</v>
      </c>
      <c r="AD174" s="93">
        <v>426690</v>
      </c>
      <c r="AE174" s="93">
        <v>343710</v>
      </c>
      <c r="AF174" s="93">
        <v>294660</v>
      </c>
      <c r="AG174" s="93">
        <f t="shared" si="71"/>
        <v>1638540</v>
      </c>
      <c r="AH174" s="93">
        <v>322380</v>
      </c>
      <c r="AI174" s="93">
        <v>351180</v>
      </c>
      <c r="AJ174" s="93">
        <v>415800</v>
      </c>
      <c r="AK174" s="93">
        <v>426780</v>
      </c>
      <c r="AL174" s="93">
        <f t="shared" si="72"/>
        <v>1516140</v>
      </c>
      <c r="AM174" s="93">
        <v>419580</v>
      </c>
      <c r="AN174" s="93">
        <v>353610</v>
      </c>
      <c r="AO174" s="93">
        <v>357210</v>
      </c>
      <c r="AQ174" s="93"/>
      <c r="AR174" s="93"/>
    </row>
    <row r="175" spans="3:44" hidden="1" outlineLevel="2">
      <c r="C175" s="56" t="s">
        <v>394</v>
      </c>
      <c r="D175" s="93"/>
      <c r="E175" s="93"/>
      <c r="F175" s="93"/>
      <c r="G175" s="93"/>
      <c r="H175" s="93"/>
      <c r="I175" s="93"/>
      <c r="J175" s="93"/>
      <c r="K175" s="93"/>
      <c r="L175" s="93"/>
      <c r="M175" s="93"/>
      <c r="N175" s="93"/>
      <c r="O175" s="93"/>
      <c r="P175" s="93"/>
      <c r="Q175" s="93"/>
      <c r="R175" s="93"/>
      <c r="S175" s="93"/>
      <c r="T175" s="93"/>
      <c r="U175" s="93">
        <v>690</v>
      </c>
      <c r="V175" s="93">
        <v>10950</v>
      </c>
      <c r="W175" s="93">
        <f t="shared" si="69"/>
        <v>11640</v>
      </c>
      <c r="X175" s="93">
        <v>25020</v>
      </c>
      <c r="Y175" s="93">
        <v>34590</v>
      </c>
      <c r="Z175" s="93">
        <v>34440</v>
      </c>
      <c r="AA175" s="93">
        <v>19920</v>
      </c>
      <c r="AB175" s="93">
        <f t="shared" si="70"/>
        <v>113970</v>
      </c>
      <c r="AC175" s="93">
        <v>19020</v>
      </c>
      <c r="AD175" s="93">
        <v>14760</v>
      </c>
      <c r="AE175" s="93">
        <v>14310</v>
      </c>
      <c r="AF175" s="93">
        <v>10890</v>
      </c>
      <c r="AG175" s="93">
        <f t="shared" si="71"/>
        <v>58980</v>
      </c>
      <c r="AH175" s="93">
        <v>8820</v>
      </c>
      <c r="AI175" s="93">
        <v>5400</v>
      </c>
      <c r="AJ175" s="93">
        <v>4170</v>
      </c>
      <c r="AK175" s="93">
        <v>2400</v>
      </c>
      <c r="AL175" s="93">
        <f t="shared" si="72"/>
        <v>20790</v>
      </c>
      <c r="AM175" s="93">
        <v>3960</v>
      </c>
      <c r="AN175" s="93">
        <v>4080</v>
      </c>
      <c r="AO175" s="93">
        <v>1950</v>
      </c>
      <c r="AQ175" s="93"/>
      <c r="AR175" s="93"/>
    </row>
    <row r="176" spans="3:44" hidden="1" outlineLevel="2">
      <c r="C176" s="56" t="s">
        <v>395</v>
      </c>
      <c r="D176" s="93"/>
      <c r="E176" s="93"/>
      <c r="F176" s="93"/>
      <c r="G176" s="93"/>
      <c r="H176" s="93"/>
      <c r="I176" s="93"/>
      <c r="J176" s="93"/>
      <c r="K176" s="93">
        <v>17160</v>
      </c>
      <c r="L176" s="93">
        <v>133020</v>
      </c>
      <c r="M176" s="93">
        <f>SUM(I176:L176)</f>
        <v>150180</v>
      </c>
      <c r="N176" s="93">
        <v>274020</v>
      </c>
      <c r="O176" s="93">
        <v>424950</v>
      </c>
      <c r="P176" s="93">
        <v>539670</v>
      </c>
      <c r="Q176" s="93">
        <v>656400</v>
      </c>
      <c r="R176" s="93">
        <f t="shared" ref="R176:R181" si="74">SUM(N176:Q176)</f>
        <v>1895040</v>
      </c>
      <c r="S176" s="93">
        <v>1004100</v>
      </c>
      <c r="T176" s="93">
        <v>1044390</v>
      </c>
      <c r="U176" s="93">
        <v>1218930</v>
      </c>
      <c r="V176" s="93">
        <v>1458180</v>
      </c>
      <c r="W176" s="93">
        <f t="shared" si="69"/>
        <v>4725600</v>
      </c>
      <c r="X176" s="93">
        <v>1752000</v>
      </c>
      <c r="Y176" s="93">
        <v>1993410</v>
      </c>
      <c r="Z176" s="93">
        <v>2060190</v>
      </c>
      <c r="AA176" s="93">
        <v>2065950</v>
      </c>
      <c r="AB176" s="93">
        <f t="shared" si="70"/>
        <v>7871550</v>
      </c>
      <c r="AC176" s="93">
        <v>2049480</v>
      </c>
      <c r="AD176" s="93">
        <v>1989540</v>
      </c>
      <c r="AE176" s="93">
        <v>1966500</v>
      </c>
      <c r="AF176" s="93">
        <v>2119680</v>
      </c>
      <c r="AG176" s="93">
        <f t="shared" si="71"/>
        <v>8125200</v>
      </c>
      <c r="AH176" s="93">
        <v>2526660</v>
      </c>
      <c r="AI176" s="93">
        <v>2582820</v>
      </c>
      <c r="AJ176" s="93">
        <v>2614050</v>
      </c>
      <c r="AK176" s="93">
        <v>2660490</v>
      </c>
      <c r="AL176" s="93">
        <f t="shared" si="72"/>
        <v>10384020</v>
      </c>
      <c r="AM176" s="93">
        <v>2561940</v>
      </c>
      <c r="AN176" s="93">
        <v>2497410</v>
      </c>
      <c r="AO176" s="93">
        <v>2394810</v>
      </c>
      <c r="AQ176" s="93"/>
      <c r="AR176" s="93"/>
    </row>
    <row r="177" spans="3:44" hidden="1" outlineLevel="2">
      <c r="C177" s="56" t="s">
        <v>396</v>
      </c>
      <c r="D177" s="93">
        <v>1854560</v>
      </c>
      <c r="E177" s="93">
        <v>1364550</v>
      </c>
      <c r="F177" s="93">
        <v>1158310</v>
      </c>
      <c r="G177" s="93">
        <v>1131360</v>
      </c>
      <c r="H177" s="93">
        <f>SUM(D177:G177)</f>
        <v>5508780</v>
      </c>
      <c r="I177" s="93">
        <v>866960</v>
      </c>
      <c r="J177" s="93">
        <v>644000</v>
      </c>
      <c r="K177" s="93">
        <v>552330</v>
      </c>
      <c r="L177" s="93">
        <v>436270</v>
      </c>
      <c r="M177" s="93">
        <f>SUM(I177:L177)</f>
        <v>2499560</v>
      </c>
      <c r="N177" s="93">
        <v>575550</v>
      </c>
      <c r="O177" s="93">
        <v>801640</v>
      </c>
      <c r="P177" s="93">
        <v>494250</v>
      </c>
      <c r="Q177" s="93">
        <v>435240</v>
      </c>
      <c r="R177" s="93">
        <f t="shared" si="74"/>
        <v>2306680</v>
      </c>
      <c r="S177" s="93">
        <v>597630</v>
      </c>
      <c r="T177" s="93">
        <v>416350</v>
      </c>
      <c r="U177" s="93">
        <v>287060</v>
      </c>
      <c r="V177" s="93">
        <v>372210</v>
      </c>
      <c r="W177" s="93">
        <f t="shared" si="69"/>
        <v>1673250</v>
      </c>
      <c r="X177" s="93">
        <v>396280</v>
      </c>
      <c r="Y177" s="93">
        <v>926600</v>
      </c>
      <c r="Z177" s="93">
        <v>600040</v>
      </c>
      <c r="AA177" s="93">
        <v>238790</v>
      </c>
      <c r="AB177" s="93">
        <f t="shared" si="70"/>
        <v>2161710</v>
      </c>
      <c r="AC177" s="93">
        <v>307660</v>
      </c>
      <c r="AD177" s="93">
        <v>390790</v>
      </c>
      <c r="AE177" s="93">
        <v>466770</v>
      </c>
      <c r="AF177" s="93">
        <v>411900</v>
      </c>
      <c r="AG177" s="93">
        <f t="shared" si="71"/>
        <v>1577120</v>
      </c>
      <c r="AH177" s="93">
        <v>383600</v>
      </c>
      <c r="AI177" s="93">
        <v>230170</v>
      </c>
      <c r="AJ177" s="93">
        <v>381050</v>
      </c>
      <c r="AK177" s="93">
        <v>415800</v>
      </c>
      <c r="AL177" s="93">
        <f t="shared" si="72"/>
        <v>1410620</v>
      </c>
      <c r="AM177" s="93">
        <v>280210</v>
      </c>
      <c r="AN177" s="93">
        <v>295980</v>
      </c>
      <c r="AO177" s="93">
        <v>128380</v>
      </c>
      <c r="AQ177" s="93"/>
      <c r="AR177" s="93"/>
    </row>
    <row r="178" spans="3:44" hidden="1" outlineLevel="2">
      <c r="C178" s="56" t="s">
        <v>397</v>
      </c>
      <c r="D178" s="93">
        <v>4888365</v>
      </c>
      <c r="E178" s="93">
        <v>5413917</v>
      </c>
      <c r="F178" s="93">
        <v>5397156</v>
      </c>
      <c r="G178" s="93">
        <v>5655249</v>
      </c>
      <c r="H178" s="93">
        <f>SUM(D178:G178)</f>
        <v>21354687</v>
      </c>
      <c r="I178" s="93">
        <v>5448273</v>
      </c>
      <c r="J178" s="93">
        <v>5742807</v>
      </c>
      <c r="K178" s="93">
        <v>6095220</v>
      </c>
      <c r="L178" s="93">
        <v>7054293</v>
      </c>
      <c r="M178" s="93">
        <f>SUM(I178:L178)</f>
        <v>24340593</v>
      </c>
      <c r="N178" s="93">
        <v>9661212</v>
      </c>
      <c r="O178" s="93">
        <v>9890526</v>
      </c>
      <c r="P178" s="93">
        <v>9593049</v>
      </c>
      <c r="Q178" s="93">
        <v>9594573</v>
      </c>
      <c r="R178" s="93">
        <f t="shared" si="74"/>
        <v>38739360</v>
      </c>
      <c r="S178" s="93">
        <v>10314003</v>
      </c>
      <c r="T178" s="93">
        <v>10284378</v>
      </c>
      <c r="U178" s="93">
        <v>10317972</v>
      </c>
      <c r="V178" s="93">
        <v>10264926</v>
      </c>
      <c r="W178" s="93">
        <f t="shared" si="69"/>
        <v>41181279</v>
      </c>
      <c r="X178" s="93">
        <v>10991184</v>
      </c>
      <c r="Y178" s="93">
        <v>10995963</v>
      </c>
      <c r="Z178" s="93">
        <v>10936056</v>
      </c>
      <c r="AA178" s="93">
        <v>10989108</v>
      </c>
      <c r="AB178" s="93">
        <f t="shared" si="70"/>
        <v>43912311</v>
      </c>
      <c r="AC178" s="93">
        <v>11016363</v>
      </c>
      <c r="AD178" s="93">
        <v>10870407</v>
      </c>
      <c r="AE178" s="93">
        <v>10702332</v>
      </c>
      <c r="AF178" s="93">
        <v>11086896</v>
      </c>
      <c r="AG178" s="93">
        <f t="shared" si="71"/>
        <v>43675998</v>
      </c>
      <c r="AH178" s="93">
        <v>10757913</v>
      </c>
      <c r="AI178" s="93">
        <v>10811760</v>
      </c>
      <c r="AJ178" s="93">
        <v>10525908</v>
      </c>
      <c r="AK178" s="93">
        <v>10289403</v>
      </c>
      <c r="AL178" s="93">
        <f t="shared" si="72"/>
        <v>42384984</v>
      </c>
      <c r="AM178" s="93">
        <v>10587474</v>
      </c>
      <c r="AN178" s="93">
        <v>10017945</v>
      </c>
      <c r="AO178" s="93">
        <v>7165116</v>
      </c>
      <c r="AQ178" s="93"/>
      <c r="AR178" s="93"/>
    </row>
    <row r="179" spans="3:44" hidden="1" outlineLevel="2">
      <c r="C179" s="56" t="s">
        <v>398</v>
      </c>
      <c r="D179" s="93"/>
      <c r="E179" s="93"/>
      <c r="F179" s="93"/>
      <c r="G179" s="93"/>
      <c r="H179" s="93"/>
      <c r="I179" s="93"/>
      <c r="J179" s="93"/>
      <c r="K179" s="93"/>
      <c r="L179" s="93"/>
      <c r="M179" s="93"/>
      <c r="N179" s="93">
        <v>2411370</v>
      </c>
      <c r="O179" s="93">
        <v>2646360</v>
      </c>
      <c r="P179" s="93">
        <v>5411160</v>
      </c>
      <c r="Q179" s="93">
        <v>7470810</v>
      </c>
      <c r="R179" s="93">
        <f t="shared" si="74"/>
        <v>17939700</v>
      </c>
      <c r="S179" s="93">
        <v>8778600</v>
      </c>
      <c r="T179" s="93">
        <v>9694080</v>
      </c>
      <c r="U179" s="93">
        <v>9973350</v>
      </c>
      <c r="V179" s="93">
        <v>10207350</v>
      </c>
      <c r="W179" s="93">
        <f t="shared" si="69"/>
        <v>38653380</v>
      </c>
      <c r="X179" s="93">
        <v>11348730</v>
      </c>
      <c r="Y179" s="93">
        <v>11596500</v>
      </c>
      <c r="Z179" s="93">
        <v>12167280</v>
      </c>
      <c r="AA179" s="93">
        <v>12906810</v>
      </c>
      <c r="AB179" s="93">
        <f t="shared" si="70"/>
        <v>48019320</v>
      </c>
      <c r="AC179" s="93">
        <v>12233430</v>
      </c>
      <c r="AD179" s="93">
        <v>11624490</v>
      </c>
      <c r="AE179" s="93">
        <v>10308330</v>
      </c>
      <c r="AF179" s="93">
        <v>9267570</v>
      </c>
      <c r="AG179" s="93">
        <f t="shared" si="71"/>
        <v>43433820</v>
      </c>
      <c r="AH179" s="93">
        <v>8616960</v>
      </c>
      <c r="AI179" s="93">
        <v>7636050</v>
      </c>
      <c r="AJ179" s="93">
        <v>7145730</v>
      </c>
      <c r="AK179" s="93">
        <v>7159590</v>
      </c>
      <c r="AL179" s="93">
        <f t="shared" si="72"/>
        <v>30558330</v>
      </c>
      <c r="AM179" s="93">
        <v>6669450</v>
      </c>
      <c r="AN179" s="93">
        <v>6104340</v>
      </c>
      <c r="AO179" s="93">
        <v>5453550</v>
      </c>
      <c r="AQ179" s="93"/>
      <c r="AR179" s="93"/>
    </row>
    <row r="180" spans="3:44" hidden="1" outlineLevel="2">
      <c r="C180" s="56" t="s">
        <v>399</v>
      </c>
      <c r="D180" s="93">
        <v>1432440</v>
      </c>
      <c r="E180" s="93">
        <v>1608480</v>
      </c>
      <c r="F180" s="93">
        <v>1863090</v>
      </c>
      <c r="G180" s="93">
        <v>1850040</v>
      </c>
      <c r="H180" s="93">
        <f>SUM(D180:G180)</f>
        <v>6754050</v>
      </c>
      <c r="I180" s="93">
        <v>2061960</v>
      </c>
      <c r="J180" s="93">
        <v>2200620</v>
      </c>
      <c r="K180" s="93">
        <v>3030420</v>
      </c>
      <c r="L180" s="93">
        <v>3750240</v>
      </c>
      <c r="M180" s="93">
        <f>SUM(I180:L180)</f>
        <v>11043240</v>
      </c>
      <c r="N180" s="93">
        <v>4440150</v>
      </c>
      <c r="O180" s="93">
        <v>4332510</v>
      </c>
      <c r="P180" s="93">
        <v>3809970</v>
      </c>
      <c r="Q180" s="93">
        <v>2781870</v>
      </c>
      <c r="R180" s="93">
        <f t="shared" si="74"/>
        <v>15364500</v>
      </c>
      <c r="S180" s="93">
        <v>2574120</v>
      </c>
      <c r="T180" s="93">
        <v>2182170</v>
      </c>
      <c r="U180" s="93">
        <v>2059440</v>
      </c>
      <c r="V180" s="93">
        <v>1903770</v>
      </c>
      <c r="W180" s="93">
        <f t="shared" si="69"/>
        <v>8719500</v>
      </c>
      <c r="X180" s="93">
        <v>2221140</v>
      </c>
      <c r="Y180" s="93">
        <v>2357730</v>
      </c>
      <c r="Z180" s="93">
        <v>2454360</v>
      </c>
      <c r="AA180" s="93">
        <v>1870830</v>
      </c>
      <c r="AB180" s="93">
        <f t="shared" si="70"/>
        <v>8904060</v>
      </c>
      <c r="AC180" s="93">
        <v>2364990</v>
      </c>
      <c r="AD180" s="93">
        <v>2230440</v>
      </c>
      <c r="AE180" s="93">
        <v>930240</v>
      </c>
      <c r="AF180" s="93">
        <v>1230840</v>
      </c>
      <c r="AG180" s="93">
        <f t="shared" si="71"/>
        <v>6756510</v>
      </c>
      <c r="AH180" s="93">
        <v>1002660</v>
      </c>
      <c r="AI180" s="93">
        <v>963330</v>
      </c>
      <c r="AJ180" s="93">
        <v>906810</v>
      </c>
      <c r="AK180" s="93">
        <v>863700</v>
      </c>
      <c r="AL180" s="93">
        <f t="shared" si="72"/>
        <v>3736500</v>
      </c>
      <c r="AM180" s="93">
        <v>824790</v>
      </c>
      <c r="AN180" s="93">
        <v>716550</v>
      </c>
      <c r="AO180" s="93">
        <v>509250</v>
      </c>
      <c r="AQ180" s="93"/>
      <c r="AR180" s="93"/>
    </row>
    <row r="181" spans="3:44" hidden="1" outlineLevel="1" collapsed="1">
      <c r="C181" s="123" t="s">
        <v>400</v>
      </c>
      <c r="D181" s="93">
        <f>SUM(D182:D193)</f>
        <v>366912230</v>
      </c>
      <c r="E181" s="93">
        <f>SUM(E182:E193)</f>
        <v>512978523</v>
      </c>
      <c r="F181" s="93">
        <f>SUM(F182:F193)</f>
        <v>796209857</v>
      </c>
      <c r="G181" s="93">
        <f>SUM(G182:G193)</f>
        <v>817667011</v>
      </c>
      <c r="H181" s="93">
        <f>SUM(D181:G181)</f>
        <v>2493767621</v>
      </c>
      <c r="I181" s="93">
        <f>SUM(I182:I193)</f>
        <v>959376389</v>
      </c>
      <c r="J181" s="93">
        <f>SUM(J182:J193)</f>
        <v>1106259897</v>
      </c>
      <c r="K181" s="93">
        <f>SUM(K182:K193)</f>
        <v>1084742630</v>
      </c>
      <c r="L181" s="93">
        <f>SUM(L182:L193)</f>
        <v>1133828965</v>
      </c>
      <c r="M181" s="93">
        <f>SUM(I181:L181)</f>
        <v>4284207881</v>
      </c>
      <c r="N181" s="93">
        <f>SUM(N182:N193)</f>
        <v>1164602549</v>
      </c>
      <c r="O181" s="93">
        <f>SUM(O182:O193)</f>
        <v>1253397288</v>
      </c>
      <c r="P181" s="93">
        <f>SUM(P182:P193)</f>
        <v>1313472628</v>
      </c>
      <c r="Q181" s="93">
        <f>SUM(Q182:Q193)</f>
        <v>1332143972</v>
      </c>
      <c r="R181" s="93">
        <f t="shared" si="74"/>
        <v>5063616437</v>
      </c>
      <c r="S181" s="93">
        <f>SUM(S182:S193)</f>
        <v>1480336687</v>
      </c>
      <c r="T181" s="93">
        <f>SUM(T182:T193)</f>
        <v>1542975032</v>
      </c>
      <c r="U181" s="93">
        <f>SUM(U182:U193)</f>
        <v>1585476608</v>
      </c>
      <c r="V181" s="93">
        <f>SUM(V182:V193)</f>
        <v>1698056721</v>
      </c>
      <c r="W181" s="93">
        <f t="shared" si="69"/>
        <v>6306845048</v>
      </c>
      <c r="X181" s="93">
        <f>SUM(X182:X193)</f>
        <v>1733396868</v>
      </c>
      <c r="Y181" s="93">
        <f>SUM(Y182:Y193)</f>
        <v>1768245886</v>
      </c>
      <c r="Z181" s="93">
        <f>SUM(Z182:Z193)</f>
        <v>1776301496</v>
      </c>
      <c r="AA181" s="93">
        <f>SUM(AA182:AA193)</f>
        <v>1791444194</v>
      </c>
      <c r="AB181" s="93">
        <f t="shared" si="70"/>
        <v>7069388444</v>
      </c>
      <c r="AC181" s="93">
        <f>SUM(AC182:AC193)</f>
        <v>1874303241</v>
      </c>
      <c r="AD181" s="93">
        <f>SUM(AD182:AD193)</f>
        <v>1922056703</v>
      </c>
      <c r="AE181" s="93">
        <f>SUM(AE182:AE193)</f>
        <v>1841868811</v>
      </c>
      <c r="AF181" s="93">
        <f>SUM(AF182:AF193)</f>
        <v>1990440009</v>
      </c>
      <c r="AG181" s="93">
        <f t="shared" si="71"/>
        <v>7628668764</v>
      </c>
      <c r="AH181" s="93">
        <f>SUM(AH182:AH193)</f>
        <v>2167682357</v>
      </c>
      <c r="AI181" s="93">
        <f>SUM(AI182:AI193)</f>
        <v>2253064628</v>
      </c>
      <c r="AJ181" s="93">
        <f>SUM(AJ182:AJ193)</f>
        <v>2363322249</v>
      </c>
      <c r="AK181" s="93">
        <f>SUM(AK182:AK193)</f>
        <v>2487276160</v>
      </c>
      <c r="AL181" s="93">
        <f t="shared" si="72"/>
        <v>9271345394</v>
      </c>
      <c r="AM181" s="93">
        <f>SUM(AM182:AM193)</f>
        <v>2516250871</v>
      </c>
      <c r="AN181" s="93">
        <f>SUM(AN182:AN193)</f>
        <v>2600156087</v>
      </c>
      <c r="AO181" s="93">
        <f>SUM(AO182:AO193)</f>
        <v>2521289244</v>
      </c>
      <c r="AQ181" s="93"/>
      <c r="AR181" s="93"/>
    </row>
    <row r="182" spans="3:44" hidden="1" outlineLevel="2">
      <c r="C182" s="56" t="s">
        <v>401</v>
      </c>
      <c r="D182" s="93"/>
      <c r="E182" s="93"/>
      <c r="F182" s="93"/>
      <c r="G182" s="93"/>
      <c r="H182" s="93"/>
      <c r="I182" s="93"/>
      <c r="J182" s="93"/>
      <c r="K182" s="93"/>
      <c r="L182" s="93"/>
      <c r="M182" s="93"/>
      <c r="N182" s="93"/>
      <c r="O182" s="93"/>
      <c r="P182" s="93"/>
      <c r="Q182" s="93"/>
      <c r="R182" s="93"/>
      <c r="S182" s="93"/>
      <c r="T182" s="93"/>
      <c r="U182" s="93"/>
      <c r="V182" s="93"/>
      <c r="W182" s="93"/>
      <c r="X182" s="93"/>
      <c r="Y182" s="93"/>
      <c r="Z182" s="93"/>
      <c r="AA182" s="93"/>
      <c r="AB182" s="93"/>
      <c r="AC182" s="93"/>
      <c r="AD182" s="93"/>
      <c r="AE182" s="93"/>
      <c r="AF182" s="93">
        <v>159748130</v>
      </c>
      <c r="AG182" s="93">
        <f t="shared" si="71"/>
        <v>159748130</v>
      </c>
      <c r="AH182" s="93">
        <v>356996510</v>
      </c>
      <c r="AI182" s="93">
        <v>464278000</v>
      </c>
      <c r="AJ182" s="93">
        <v>602896330</v>
      </c>
      <c r="AK182" s="93">
        <v>686505950</v>
      </c>
      <c r="AL182" s="93">
        <f t="shared" si="72"/>
        <v>2110676790</v>
      </c>
      <c r="AM182" s="93">
        <v>720572000</v>
      </c>
      <c r="AN182" s="93">
        <v>777179950</v>
      </c>
      <c r="AO182" s="93">
        <v>812826040</v>
      </c>
      <c r="AQ182" s="93"/>
      <c r="AR182" s="93"/>
    </row>
    <row r="183" spans="3:44" hidden="1" outlineLevel="2">
      <c r="C183" s="56" t="s">
        <v>402</v>
      </c>
      <c r="D183" s="93">
        <v>50013885</v>
      </c>
      <c r="E183" s="93">
        <v>50329476</v>
      </c>
      <c r="F183" s="93">
        <v>50769180</v>
      </c>
      <c r="G183" s="93">
        <v>50305995</v>
      </c>
      <c r="H183" s="93">
        <f>SUM(D183:G183)</f>
        <v>201418536</v>
      </c>
      <c r="I183" s="93">
        <v>48798619</v>
      </c>
      <c r="J183" s="93">
        <v>49949299</v>
      </c>
      <c r="K183" s="93">
        <v>49717190</v>
      </c>
      <c r="L183" s="93">
        <v>50268789</v>
      </c>
      <c r="M183" s="93">
        <f>SUM(I183:L183)</f>
        <v>198733897</v>
      </c>
      <c r="N183" s="93">
        <v>46806894</v>
      </c>
      <c r="O183" s="93">
        <v>47098303</v>
      </c>
      <c r="P183" s="93">
        <v>47286316</v>
      </c>
      <c r="Q183" s="93">
        <v>45846231</v>
      </c>
      <c r="R183" s="93">
        <f>SUM(N183:Q183)</f>
        <v>187037744</v>
      </c>
      <c r="S183" s="93">
        <v>47623450</v>
      </c>
      <c r="T183" s="93">
        <v>50050005</v>
      </c>
      <c r="U183" s="93">
        <v>48705394</v>
      </c>
      <c r="V183" s="93">
        <v>47804922</v>
      </c>
      <c r="W183" s="93">
        <f>SUM(S183:V183)</f>
        <v>194183771</v>
      </c>
      <c r="X183" s="93">
        <v>47476160</v>
      </c>
      <c r="Y183" s="93">
        <v>47954507</v>
      </c>
      <c r="Z183" s="93">
        <v>47960527</v>
      </c>
      <c r="AA183" s="93">
        <v>47404289</v>
      </c>
      <c r="AB183" s="93">
        <f>SUM(X183:AA183)</f>
        <v>190795483</v>
      </c>
      <c r="AC183" s="93">
        <v>46776417</v>
      </c>
      <c r="AD183" s="93">
        <v>46874579</v>
      </c>
      <c r="AE183" s="93">
        <v>46449829</v>
      </c>
      <c r="AF183" s="93">
        <v>46296104</v>
      </c>
      <c r="AG183" s="93">
        <f t="shared" si="71"/>
        <v>186396929</v>
      </c>
      <c r="AH183" s="93">
        <v>44479476</v>
      </c>
      <c r="AI183" s="93">
        <v>45861248</v>
      </c>
      <c r="AJ183" s="93">
        <v>44702798</v>
      </c>
      <c r="AK183" s="93">
        <v>43997731</v>
      </c>
      <c r="AL183" s="93">
        <f t="shared" si="72"/>
        <v>179041253</v>
      </c>
      <c r="AM183" s="93">
        <v>45157808</v>
      </c>
      <c r="AN183" s="93">
        <v>44422308</v>
      </c>
      <c r="AO183" s="93">
        <v>43018860</v>
      </c>
      <c r="AQ183" s="93"/>
      <c r="AR183" s="93"/>
    </row>
    <row r="184" spans="3:44" hidden="1" outlineLevel="2">
      <c r="C184" s="56" t="s">
        <v>403</v>
      </c>
      <c r="D184" s="93">
        <v>12951038</v>
      </c>
      <c r="E184" s="93">
        <v>12362974</v>
      </c>
      <c r="F184" s="93">
        <v>12294390</v>
      </c>
      <c r="G184" s="93">
        <v>12021740</v>
      </c>
      <c r="H184" s="93">
        <f>SUM(D184:G184)</f>
        <v>49630142</v>
      </c>
      <c r="I184" s="93">
        <v>11786258</v>
      </c>
      <c r="J184" s="93">
        <v>11674945</v>
      </c>
      <c r="K184" s="93">
        <v>11647406</v>
      </c>
      <c r="L184" s="93">
        <v>10180321</v>
      </c>
      <c r="M184" s="93">
        <f>SUM(I184:L184)</f>
        <v>45288930</v>
      </c>
      <c r="N184" s="93">
        <v>8358685</v>
      </c>
      <c r="O184" s="93">
        <v>8353969</v>
      </c>
      <c r="P184" s="93">
        <v>8434532</v>
      </c>
      <c r="Q184" s="93">
        <v>8047999</v>
      </c>
      <c r="R184" s="93">
        <f>SUM(N184:Q184)</f>
        <v>33195185</v>
      </c>
      <c r="S184" s="93">
        <v>8290145</v>
      </c>
      <c r="T184" s="93">
        <v>7948524</v>
      </c>
      <c r="U184" s="93">
        <v>8126903</v>
      </c>
      <c r="V184" s="93">
        <v>7875050</v>
      </c>
      <c r="W184" s="93">
        <f>SUM(S184:V184)</f>
        <v>32240622</v>
      </c>
      <c r="X184" s="93">
        <v>7967519</v>
      </c>
      <c r="Y184" s="93">
        <v>7973498</v>
      </c>
      <c r="Z184" s="93">
        <v>7716017</v>
      </c>
      <c r="AA184" s="93">
        <v>7693789</v>
      </c>
      <c r="AB184" s="93">
        <f>SUM(X184:AA184)</f>
        <v>31350823</v>
      </c>
      <c r="AC184" s="93">
        <v>7579224</v>
      </c>
      <c r="AD184" s="93">
        <v>7543867</v>
      </c>
      <c r="AE184" s="93">
        <v>7753519</v>
      </c>
      <c r="AF184" s="93">
        <v>7729559</v>
      </c>
      <c r="AG184" s="93">
        <f t="shared" si="71"/>
        <v>30606169</v>
      </c>
      <c r="AH184" s="93">
        <v>7450470</v>
      </c>
      <c r="AI184" s="93">
        <v>7215138</v>
      </c>
      <c r="AJ184" s="93">
        <v>7169564</v>
      </c>
      <c r="AK184" s="93">
        <v>7076510</v>
      </c>
      <c r="AL184" s="93">
        <f t="shared" si="72"/>
        <v>28911682</v>
      </c>
      <c r="AM184" s="93">
        <v>7189577</v>
      </c>
      <c r="AN184" s="93">
        <v>7046992</v>
      </c>
      <c r="AO184" s="93">
        <v>7919830</v>
      </c>
      <c r="AQ184" s="93"/>
      <c r="AR184" s="93"/>
    </row>
    <row r="185" spans="3:44" hidden="1" outlineLevel="2">
      <c r="C185" s="56" t="s">
        <v>404</v>
      </c>
      <c r="D185" s="93"/>
      <c r="E185" s="93">
        <v>360</v>
      </c>
      <c r="F185" s="93">
        <v>196901</v>
      </c>
      <c r="G185" s="93">
        <v>527415</v>
      </c>
      <c r="H185" s="93">
        <f>SUM(D185:G185)</f>
        <v>724676</v>
      </c>
      <c r="I185" s="93">
        <v>1963775</v>
      </c>
      <c r="J185" s="93">
        <v>4794191</v>
      </c>
      <c r="K185" s="93">
        <v>6587557</v>
      </c>
      <c r="L185" s="93">
        <v>7041879</v>
      </c>
      <c r="M185" s="93">
        <f>SUM(I185:L185)</f>
        <v>20387402</v>
      </c>
      <c r="N185" s="93">
        <v>8164610</v>
      </c>
      <c r="O185" s="93">
        <v>7935087</v>
      </c>
      <c r="P185" s="93">
        <v>7977642</v>
      </c>
      <c r="Q185" s="93">
        <v>8852803</v>
      </c>
      <c r="R185" s="93">
        <f>SUM(N185:Q185)</f>
        <v>32930142</v>
      </c>
      <c r="S185" s="93">
        <v>9589119</v>
      </c>
      <c r="T185" s="93">
        <v>9903071</v>
      </c>
      <c r="U185" s="93">
        <v>10476916</v>
      </c>
      <c r="V185" s="93">
        <v>10947493</v>
      </c>
      <c r="W185" s="93">
        <f>SUM(S185:V185)</f>
        <v>40916599</v>
      </c>
      <c r="X185" s="93">
        <v>12162362</v>
      </c>
      <c r="Y185" s="93">
        <v>12712002</v>
      </c>
      <c r="Z185" s="93">
        <v>14242353</v>
      </c>
      <c r="AA185" s="93">
        <v>13666805</v>
      </c>
      <c r="AB185" s="93">
        <f>SUM(X185:AA185)</f>
        <v>52783522</v>
      </c>
      <c r="AC185" s="93">
        <v>14199040</v>
      </c>
      <c r="AD185" s="93">
        <v>14695436</v>
      </c>
      <c r="AE185" s="93">
        <v>15741961</v>
      </c>
      <c r="AF185" s="93">
        <v>16070583</v>
      </c>
      <c r="AG185" s="93">
        <f t="shared" si="71"/>
        <v>60707020</v>
      </c>
      <c r="AH185" s="93">
        <v>14921678</v>
      </c>
      <c r="AI185" s="93">
        <v>16125699</v>
      </c>
      <c r="AJ185" s="93">
        <v>16850266</v>
      </c>
      <c r="AK185" s="93">
        <v>16570630</v>
      </c>
      <c r="AL185" s="93">
        <f t="shared" si="72"/>
        <v>64468273</v>
      </c>
      <c r="AM185" s="93">
        <v>15416050</v>
      </c>
      <c r="AN185" s="93">
        <v>15224973</v>
      </c>
      <c r="AO185" s="93">
        <v>15786441</v>
      </c>
      <c r="AQ185" s="93"/>
      <c r="AR185" s="93"/>
    </row>
    <row r="186" spans="3:44" hidden="1" outlineLevel="2">
      <c r="C186" s="56" t="s">
        <v>405</v>
      </c>
      <c r="D186" s="93">
        <v>375400</v>
      </c>
      <c r="E186" s="93">
        <v>1552050</v>
      </c>
      <c r="F186" s="93">
        <v>2036140</v>
      </c>
      <c r="G186" s="93">
        <v>2665940</v>
      </c>
      <c r="H186" s="93">
        <f>SUM(D186:G186)</f>
        <v>6629530</v>
      </c>
      <c r="I186" s="93">
        <v>3749750</v>
      </c>
      <c r="J186" s="93">
        <v>4845010</v>
      </c>
      <c r="K186" s="93">
        <v>6017710</v>
      </c>
      <c r="L186" s="93">
        <v>7674650</v>
      </c>
      <c r="M186" s="93">
        <f>SUM(I186:L186)</f>
        <v>22287120</v>
      </c>
      <c r="N186" s="93">
        <v>8898500</v>
      </c>
      <c r="O186" s="93">
        <v>10965290</v>
      </c>
      <c r="P186" s="93">
        <v>14215580</v>
      </c>
      <c r="Q186" s="93">
        <v>16354620</v>
      </c>
      <c r="R186" s="93">
        <f>SUM(N186:Q186)</f>
        <v>50433990</v>
      </c>
      <c r="S186" s="93">
        <v>21905890</v>
      </c>
      <c r="T186" s="93">
        <v>25360250</v>
      </c>
      <c r="U186" s="93">
        <v>29041010</v>
      </c>
      <c r="V186" s="93">
        <v>32224090</v>
      </c>
      <c r="W186" s="93">
        <f>SUM(S186:V186)</f>
        <v>108531240</v>
      </c>
      <c r="X186" s="93">
        <v>40720950</v>
      </c>
      <c r="Y186" s="93">
        <v>43697740</v>
      </c>
      <c r="Z186" s="93">
        <v>51577010</v>
      </c>
      <c r="AA186" s="93">
        <v>55401400</v>
      </c>
      <c r="AB186" s="93">
        <f>SUM(X186:AA186)</f>
        <v>191397100</v>
      </c>
      <c r="AC186" s="93">
        <v>60675220</v>
      </c>
      <c r="AD186" s="93">
        <v>63813350</v>
      </c>
      <c r="AE186" s="93">
        <v>66684830</v>
      </c>
      <c r="AF186" s="93">
        <v>67808690</v>
      </c>
      <c r="AG186" s="93">
        <f t="shared" si="71"/>
        <v>258982090</v>
      </c>
      <c r="AH186" s="93">
        <v>74441760</v>
      </c>
      <c r="AI186" s="93">
        <v>78101370</v>
      </c>
      <c r="AJ186" s="93">
        <v>81844110</v>
      </c>
      <c r="AK186" s="93">
        <v>119416490</v>
      </c>
      <c r="AL186" s="93">
        <f t="shared" si="72"/>
        <v>353803730</v>
      </c>
      <c r="AM186" s="93">
        <v>146297480</v>
      </c>
      <c r="AN186" s="93">
        <v>141982390</v>
      </c>
      <c r="AO186" s="93">
        <v>143748110</v>
      </c>
      <c r="AQ186" s="93"/>
      <c r="AR186" s="93"/>
    </row>
    <row r="187" spans="3:44" hidden="1" outlineLevel="2">
      <c r="C187" s="56" t="s">
        <v>406</v>
      </c>
      <c r="D187" s="93"/>
      <c r="E187" s="93"/>
      <c r="F187" s="93"/>
      <c r="G187" s="93"/>
      <c r="H187" s="93"/>
      <c r="I187" s="93"/>
      <c r="J187" s="93"/>
      <c r="K187" s="93"/>
      <c r="L187" s="93"/>
      <c r="M187" s="93"/>
      <c r="N187" s="93"/>
      <c r="O187" s="93"/>
      <c r="P187" s="93"/>
      <c r="Q187" s="93"/>
      <c r="R187" s="93"/>
      <c r="S187" s="93"/>
      <c r="T187" s="93"/>
      <c r="U187" s="93">
        <v>90</v>
      </c>
      <c r="V187" s="93">
        <v>28830</v>
      </c>
      <c r="W187" s="93">
        <f>SUM(S187:V187)</f>
        <v>28920</v>
      </c>
      <c r="X187" s="93">
        <v>114540</v>
      </c>
      <c r="Y187" s="93">
        <v>244290</v>
      </c>
      <c r="Z187" s="93">
        <v>244560</v>
      </c>
      <c r="AA187" s="93">
        <v>269430</v>
      </c>
      <c r="AB187" s="93">
        <f>SUM(X187:AA187)</f>
        <v>872820</v>
      </c>
      <c r="AC187" s="93">
        <v>297330</v>
      </c>
      <c r="AD187" s="93">
        <v>303450</v>
      </c>
      <c r="AE187" s="93">
        <v>301200</v>
      </c>
      <c r="AF187" s="93">
        <v>309390</v>
      </c>
      <c r="AG187" s="93">
        <f t="shared" si="71"/>
        <v>1211370</v>
      </c>
      <c r="AH187" s="93">
        <v>352470</v>
      </c>
      <c r="AI187" s="93">
        <v>473670</v>
      </c>
      <c r="AJ187" s="93">
        <v>509400</v>
      </c>
      <c r="AK187" s="93">
        <v>567990</v>
      </c>
      <c r="AL187" s="93">
        <f t="shared" si="72"/>
        <v>1903530</v>
      </c>
      <c r="AM187" s="93">
        <v>485250</v>
      </c>
      <c r="AN187" s="93">
        <v>573690</v>
      </c>
      <c r="AO187" s="93">
        <v>411480</v>
      </c>
      <c r="AQ187" s="93"/>
      <c r="AR187" s="93"/>
    </row>
    <row r="188" spans="3:44" hidden="1" outlineLevel="2">
      <c r="C188" s="56" t="s">
        <v>407</v>
      </c>
      <c r="D188" s="93"/>
      <c r="E188" s="93"/>
      <c r="F188" s="93"/>
      <c r="G188" s="93"/>
      <c r="H188" s="93"/>
      <c r="I188" s="93"/>
      <c r="J188" s="93"/>
      <c r="K188" s="93"/>
      <c r="L188" s="93"/>
      <c r="M188" s="93"/>
      <c r="N188" s="93"/>
      <c r="O188" s="93"/>
      <c r="P188" s="93"/>
      <c r="Q188" s="93"/>
      <c r="R188" s="93"/>
      <c r="S188" s="93"/>
      <c r="T188" s="93"/>
      <c r="U188" s="93"/>
      <c r="V188" s="93"/>
      <c r="W188" s="93"/>
      <c r="X188" s="93"/>
      <c r="Y188" s="93"/>
      <c r="Z188" s="93"/>
      <c r="AA188" s="93"/>
      <c r="AB188" s="93"/>
      <c r="AC188" s="93"/>
      <c r="AD188" s="93"/>
      <c r="AE188" s="93"/>
      <c r="AF188" s="93"/>
      <c r="AG188" s="93"/>
      <c r="AH188" s="93"/>
      <c r="AI188" s="93"/>
      <c r="AJ188" s="93"/>
      <c r="AK188" s="93"/>
      <c r="AL188" s="93"/>
      <c r="AM188" s="93"/>
      <c r="AN188" s="93"/>
      <c r="AO188" s="93">
        <v>20599740</v>
      </c>
      <c r="AQ188" s="93"/>
      <c r="AR188" s="93"/>
    </row>
    <row r="189" spans="3:44" hidden="1" outlineLevel="2">
      <c r="C189" s="56" t="s">
        <v>408</v>
      </c>
      <c r="D189" s="93"/>
      <c r="E189" s="93"/>
      <c r="F189" s="93"/>
      <c r="G189" s="93"/>
      <c r="H189" s="93"/>
      <c r="I189" s="93"/>
      <c r="J189" s="93"/>
      <c r="K189" s="93"/>
      <c r="L189" s="93"/>
      <c r="M189" s="93"/>
      <c r="N189" s="93"/>
      <c r="O189" s="93"/>
      <c r="P189" s="93"/>
      <c r="Q189" s="93"/>
      <c r="R189" s="93"/>
      <c r="S189" s="93"/>
      <c r="T189" s="93"/>
      <c r="U189" s="93"/>
      <c r="V189" s="93"/>
      <c r="W189" s="93"/>
      <c r="X189" s="93"/>
      <c r="Y189" s="93"/>
      <c r="Z189" s="93"/>
      <c r="AA189" s="93"/>
      <c r="AB189" s="93"/>
      <c r="AC189" s="93"/>
      <c r="AD189" s="93"/>
      <c r="AE189" s="93"/>
      <c r="AF189" s="93"/>
      <c r="AG189" s="93"/>
      <c r="AH189" s="93"/>
      <c r="AI189" s="93">
        <v>1508340</v>
      </c>
      <c r="AJ189" s="93">
        <v>1726630</v>
      </c>
      <c r="AK189" s="93">
        <v>1674160</v>
      </c>
      <c r="AL189" s="93">
        <f>SUM(AH189:AK189)</f>
        <v>4909130</v>
      </c>
      <c r="AM189" s="93">
        <v>1800310</v>
      </c>
      <c r="AN189" s="93">
        <v>1766820</v>
      </c>
      <c r="AO189" s="93">
        <v>1627440</v>
      </c>
      <c r="AQ189" s="93"/>
      <c r="AR189" s="93"/>
    </row>
    <row r="190" spans="3:44" hidden="1" outlineLevel="2">
      <c r="C190" s="56" t="s">
        <v>409</v>
      </c>
      <c r="D190" s="93">
        <v>142015821</v>
      </c>
      <c r="E190" s="93">
        <v>142831019</v>
      </c>
      <c r="F190" s="93">
        <v>147517746</v>
      </c>
      <c r="G190" s="93">
        <v>136600465</v>
      </c>
      <c r="H190" s="93">
        <f>SUM(D190:G190)</f>
        <v>568965051</v>
      </c>
      <c r="I190" s="93">
        <v>136142217</v>
      </c>
      <c r="J190" s="93">
        <v>131893921</v>
      </c>
      <c r="K190" s="93">
        <v>130759512</v>
      </c>
      <c r="L190" s="93">
        <v>130507886</v>
      </c>
      <c r="M190" s="93">
        <f>SUM(I190:L190)</f>
        <v>529303536</v>
      </c>
      <c r="N190" s="93">
        <v>128645702</v>
      </c>
      <c r="O190" s="93">
        <v>130717198</v>
      </c>
      <c r="P190" s="93">
        <v>130866520</v>
      </c>
      <c r="Q190" s="93">
        <v>134598484</v>
      </c>
      <c r="R190" s="93">
        <f>SUM(N190:Q190)</f>
        <v>524827904</v>
      </c>
      <c r="S190" s="93">
        <v>138710658</v>
      </c>
      <c r="T190" s="93">
        <v>138281097</v>
      </c>
      <c r="U190" s="93">
        <v>139177865</v>
      </c>
      <c r="V190" s="93">
        <v>135693116</v>
      </c>
      <c r="W190" s="93">
        <f>SUM(S190:V190)</f>
        <v>551862736</v>
      </c>
      <c r="X190" s="93">
        <v>128675817</v>
      </c>
      <c r="Y190" s="93">
        <v>128827484</v>
      </c>
      <c r="Z190" s="93">
        <v>125612564</v>
      </c>
      <c r="AA190" s="93">
        <v>129119421</v>
      </c>
      <c r="AB190" s="93">
        <f>SUM(X190:AA190)</f>
        <v>512235286</v>
      </c>
      <c r="AC190" s="93">
        <v>131596000</v>
      </c>
      <c r="AD190" s="93">
        <v>131589471</v>
      </c>
      <c r="AE190" s="93">
        <v>122091837</v>
      </c>
      <c r="AF190" s="93">
        <v>115361048</v>
      </c>
      <c r="AG190" s="93">
        <f>SUM(AC190:AF190)</f>
        <v>500638356</v>
      </c>
      <c r="AH190" s="93">
        <v>114678565</v>
      </c>
      <c r="AI190" s="93">
        <v>109444053</v>
      </c>
      <c r="AJ190" s="93">
        <v>111768216</v>
      </c>
      <c r="AK190" s="93">
        <v>110260634</v>
      </c>
      <c r="AL190" s="93">
        <f>SUM(AH190:AK190)</f>
        <v>446151468</v>
      </c>
      <c r="AM190" s="93">
        <v>109390026</v>
      </c>
      <c r="AN190" s="93">
        <v>101525679</v>
      </c>
      <c r="AO190" s="93">
        <v>95472748</v>
      </c>
      <c r="AQ190" s="93"/>
      <c r="AR190" s="93"/>
    </row>
    <row r="191" spans="3:44" hidden="1" outlineLevel="2">
      <c r="C191" s="56" t="s">
        <v>410</v>
      </c>
      <c r="D191" s="93">
        <v>161534406</v>
      </c>
      <c r="E191" s="93">
        <v>184834034</v>
      </c>
      <c r="F191" s="93">
        <v>255768940</v>
      </c>
      <c r="G191" s="93">
        <v>238554446</v>
      </c>
      <c r="H191" s="93">
        <f>SUM(D191:G191)</f>
        <v>840691826</v>
      </c>
      <c r="I191" s="93">
        <v>217343750</v>
      </c>
      <c r="J191" s="93">
        <v>275746341</v>
      </c>
      <c r="K191" s="93">
        <v>220647675</v>
      </c>
      <c r="L191" s="93">
        <v>224815520</v>
      </c>
      <c r="M191" s="93">
        <f>SUM(I191:L191)</f>
        <v>938553286</v>
      </c>
      <c r="N191" s="93">
        <v>169138388</v>
      </c>
      <c r="O191" s="93">
        <v>162865091</v>
      </c>
      <c r="P191" s="93">
        <v>161947298</v>
      </c>
      <c r="Q191" s="93">
        <v>157107445</v>
      </c>
      <c r="R191" s="93">
        <f>SUM(N191:Q191)</f>
        <v>651058222</v>
      </c>
      <c r="S191" s="93">
        <v>163581350</v>
      </c>
      <c r="T191" s="93">
        <v>162027940</v>
      </c>
      <c r="U191" s="93">
        <v>162982040</v>
      </c>
      <c r="V191" s="93">
        <v>163420630</v>
      </c>
      <c r="W191" s="93">
        <f>SUM(S191:V191)</f>
        <v>652011960</v>
      </c>
      <c r="X191" s="93">
        <v>163089040</v>
      </c>
      <c r="Y191" s="93">
        <v>163981630</v>
      </c>
      <c r="Z191" s="93">
        <v>159741940</v>
      </c>
      <c r="AA191" s="93">
        <v>159499130</v>
      </c>
      <c r="AB191" s="93">
        <f>SUM(X191:AA191)</f>
        <v>646311740</v>
      </c>
      <c r="AC191" s="93">
        <v>158504810</v>
      </c>
      <c r="AD191" s="93">
        <v>158639850</v>
      </c>
      <c r="AE191" s="93">
        <v>153292570</v>
      </c>
      <c r="AF191" s="93">
        <v>154474750</v>
      </c>
      <c r="AG191" s="93">
        <f>SUM(AC191:AF191)</f>
        <v>624911980</v>
      </c>
      <c r="AH191" s="93">
        <v>151846210</v>
      </c>
      <c r="AI191" s="93">
        <v>146679410</v>
      </c>
      <c r="AJ191" s="93">
        <v>145358950</v>
      </c>
      <c r="AK191" s="93">
        <v>141479930</v>
      </c>
      <c r="AL191" s="93">
        <f>SUM(AH191:AK191)</f>
        <v>585364500</v>
      </c>
      <c r="AM191" s="93">
        <v>145474610</v>
      </c>
      <c r="AN191" s="93">
        <v>138427650</v>
      </c>
      <c r="AO191" s="93">
        <v>133970930</v>
      </c>
      <c r="AQ191" s="93"/>
      <c r="AR191" s="93"/>
    </row>
    <row r="192" spans="3:44" hidden="1" outlineLevel="2">
      <c r="C192" s="56" t="s">
        <v>411</v>
      </c>
      <c r="D192" s="93"/>
      <c r="E192" s="93">
        <v>68624090</v>
      </c>
      <c r="F192" s="93">
        <v>84603590</v>
      </c>
      <c r="G192" s="93">
        <v>86225600</v>
      </c>
      <c r="H192" s="93">
        <f>SUM(D192:G192)</f>
        <v>239453280</v>
      </c>
      <c r="I192" s="93">
        <v>91863790</v>
      </c>
      <c r="J192" s="93">
        <v>100335150</v>
      </c>
      <c r="K192" s="93">
        <v>111778990</v>
      </c>
      <c r="L192" s="93">
        <v>119546320</v>
      </c>
      <c r="M192" s="93">
        <f>SUM(I192:L192)</f>
        <v>423524250</v>
      </c>
      <c r="N192" s="93">
        <v>127189760</v>
      </c>
      <c r="O192" s="93">
        <v>136994010</v>
      </c>
      <c r="P192" s="93">
        <v>145791380</v>
      </c>
      <c r="Q192" s="93">
        <v>155302440</v>
      </c>
      <c r="R192" s="93">
        <f>SUM(N192:Q192)</f>
        <v>565277590</v>
      </c>
      <c r="S192" s="93">
        <v>173441370</v>
      </c>
      <c r="T192" s="93">
        <v>184779500</v>
      </c>
      <c r="U192" s="93">
        <v>190394860</v>
      </c>
      <c r="V192" s="93">
        <v>209449870</v>
      </c>
      <c r="W192" s="93">
        <f>SUM(S192:V192)</f>
        <v>758065600</v>
      </c>
      <c r="X192" s="93">
        <v>218681330</v>
      </c>
      <c r="Y192" s="93">
        <v>224920120</v>
      </c>
      <c r="Z192" s="93">
        <v>227426340</v>
      </c>
      <c r="AA192" s="93">
        <v>241892080</v>
      </c>
      <c r="AB192" s="93">
        <f>SUM(X192:AA192)</f>
        <v>912919870</v>
      </c>
      <c r="AC192" s="93">
        <v>245438650</v>
      </c>
      <c r="AD192" s="93">
        <v>249809760</v>
      </c>
      <c r="AE192" s="93">
        <v>274693450</v>
      </c>
      <c r="AF192" s="93">
        <v>308572330</v>
      </c>
      <c r="AG192" s="93">
        <f>SUM(AC192:AF192)</f>
        <v>1078514190</v>
      </c>
      <c r="AH192" s="93">
        <v>324637790</v>
      </c>
      <c r="AI192" s="93">
        <v>330366950</v>
      </c>
      <c r="AJ192" s="93">
        <v>340757555</v>
      </c>
      <c r="AK192" s="93">
        <v>344874555</v>
      </c>
      <c r="AL192" s="93">
        <f>SUM(AH192:AK192)</f>
        <v>1340636850</v>
      </c>
      <c r="AM192" s="93">
        <v>348386215</v>
      </c>
      <c r="AN192" s="93">
        <v>378361540</v>
      </c>
      <c r="AO192" s="93">
        <v>344782060</v>
      </c>
      <c r="AQ192" s="93"/>
      <c r="AR192" s="93"/>
    </row>
    <row r="193" spans="3:44" hidden="1" outlineLevel="2">
      <c r="C193" s="56" t="s">
        <v>412</v>
      </c>
      <c r="D193" s="93">
        <v>21680</v>
      </c>
      <c r="E193" s="93">
        <v>52444520</v>
      </c>
      <c r="F193" s="93">
        <v>243022970</v>
      </c>
      <c r="G193" s="93">
        <v>290765410</v>
      </c>
      <c r="H193" s="93">
        <f>SUM(D193:G193)</f>
        <v>586254580</v>
      </c>
      <c r="I193" s="93">
        <v>447728230</v>
      </c>
      <c r="J193" s="93">
        <v>527021040</v>
      </c>
      <c r="K193" s="93">
        <v>547586590</v>
      </c>
      <c r="L193" s="93">
        <v>583793600</v>
      </c>
      <c r="M193" s="93">
        <f>SUM(I193:L193)</f>
        <v>2106129460</v>
      </c>
      <c r="N193" s="93">
        <v>667400010</v>
      </c>
      <c r="O193" s="93">
        <v>748468340</v>
      </c>
      <c r="P193" s="93">
        <v>796953360</v>
      </c>
      <c r="Q193" s="93">
        <v>806033950</v>
      </c>
      <c r="R193" s="93">
        <f>SUM(N193:Q193)</f>
        <v>3018855660</v>
      </c>
      <c r="S193" s="93">
        <v>917194705</v>
      </c>
      <c r="T193" s="93">
        <v>964624645</v>
      </c>
      <c r="U193" s="93">
        <v>996571530</v>
      </c>
      <c r="V193" s="93">
        <v>1090612720</v>
      </c>
      <c r="W193" s="93">
        <f>SUM(S193:V193)</f>
        <v>3969003600</v>
      </c>
      <c r="X193" s="93">
        <v>1114509150</v>
      </c>
      <c r="Y193" s="93">
        <v>1137934615</v>
      </c>
      <c r="Z193" s="93">
        <v>1141780185</v>
      </c>
      <c r="AA193" s="93">
        <v>1136497850</v>
      </c>
      <c r="AB193" s="93">
        <f>SUM(X193:AA193)</f>
        <v>4530721800</v>
      </c>
      <c r="AC193" s="93">
        <v>1209236550</v>
      </c>
      <c r="AD193" s="93">
        <v>1248786940</v>
      </c>
      <c r="AE193" s="93">
        <v>1154859615</v>
      </c>
      <c r="AF193" s="93">
        <v>1114069425</v>
      </c>
      <c r="AG193" s="93">
        <f>SUM(AC193:AF193)</f>
        <v>4726952530</v>
      </c>
      <c r="AH193" s="93">
        <v>1077877428</v>
      </c>
      <c r="AI193" s="93">
        <v>1053010750</v>
      </c>
      <c r="AJ193" s="93">
        <v>1009738430</v>
      </c>
      <c r="AK193" s="93">
        <v>1014851580</v>
      </c>
      <c r="AL193" s="93">
        <f>SUM(AH193:AK193)</f>
        <v>4155478188</v>
      </c>
      <c r="AM193" s="93">
        <v>976081545</v>
      </c>
      <c r="AN193" s="93">
        <v>993644095</v>
      </c>
      <c r="AO193" s="93">
        <v>901125565</v>
      </c>
      <c r="AQ193" s="93"/>
      <c r="AR193" s="93"/>
    </row>
    <row r="194" spans="3:44" hidden="1" outlineLevel="1">
      <c r="C194" s="118"/>
      <c r="D194" s="93"/>
      <c r="E194" s="93"/>
      <c r="F194" s="93"/>
      <c r="G194" s="93"/>
      <c r="H194" s="93"/>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c r="AF194" s="93"/>
      <c r="AG194" s="93"/>
      <c r="AH194" s="93"/>
      <c r="AI194" s="93"/>
      <c r="AJ194" s="93"/>
      <c r="AK194" s="93"/>
      <c r="AL194" s="93"/>
      <c r="AM194" s="93"/>
      <c r="AN194" s="93"/>
      <c r="AO194" s="93"/>
      <c r="AQ194" s="93"/>
      <c r="AR194" s="93"/>
    </row>
    <row r="195" spans="3:44" hidden="1" outlineLevel="1">
      <c r="C195" s="118" t="s">
        <v>459</v>
      </c>
      <c r="D195" s="84">
        <f>D150/90/10^6</f>
        <v>18.437149877777777</v>
      </c>
      <c r="E195" s="84">
        <f>E150/90/10^6</f>
        <v>17.764586544444445</v>
      </c>
      <c r="F195" s="84">
        <f>F150/90/10^6</f>
        <v>15.254972988888889</v>
      </c>
      <c r="G195" s="84">
        <f>G150/90/10^6</f>
        <v>15.097656855555554</v>
      </c>
      <c r="H195" s="84">
        <f>H150/360/10^6</f>
        <v>16.638591566666665</v>
      </c>
      <c r="I195" s="84">
        <f>I150/90/10^6</f>
        <v>13.385524188888889</v>
      </c>
      <c r="J195" s="84">
        <f>J150/90/10^6</f>
        <v>12.475806866666668</v>
      </c>
      <c r="K195" s="84">
        <f>K150/90/10^6</f>
        <v>12.097501422222223</v>
      </c>
      <c r="L195" s="84">
        <f>L150/90/10^6</f>
        <v>12.050670488888889</v>
      </c>
      <c r="M195" s="84">
        <f>M150/360/10^6</f>
        <v>12.502375741666667</v>
      </c>
      <c r="N195" s="84">
        <f>N150/90/10^6</f>
        <v>11.869250922222223</v>
      </c>
      <c r="O195" s="84">
        <f>O150/90/10^6</f>
        <v>11.960037466666666</v>
      </c>
      <c r="P195" s="84">
        <f>P150/90/10^6</f>
        <v>11.805247322222222</v>
      </c>
      <c r="Q195" s="84">
        <f>Q150/90/10^6</f>
        <v>11.764591777777778</v>
      </c>
      <c r="R195" s="84">
        <f>R150/360/10^6</f>
        <v>11.849781872222222</v>
      </c>
      <c r="S195" s="84">
        <f>S150/90/10^6</f>
        <v>12.0380942</v>
      </c>
      <c r="T195" s="84">
        <f>T150/90/10^6</f>
        <v>11.940089822222221</v>
      </c>
      <c r="U195" s="84">
        <f>U150/90/10^6</f>
        <v>11.7674538</v>
      </c>
      <c r="V195" s="84">
        <f>V150/90/10^6</f>
        <v>11.866260377777778</v>
      </c>
      <c r="W195" s="84">
        <f>W150/360/10^6</f>
        <v>11.902974550000001</v>
      </c>
      <c r="X195" s="84">
        <f>X150/90/10^6</f>
        <v>12.1265626</v>
      </c>
      <c r="Y195" s="84">
        <f>Y150/90/10^6</f>
        <v>11.971105277777777</v>
      </c>
      <c r="Z195" s="84">
        <f>Z150/90/10^6</f>
        <v>11.604203188888889</v>
      </c>
      <c r="AA195" s="84">
        <f>AA150/90/10^6</f>
        <v>11.757439400000001</v>
      </c>
      <c r="AB195" s="84">
        <f>AB150/360/10^6</f>
        <v>11.864827616666668</v>
      </c>
      <c r="AC195" s="84">
        <f>AC150/90/10^6</f>
        <v>11.607607322222222</v>
      </c>
      <c r="AD195" s="84">
        <f>AD150/90/10^6</f>
        <v>11.704082166666666</v>
      </c>
      <c r="AE195" s="84">
        <f>AE150/90/10^6</f>
        <v>11.494269222222222</v>
      </c>
      <c r="AF195" s="84">
        <f>AF150/90/10^6</f>
        <v>10.589081133333332</v>
      </c>
      <c r="AG195" s="84">
        <f>AG150/360/10^6</f>
        <v>11.348759961111112</v>
      </c>
      <c r="AH195" s="84">
        <f>AH150/90/10^6</f>
        <v>8.4338008999999996</v>
      </c>
      <c r="AI195" s="84">
        <f>AI150/90/10^6</f>
        <v>7.4125443777777775</v>
      </c>
      <c r="AJ195" s="84">
        <f>AJ150/90/10^6</f>
        <v>6.2534465666666668</v>
      </c>
      <c r="AK195" s="84">
        <f>AK150/90/10^6</f>
        <v>5.8168403555555557</v>
      </c>
      <c r="AL195" s="84">
        <f>AL150/360/10^6</f>
        <v>6.9791580499999997</v>
      </c>
      <c r="AM195" s="84">
        <f>AM150/90/10^6</f>
        <v>5.3271907111111112</v>
      </c>
      <c r="AN195" s="84">
        <f>AN150/90/10^6</f>
        <v>5.0503654222222218</v>
      </c>
      <c r="AO195" s="84">
        <f>AO150/90/10^6</f>
        <v>4.3329995333333331</v>
      </c>
      <c r="AQ195" s="84"/>
      <c r="AR195" s="84"/>
    </row>
    <row r="196" spans="3:44" hidden="1" outlineLevel="1">
      <c r="C196" s="118" t="s">
        <v>460</v>
      </c>
      <c r="D196" s="84">
        <f>D167/90/10^6</f>
        <v>1.7852744444444444</v>
      </c>
      <c r="E196" s="84">
        <f>E167/90/10^6</f>
        <v>2.0008314444444446</v>
      </c>
      <c r="F196" s="84">
        <f>F167/90/10^6</f>
        <v>2.1546884444444445</v>
      </c>
      <c r="G196" s="84">
        <f>G167/90/10^6</f>
        <v>2.3131228888888891</v>
      </c>
      <c r="H196" s="84">
        <f>H167/360/10^6</f>
        <v>2.0634793055555556</v>
      </c>
      <c r="I196" s="84">
        <f>I167/90/10^6</f>
        <v>2.4863436666666665</v>
      </c>
      <c r="J196" s="84">
        <f>J167/90/10^6</f>
        <v>2.6201542222222218</v>
      </c>
      <c r="K196" s="84">
        <f>K167/90/10^6</f>
        <v>2.6957255555555557</v>
      </c>
      <c r="L196" s="84">
        <f>L167/90/10^6</f>
        <v>2.7556964444444443</v>
      </c>
      <c r="M196" s="84">
        <f>M167/360/10^6</f>
        <v>2.639479972222222</v>
      </c>
      <c r="N196" s="84">
        <f>N167/90/10^6</f>
        <v>2.4768786666666665</v>
      </c>
      <c r="O196" s="84">
        <f>O167/90/10^6</f>
        <v>2.0539343333333333</v>
      </c>
      <c r="P196" s="84">
        <f>P167/90/10^6</f>
        <v>1.906910888888889</v>
      </c>
      <c r="Q196" s="84">
        <f>Q167/90/10^6</f>
        <v>1.6566655555555556</v>
      </c>
      <c r="R196" s="84">
        <f>R167/360/10^6</f>
        <v>2.0235973611111109</v>
      </c>
      <c r="S196" s="84">
        <f>S167/90/10^6</f>
        <v>1.541765888888889</v>
      </c>
      <c r="T196" s="84">
        <f>T167/90/10^6</f>
        <v>1.444968888888889</v>
      </c>
      <c r="U196" s="84">
        <f>U167/90/10^6</f>
        <v>1.3877948888888889</v>
      </c>
      <c r="V196" s="84">
        <f>V167/90/10^6</f>
        <v>1.3072464444444445</v>
      </c>
      <c r="W196" s="84">
        <f>W167/360/10^6</f>
        <v>1.4204440277777777</v>
      </c>
      <c r="X196" s="84">
        <f>X167/90/10^6</f>
        <v>1.2692164444444445</v>
      </c>
      <c r="Y196" s="84">
        <f>Y167/90/10^6</f>
        <v>1.1822345555555556</v>
      </c>
      <c r="Z196" s="84">
        <f>Z167/90/10^6</f>
        <v>1.1082015555555556</v>
      </c>
      <c r="AA196" s="84">
        <f>AA167/90/10^6</f>
        <v>1.0637253333333332</v>
      </c>
      <c r="AB196" s="84">
        <f>AB167/360/10^6</f>
        <v>1.1558444722222223</v>
      </c>
      <c r="AC196" s="84">
        <f>AC167/90/10^6</f>
        <v>1.0116465555555556</v>
      </c>
      <c r="AD196" s="84">
        <f>AD167/90/10^6</f>
        <v>0.93064611111111117</v>
      </c>
      <c r="AE196" s="84">
        <f>AE167/90/10^6</f>
        <v>0.85476366666666659</v>
      </c>
      <c r="AF196" s="84">
        <f>AF167/90/10^6</f>
        <v>0.78244122222222223</v>
      </c>
      <c r="AG196" s="84">
        <f>AG167/360/10^6</f>
        <v>0.89487438888888893</v>
      </c>
      <c r="AH196" s="84">
        <f>AH167/90/10^6</f>
        <v>0.74112655555555551</v>
      </c>
      <c r="AI196" s="84">
        <f>AI167/90/10^6</f>
        <v>0.68680688888888886</v>
      </c>
      <c r="AJ196" s="84">
        <f>AJ167/90/10^6</f>
        <v>0.65110488888888884</v>
      </c>
      <c r="AK196" s="84">
        <f>AK167/90/10^6</f>
        <v>0.60476066666666661</v>
      </c>
      <c r="AL196" s="84">
        <f>AL167/360/10^6</f>
        <v>0.67094975000000001</v>
      </c>
      <c r="AM196" s="84">
        <f>AM167/90/10^6</f>
        <v>0.57868688888888886</v>
      </c>
      <c r="AN196" s="84">
        <f>AN167/90/10^6</f>
        <v>0.54406433333333337</v>
      </c>
      <c r="AO196" s="84">
        <f>AO167/90/10^6</f>
        <v>0.49849477777777773</v>
      </c>
      <c r="AQ196" s="84"/>
      <c r="AR196" s="84"/>
    </row>
    <row r="197" spans="3:44" hidden="1" outlineLevel="1">
      <c r="C197" s="118" t="s">
        <v>461</v>
      </c>
      <c r="D197" s="84">
        <f>D169/90/10^6</f>
        <v>1.6604182222222224</v>
      </c>
      <c r="E197" s="84">
        <f>E169/90/10^6</f>
        <v>1.7393293444444444</v>
      </c>
      <c r="F197" s="84">
        <f>F169/90/10^6</f>
        <v>1.8167344666666665</v>
      </c>
      <c r="G197" s="84">
        <f>G169/90/10^6</f>
        <v>1.8984421111111109</v>
      </c>
      <c r="H197" s="84">
        <f>H169/360/10^6</f>
        <v>1.7787310361111111</v>
      </c>
      <c r="I197" s="84">
        <f>I169/90/10^6</f>
        <v>1.9926512222222224</v>
      </c>
      <c r="J197" s="84">
        <f>J169/90/10^6</f>
        <v>2.0527412222222221</v>
      </c>
      <c r="K197" s="84">
        <f>K169/90/10^6</f>
        <v>2.091433888888889</v>
      </c>
      <c r="L197" s="84">
        <f>L169/90/10^6</f>
        <v>2.1193249999999999</v>
      </c>
      <c r="M197" s="84">
        <f>M169/360/10^6</f>
        <v>2.0640378333333333</v>
      </c>
      <c r="N197" s="84">
        <f>N169/90/10^6</f>
        <v>1.9121563333333333</v>
      </c>
      <c r="O197" s="84">
        <f>O169/90/10^6</f>
        <v>1.6234212222222222</v>
      </c>
      <c r="P197" s="84">
        <f>P169/90/10^6</f>
        <v>1.559328</v>
      </c>
      <c r="Q197" s="84">
        <f>Q169/90/10^6</f>
        <v>1.4338235555555554</v>
      </c>
      <c r="R197" s="84">
        <f>R169/360/10^6</f>
        <v>1.6321822777777777</v>
      </c>
      <c r="S197" s="84">
        <f>S169/90/10^6</f>
        <v>1.4070593333333332</v>
      </c>
      <c r="T197" s="84">
        <f>T169/90/10^6</f>
        <v>1.3779227777777778</v>
      </c>
      <c r="U197" s="84">
        <f>U169/90/10^6</f>
        <v>1.3583743333333334</v>
      </c>
      <c r="V197" s="84">
        <f>V169/90/10^6</f>
        <v>1.2968023333333332</v>
      </c>
      <c r="W197" s="84">
        <f>W169/360/10^6</f>
        <v>1.3600396944444444</v>
      </c>
      <c r="X197" s="84">
        <f>X169/90/10^6</f>
        <v>1.3149978888888889</v>
      </c>
      <c r="Y197" s="84">
        <f>Y169/90/10^6</f>
        <v>1.2511085555555554</v>
      </c>
      <c r="Z197" s="84">
        <f>Z169/90/10^6</f>
        <v>1.2063515555555555</v>
      </c>
      <c r="AA197" s="84">
        <f>AA169/90/10^6</f>
        <v>1.205643888888889</v>
      </c>
      <c r="AB197" s="84">
        <f>AB169/360/10^6</f>
        <v>1.2445254722222223</v>
      </c>
      <c r="AC197" s="84">
        <f>AC169/90/10^6</f>
        <v>1.2115984444444445</v>
      </c>
      <c r="AD197" s="84">
        <f>AD169/90/10^6</f>
        <v>1.173005888888889</v>
      </c>
      <c r="AE197" s="84">
        <f>AE169/90/10^6</f>
        <v>1.147324</v>
      </c>
      <c r="AF197" s="84">
        <f>AF169/90/10^6</f>
        <v>1.1314418888888891</v>
      </c>
      <c r="AG197" s="84">
        <f>AG169/360/10^6</f>
        <v>1.1658425555555556</v>
      </c>
      <c r="AH197" s="84">
        <f>AH169/90/10^6</f>
        <v>1.1453456666666668</v>
      </c>
      <c r="AI197" s="84">
        <f>AI169/90/10^6</f>
        <v>1.1120906666666668</v>
      </c>
      <c r="AJ197" s="84">
        <f>AJ169/90/10^6</f>
        <v>1.1030603333333333</v>
      </c>
      <c r="AK197" s="84">
        <f>AK169/90/10^6</f>
        <v>1.1178524444444444</v>
      </c>
      <c r="AL197" s="84">
        <f>AL169/360/10^6</f>
        <v>1.1195872777777778</v>
      </c>
      <c r="AM197" s="84">
        <f>AM169/90/10^6</f>
        <v>1.1059005555555554</v>
      </c>
      <c r="AN197" s="84">
        <f>AN169/90/10^6</f>
        <v>1.0926488222222221</v>
      </c>
      <c r="AO197" s="84">
        <f>AO169/90/10^6</f>
        <v>1.0377137777777778</v>
      </c>
      <c r="AQ197" s="84"/>
      <c r="AR197" s="84"/>
    </row>
    <row r="198" spans="3:44" hidden="1" outlineLevel="1">
      <c r="C198" s="118" t="s">
        <v>462</v>
      </c>
      <c r="D198" s="84">
        <f>D171/90/10^6</f>
        <v>0.19356483333333335</v>
      </c>
      <c r="E198" s="84">
        <f>E171/90/10^6</f>
        <v>0.18778496666666666</v>
      </c>
      <c r="F198" s="84">
        <f>F171/90/10^6</f>
        <v>0.18383784444444443</v>
      </c>
      <c r="G198" s="84">
        <f>G171/90/10^6</f>
        <v>0.18792543333333331</v>
      </c>
      <c r="H198" s="84">
        <f>H171/360/10^6</f>
        <v>0.18827826944444445</v>
      </c>
      <c r="I198" s="84">
        <f>I171/90/10^6</f>
        <v>0.18099225555555554</v>
      </c>
      <c r="J198" s="84">
        <f>J171/90/10^6</f>
        <v>0.18436752222222225</v>
      </c>
      <c r="K198" s="84">
        <f>K171/90/10^6</f>
        <v>0.19713233333333335</v>
      </c>
      <c r="L198" s="84">
        <f>L171/90/10^6</f>
        <v>0.21609081111111111</v>
      </c>
      <c r="M198" s="84">
        <f>M171/360/10^6</f>
        <v>0.19464573055555556</v>
      </c>
      <c r="N198" s="84">
        <f>N171/90/10^6</f>
        <v>0.28003513333333335</v>
      </c>
      <c r="O198" s="84">
        <f>O171/90/10^6</f>
        <v>0.2933175111111111</v>
      </c>
      <c r="P198" s="84">
        <f>P171/90/10^6</f>
        <v>0.32213809999999998</v>
      </c>
      <c r="Q198" s="84">
        <f>Q171/90/10^6</f>
        <v>0.34095303333333332</v>
      </c>
      <c r="R198" s="84">
        <f>R171/360/10^6</f>
        <v>0.30911094444444442</v>
      </c>
      <c r="S198" s="84">
        <f>S171/90/10^6</f>
        <v>0.37374836666666666</v>
      </c>
      <c r="T198" s="84">
        <f>T171/90/10^6</f>
        <v>0.37506342222222222</v>
      </c>
      <c r="U198" s="84">
        <f>U171/90/10^6</f>
        <v>0.3725705777777778</v>
      </c>
      <c r="V198" s="84">
        <f>V171/90/10^6</f>
        <v>0.36486517777777777</v>
      </c>
      <c r="W198" s="84">
        <f>W171/360/10^6</f>
        <v>0.37156188611111107</v>
      </c>
      <c r="X198" s="84">
        <f>X171/90/10^6</f>
        <v>0.39573515555555555</v>
      </c>
      <c r="Y198" s="84">
        <f>Y171/90/10^6</f>
        <v>0.40328358888888888</v>
      </c>
      <c r="Z198" s="84">
        <f>Z171/90/10^6</f>
        <v>0.39087873333333334</v>
      </c>
      <c r="AA198" s="84">
        <f>AA171/90/10^6</f>
        <v>0.36920397777777775</v>
      </c>
      <c r="AB198" s="84">
        <f>AB171/360/10^6</f>
        <v>0.38977536388888889</v>
      </c>
      <c r="AC198" s="84">
        <f>AC171/90/10^6</f>
        <v>0.36753103333333331</v>
      </c>
      <c r="AD198" s="84">
        <f>AD171/90/10^6</f>
        <v>0.35439763333333335</v>
      </c>
      <c r="AE198" s="84">
        <f>AE171/90/10^6</f>
        <v>0.32139102222222221</v>
      </c>
      <c r="AF198" s="84">
        <f>AF171/90/10^6</f>
        <v>0.31691028888888889</v>
      </c>
      <c r="AG198" s="84">
        <f>AG171/360/10^6</f>
        <v>0.34005749444444444</v>
      </c>
      <c r="AH198" s="84">
        <f>AH171/90/10^6</f>
        <v>0.30857936666666663</v>
      </c>
      <c r="AI198" s="84">
        <f>AI171/90/10^6</f>
        <v>0.29607211111111115</v>
      </c>
      <c r="AJ198" s="84">
        <f>AJ171/90/10^6</f>
        <v>0.28790520000000003</v>
      </c>
      <c r="AK198" s="84">
        <f>AK171/90/10^6</f>
        <v>0.28542681111111112</v>
      </c>
      <c r="AL198" s="84">
        <f>AL171/360/10^6</f>
        <v>0.29449587222222223</v>
      </c>
      <c r="AM198" s="84">
        <f>AM171/90/10^6</f>
        <v>0.27207137777777779</v>
      </c>
      <c r="AN198" s="84">
        <f>AN171/90/10^6</f>
        <v>0.24080661111111112</v>
      </c>
      <c r="AO198" s="84">
        <f>AO171/90/10^6</f>
        <v>0.19474206666666669</v>
      </c>
      <c r="AQ198" s="84"/>
      <c r="AR198" s="84"/>
    </row>
    <row r="199" spans="3:44" hidden="1" outlineLevel="1">
      <c r="C199" s="118" t="s">
        <v>463</v>
      </c>
      <c r="D199" s="84">
        <f>D181/90/10^6</f>
        <v>4.0768025555555552</v>
      </c>
      <c r="E199" s="84">
        <f>E181/90/10^6</f>
        <v>5.6997613666666664</v>
      </c>
      <c r="F199" s="84">
        <f>F181/90/10^6</f>
        <v>8.8467761888888887</v>
      </c>
      <c r="G199" s="84">
        <f>G181/90/10^6</f>
        <v>9.08518901111111</v>
      </c>
      <c r="H199" s="84">
        <f>H181/360/10^6</f>
        <v>6.927132280555556</v>
      </c>
      <c r="I199" s="84">
        <f>I181/90/10^6</f>
        <v>10.659737655555556</v>
      </c>
      <c r="J199" s="84">
        <f>J181/90/10^6</f>
        <v>12.291776633333333</v>
      </c>
      <c r="K199" s="84">
        <f>K181/90/10^6</f>
        <v>12.052695888888888</v>
      </c>
      <c r="L199" s="84">
        <f>L181/90/10^6</f>
        <v>12.598099611111111</v>
      </c>
      <c r="M199" s="84">
        <f>M181/360/10^6</f>
        <v>11.900577447222222</v>
      </c>
      <c r="N199" s="84">
        <f>N181/90/10^6</f>
        <v>12.940028322222222</v>
      </c>
      <c r="O199" s="84">
        <f>O181/90/10^6</f>
        <v>13.926636533333333</v>
      </c>
      <c r="P199" s="84">
        <f>P181/90/10^6</f>
        <v>14.594140311111111</v>
      </c>
      <c r="Q199" s="84">
        <f>Q181/90/10^6</f>
        <v>14.801599688888889</v>
      </c>
      <c r="R199" s="84">
        <f>R181/360/10^6</f>
        <v>14.06560121388889</v>
      </c>
      <c r="S199" s="84">
        <f>S181/90/10^6</f>
        <v>16.448185411111112</v>
      </c>
      <c r="T199" s="84">
        <f>T181/90/10^6</f>
        <v>17.14416702222222</v>
      </c>
      <c r="U199" s="84">
        <f>U181/90/10^6</f>
        <v>17.616406755555555</v>
      </c>
      <c r="V199" s="84">
        <f>V181/90/10^6</f>
        <v>18.867296899999999</v>
      </c>
      <c r="W199" s="84">
        <f>W181/360/10^6</f>
        <v>17.519014022222223</v>
      </c>
      <c r="X199" s="84">
        <f>X181/90/10^6</f>
        <v>19.2599652</v>
      </c>
      <c r="Y199" s="84">
        <f>Y181/90/10^6</f>
        <v>19.647176511111109</v>
      </c>
      <c r="Z199" s="84">
        <f>Z181/90/10^6</f>
        <v>19.736683288888891</v>
      </c>
      <c r="AA199" s="84">
        <f>AA181/90/10^6</f>
        <v>19.904935488888889</v>
      </c>
      <c r="AB199" s="84">
        <f>AB181/360/10^6</f>
        <v>19.637190122222222</v>
      </c>
      <c r="AC199" s="84">
        <f>AC181/90/10^6</f>
        <v>20.825591566666667</v>
      </c>
      <c r="AD199" s="84">
        <f>AD181/90/10^6</f>
        <v>21.356185588888888</v>
      </c>
      <c r="AE199" s="84">
        <f>AE181/90/10^6</f>
        <v>20.46520901111111</v>
      </c>
      <c r="AF199" s="84">
        <f>AF181/90/10^6</f>
        <v>22.116000100000001</v>
      </c>
      <c r="AG199" s="84">
        <f>AG181/360/10^6</f>
        <v>21.190746566666668</v>
      </c>
      <c r="AH199" s="84">
        <f>AH181/90/10^6</f>
        <v>24.08535952222222</v>
      </c>
      <c r="AI199" s="84">
        <f>AI181/90/10^6</f>
        <v>25.034051422222223</v>
      </c>
      <c r="AJ199" s="84">
        <f>AJ181/90/10^6</f>
        <v>26.259136100000003</v>
      </c>
      <c r="AK199" s="84">
        <f>AK181/90/10^6</f>
        <v>27.636401777777778</v>
      </c>
      <c r="AL199" s="84">
        <f>AL181/360/10^6</f>
        <v>25.753737205555556</v>
      </c>
      <c r="AM199" s="84">
        <f>AM181/90/10^6</f>
        <v>27.958343011111111</v>
      </c>
      <c r="AN199" s="84">
        <f>AN181/90/10^6</f>
        <v>28.890623188888888</v>
      </c>
      <c r="AO199" s="84">
        <f>AO181/90/10^6</f>
        <v>28.014324933333334</v>
      </c>
      <c r="AQ199" s="84"/>
      <c r="AR199" s="84"/>
    </row>
    <row r="200" spans="3:44">
      <c r="C200" s="56"/>
    </row>
    <row r="201" spans="3:44">
      <c r="C201" s="56"/>
    </row>
    <row r="202" spans="3:44">
      <c r="C202" s="56"/>
    </row>
    <row r="203" spans="3:44">
      <c r="C203" s="56"/>
    </row>
    <row r="204" spans="3:44">
      <c r="C204" s="56"/>
    </row>
    <row r="205" spans="3:44">
      <c r="C205" s="56"/>
    </row>
    <row r="206" spans="3:44">
      <c r="C206" s="56"/>
    </row>
    <row r="207" spans="3:44">
      <c r="C207" s="56"/>
    </row>
    <row r="208" spans="3:44">
      <c r="C208" s="56"/>
    </row>
    <row r="209" spans="3:3">
      <c r="C209" s="56"/>
    </row>
    <row r="210" spans="3:3">
      <c r="C210" s="756"/>
    </row>
    <row r="211" spans="3:3">
      <c r="C211" s="56"/>
    </row>
    <row r="212" spans="3:3">
      <c r="C212" s="56"/>
    </row>
    <row r="213" spans="3:3">
      <c r="C213" s="56"/>
    </row>
    <row r="214" spans="3:3">
      <c r="C214" s="56"/>
    </row>
    <row r="215" spans="3:3">
      <c r="C215" s="56"/>
    </row>
    <row r="216" spans="3:3">
      <c r="C216" s="56"/>
    </row>
    <row r="217" spans="3:3">
      <c r="C217" s="56"/>
    </row>
    <row r="218" spans="3:3">
      <c r="C218" s="56"/>
    </row>
    <row r="219" spans="3:3">
      <c r="C219" s="56"/>
    </row>
    <row r="220" spans="3:3">
      <c r="C220" s="56"/>
    </row>
    <row r="221" spans="3:3">
      <c r="C221" s="56"/>
    </row>
    <row r="222" spans="3:3">
      <c r="C222" s="56"/>
    </row>
    <row r="223" spans="3:3">
      <c r="C223" s="56"/>
    </row>
    <row r="224" spans="3:3">
      <c r="C224" s="56"/>
    </row>
    <row r="225" spans="3:3">
      <c r="C225" s="56"/>
    </row>
    <row r="226" spans="3:3">
      <c r="C226" s="56"/>
    </row>
    <row r="227" spans="3:3">
      <c r="C227" s="56"/>
    </row>
    <row r="228" spans="3:3">
      <c r="C228" s="56"/>
    </row>
    <row r="229" spans="3:3">
      <c r="C229" s="56"/>
    </row>
    <row r="230" spans="3:3">
      <c r="C230" s="56"/>
    </row>
    <row r="231" spans="3:3">
      <c r="C231" s="56"/>
    </row>
    <row r="232" spans="3:3">
      <c r="C232" s="56"/>
    </row>
    <row r="233" spans="3:3">
      <c r="C233" s="56"/>
    </row>
    <row r="234" spans="3:3">
      <c r="C234" s="56"/>
    </row>
    <row r="235" spans="3:3">
      <c r="C235" s="56"/>
    </row>
    <row r="236" spans="3:3">
      <c r="C236" s="56"/>
    </row>
    <row r="237" spans="3:3">
      <c r="C237" s="56"/>
    </row>
    <row r="238" spans="3:3">
      <c r="C238" s="56"/>
    </row>
    <row r="239" spans="3:3">
      <c r="C239" s="56"/>
    </row>
    <row r="240" spans="3:3">
      <c r="C240" s="56"/>
    </row>
    <row r="241" spans="3:41">
      <c r="C241" s="56"/>
    </row>
    <row r="242" spans="3:41">
      <c r="C242" s="56"/>
    </row>
    <row r="243" spans="3:41">
      <c r="C243" s="78"/>
      <c r="D243" s="108"/>
      <c r="E243" s="106"/>
      <c r="F243" s="106"/>
      <c r="G243" s="106"/>
      <c r="H243" s="106"/>
      <c r="I243" s="106"/>
      <c r="J243" s="106"/>
      <c r="K243" s="106"/>
      <c r="L243" s="106"/>
      <c r="M243" s="106"/>
      <c r="N243" s="106"/>
      <c r="O243" s="106"/>
      <c r="P243" s="106"/>
      <c r="Q243" s="106"/>
      <c r="R243" s="106"/>
      <c r="S243" s="106"/>
      <c r="T243" s="106"/>
      <c r="U243" s="106"/>
      <c r="V243" s="106"/>
      <c r="W243" s="106"/>
      <c r="X243" s="106"/>
      <c r="Y243" s="106"/>
      <c r="Z243" s="106"/>
      <c r="AA243" s="106"/>
      <c r="AB243" s="106"/>
      <c r="AC243" s="106"/>
      <c r="AD243" s="106"/>
      <c r="AE243" s="106"/>
      <c r="AF243" s="106"/>
      <c r="AG243" s="106"/>
      <c r="AH243" s="106"/>
      <c r="AI243" s="106"/>
      <c r="AJ243" s="106"/>
      <c r="AK243" s="106"/>
      <c r="AL243" s="106"/>
      <c r="AM243" s="106"/>
      <c r="AN243" s="106"/>
      <c r="AO243" s="106"/>
    </row>
    <row r="244" spans="3:41">
      <c r="C244" s="78"/>
      <c r="D244" s="108"/>
      <c r="E244" s="106"/>
      <c r="F244" s="106"/>
      <c r="G244" s="106"/>
      <c r="H244" s="106"/>
      <c r="I244" s="106"/>
      <c r="J244" s="106"/>
      <c r="K244" s="106"/>
      <c r="L244" s="106"/>
      <c r="M244" s="106"/>
      <c r="N244" s="106"/>
      <c r="O244" s="106"/>
      <c r="P244" s="106"/>
      <c r="Q244" s="106"/>
      <c r="R244" s="106"/>
      <c r="S244" s="106"/>
      <c r="T244" s="106"/>
      <c r="U244" s="106"/>
      <c r="V244" s="106"/>
      <c r="W244" s="106"/>
      <c r="X244" s="106"/>
      <c r="Y244" s="106"/>
      <c r="Z244" s="106"/>
      <c r="AA244" s="106"/>
      <c r="AB244" s="106"/>
      <c r="AC244" s="106"/>
      <c r="AD244" s="106"/>
      <c r="AE244" s="106"/>
      <c r="AF244" s="106"/>
      <c r="AG244" s="106"/>
      <c r="AH244" s="106"/>
      <c r="AI244" s="106"/>
      <c r="AJ244" s="106"/>
      <c r="AK244" s="106"/>
      <c r="AL244" s="106"/>
      <c r="AM244" s="106"/>
      <c r="AN244" s="106"/>
      <c r="AO244" s="124"/>
    </row>
    <row r="245" spans="3:41">
      <c r="C245" s="78"/>
      <c r="D245" s="108"/>
      <c r="E245" s="106"/>
      <c r="F245" s="106"/>
      <c r="G245" s="106"/>
      <c r="H245" s="106"/>
      <c r="I245" s="106"/>
      <c r="J245" s="106"/>
      <c r="K245" s="106"/>
      <c r="L245" s="106"/>
      <c r="M245" s="106"/>
      <c r="N245" s="106"/>
      <c r="O245" s="106"/>
      <c r="P245" s="106"/>
      <c r="Q245" s="106"/>
      <c r="R245" s="106"/>
      <c r="S245" s="106"/>
      <c r="T245" s="106"/>
      <c r="U245" s="106"/>
      <c r="V245" s="106"/>
      <c r="W245" s="106"/>
      <c r="X245" s="106"/>
      <c r="Y245" s="106"/>
      <c r="Z245" s="106"/>
      <c r="AA245" s="106"/>
      <c r="AB245" s="106"/>
      <c r="AC245" s="106"/>
      <c r="AD245" s="106"/>
      <c r="AE245" s="106"/>
      <c r="AF245" s="106"/>
      <c r="AG245" s="106"/>
      <c r="AH245" s="106"/>
      <c r="AI245" s="106"/>
      <c r="AJ245" s="106"/>
      <c r="AK245" s="106"/>
      <c r="AL245" s="106"/>
      <c r="AM245" s="106"/>
      <c r="AN245" s="106"/>
      <c r="AO245" s="106"/>
    </row>
  </sheetData>
  <mergeCells count="1">
    <mergeCell ref="A1:B1"/>
  </mergeCells>
  <phoneticPr fontId="13" type="noConversion"/>
  <pageMargins left="0.7" right="0.7" top="0.75" bottom="0.75" header="0.3" footer="0.3"/>
  <pageSetup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K117"/>
  <sheetViews>
    <sheetView zoomScale="115" zoomScaleNormal="115" workbookViewId="0">
      <selection activeCell="L12" sqref="L12"/>
    </sheetView>
  </sheetViews>
  <sheetFormatPr defaultColWidth="8" defaultRowHeight="12.75" outlineLevelRow="1" outlineLevelCol="1"/>
  <cols>
    <col min="1" max="1" width="2.125" style="3" customWidth="1"/>
    <col min="2" max="2" width="54.875" style="3" customWidth="1"/>
    <col min="3" max="11" width="8" style="3" hidden="1" customWidth="1" outlineLevel="1"/>
    <col min="12" max="12" width="8" style="3" customWidth="1" collapsed="1"/>
    <col min="13" max="33" width="8" style="3" customWidth="1"/>
    <col min="34" max="34" width="8.5" style="3" bestFit="1" customWidth="1"/>
    <col min="35" max="35" width="8.125" style="3" bestFit="1" customWidth="1"/>
    <col min="36" max="36" width="10.375" style="3" bestFit="1" customWidth="1"/>
    <col min="37" max="16384" width="8" style="3"/>
  </cols>
  <sheetData>
    <row r="1" spans="1:37">
      <c r="B1" s="2"/>
      <c r="C1" s="2">
        <v>2000</v>
      </c>
      <c r="D1" s="2">
        <v>2010</v>
      </c>
      <c r="E1" s="2">
        <f t="shared" ref="E1:S1" si="0">D1+1</f>
        <v>2011</v>
      </c>
      <c r="F1" s="2">
        <f t="shared" si="0"/>
        <v>2012</v>
      </c>
      <c r="G1" s="2">
        <f t="shared" si="0"/>
        <v>2013</v>
      </c>
      <c r="H1" s="2">
        <f t="shared" si="0"/>
        <v>2014</v>
      </c>
      <c r="I1" s="2">
        <f t="shared" si="0"/>
        <v>2015</v>
      </c>
      <c r="J1" s="2">
        <f t="shared" si="0"/>
        <v>2016</v>
      </c>
      <c r="K1" s="2">
        <f t="shared" si="0"/>
        <v>2017</v>
      </c>
      <c r="L1" s="2">
        <f t="shared" si="0"/>
        <v>2018</v>
      </c>
      <c r="M1" s="2">
        <f t="shared" si="0"/>
        <v>2019</v>
      </c>
      <c r="N1" s="2">
        <f t="shared" si="0"/>
        <v>2020</v>
      </c>
      <c r="O1" s="2">
        <f t="shared" si="0"/>
        <v>2021</v>
      </c>
      <c r="P1" s="2">
        <f t="shared" si="0"/>
        <v>2022</v>
      </c>
      <c r="Q1" s="2">
        <f t="shared" si="0"/>
        <v>2023</v>
      </c>
      <c r="R1" s="2">
        <f t="shared" si="0"/>
        <v>2024</v>
      </c>
      <c r="S1" s="2">
        <f t="shared" si="0"/>
        <v>2025</v>
      </c>
    </row>
    <row r="2" spans="1:37">
      <c r="B2" s="3" t="s">
        <v>464</v>
      </c>
      <c r="C2" s="4">
        <v>281.39999999999998</v>
      </c>
      <c r="D2" s="4">
        <v>308.7</v>
      </c>
      <c r="E2" s="4">
        <f t="shared" ref="E2:S2" si="1">D2*(1+D3)</f>
        <v>311.57161334723043</v>
      </c>
      <c r="F2" s="4">
        <f t="shared" si="1"/>
        <v>314.46993924132187</v>
      </c>
      <c r="G2" s="4">
        <f t="shared" si="1"/>
        <v>317.39522616982242</v>
      </c>
      <c r="H2" s="4">
        <f t="shared" si="1"/>
        <v>320.34772493178059</v>
      </c>
      <c r="I2" s="4">
        <f t="shared" si="1"/>
        <v>323.32768865924743</v>
      </c>
      <c r="J2" s="4">
        <f t="shared" si="1"/>
        <v>326.33537283897874</v>
      </c>
      <c r="K2" s="4">
        <f t="shared" si="1"/>
        <v>329.37103533433941</v>
      </c>
      <c r="L2" s="4">
        <f t="shared" si="1"/>
        <v>332.43493640741099</v>
      </c>
      <c r="M2" s="4">
        <f t="shared" si="1"/>
        <v>335.52733874130547</v>
      </c>
      <c r="N2" s="4">
        <f t="shared" si="1"/>
        <v>338.64850746268621</v>
      </c>
      <c r="O2" s="4">
        <f t="shared" si="1"/>
        <v>341.79871016449869</v>
      </c>
      <c r="P2" s="4">
        <f t="shared" si="1"/>
        <v>344.97821692891245</v>
      </c>
      <c r="Q2" s="4">
        <f t="shared" si="1"/>
        <v>348.18730035047651</v>
      </c>
      <c r="R2" s="4">
        <f t="shared" si="1"/>
        <v>351.42623555949029</v>
      </c>
      <c r="S2" s="4">
        <f t="shared" si="1"/>
        <v>354.69530024559197</v>
      </c>
      <c r="AG2" s="5"/>
      <c r="AH2" s="5"/>
      <c r="AI2" s="5"/>
      <c r="AJ2" s="5"/>
      <c r="AK2" s="5"/>
    </row>
    <row r="3" spans="1:37" hidden="1" outlineLevel="1">
      <c r="B3" s="6" t="s">
        <v>465</v>
      </c>
      <c r="D3" s="7">
        <f>(D2/C2)^(1/10)-1</f>
        <v>9.3022784166842953E-3</v>
      </c>
      <c r="E3" s="8">
        <f t="shared" ref="E3:S3" si="2">D3</f>
        <v>9.3022784166842953E-3</v>
      </c>
      <c r="F3" s="8">
        <f t="shared" si="2"/>
        <v>9.3022784166842953E-3</v>
      </c>
      <c r="G3" s="8">
        <f t="shared" si="2"/>
        <v>9.3022784166842953E-3</v>
      </c>
      <c r="H3" s="9">
        <f t="shared" si="2"/>
        <v>9.3022784166842953E-3</v>
      </c>
      <c r="I3" s="9">
        <f t="shared" si="2"/>
        <v>9.3022784166842953E-3</v>
      </c>
      <c r="J3" s="9">
        <f t="shared" si="2"/>
        <v>9.3022784166842953E-3</v>
      </c>
      <c r="K3" s="9">
        <f t="shared" si="2"/>
        <v>9.3022784166842953E-3</v>
      </c>
      <c r="L3" s="9">
        <f t="shared" si="2"/>
        <v>9.3022784166842953E-3</v>
      </c>
      <c r="M3" s="9">
        <f t="shared" si="2"/>
        <v>9.3022784166842953E-3</v>
      </c>
      <c r="N3" s="9">
        <f t="shared" si="2"/>
        <v>9.3022784166842953E-3</v>
      </c>
      <c r="O3" s="9">
        <f t="shared" si="2"/>
        <v>9.3022784166842953E-3</v>
      </c>
      <c r="P3" s="9">
        <f t="shared" si="2"/>
        <v>9.3022784166842953E-3</v>
      </c>
      <c r="Q3" s="9">
        <f t="shared" si="2"/>
        <v>9.3022784166842953E-3</v>
      </c>
      <c r="R3" s="9">
        <f t="shared" si="2"/>
        <v>9.3022784166842953E-3</v>
      </c>
      <c r="S3" s="9">
        <f t="shared" si="2"/>
        <v>9.3022784166842953E-3</v>
      </c>
      <c r="AG3" s="5"/>
      <c r="AH3" s="5"/>
      <c r="AI3" s="5"/>
      <c r="AJ3" s="5"/>
      <c r="AK3" s="5"/>
    </row>
    <row r="4" spans="1:37" collapsed="1">
      <c r="B4" s="3" t="s">
        <v>466</v>
      </c>
      <c r="C4" s="4">
        <f t="shared" ref="C4:S4" si="3">C5*C2</f>
        <v>23.919</v>
      </c>
      <c r="D4" s="4">
        <f t="shared" si="3"/>
        <v>26.2395</v>
      </c>
      <c r="E4" s="4">
        <f t="shared" si="3"/>
        <v>26.48358713451459</v>
      </c>
      <c r="F4" s="4">
        <f t="shared" si="3"/>
        <v>26.729944835512359</v>
      </c>
      <c r="G4" s="4">
        <f t="shared" si="3"/>
        <v>26.978594224434907</v>
      </c>
      <c r="H4" s="4">
        <f t="shared" si="3"/>
        <v>27.229556619201354</v>
      </c>
      <c r="I4" s="4">
        <f t="shared" si="3"/>
        <v>27.482853536036032</v>
      </c>
      <c r="J4" s="4">
        <f t="shared" si="3"/>
        <v>27.738506691313194</v>
      </c>
      <c r="K4" s="4">
        <f t="shared" si="3"/>
        <v>27.996538003418852</v>
      </c>
      <c r="L4" s="4">
        <f t="shared" si="3"/>
        <v>28.256969594629936</v>
      </c>
      <c r="M4" s="4">
        <f t="shared" si="3"/>
        <v>28.519823793010968</v>
      </c>
      <c r="N4" s="4">
        <f t="shared" si="3"/>
        <v>28.78512313432833</v>
      </c>
      <c r="O4" s="4">
        <f t="shared" si="3"/>
        <v>29.052890363982389</v>
      </c>
      <c r="P4" s="4">
        <f t="shared" si="3"/>
        <v>29.32314843895756</v>
      </c>
      <c r="Q4" s="4">
        <f t="shared" si="3"/>
        <v>29.595920529790504</v>
      </c>
      <c r="R4" s="4">
        <f t="shared" si="3"/>
        <v>29.871230022556677</v>
      </c>
      <c r="S4" s="4">
        <f t="shared" si="3"/>
        <v>30.149100520875319</v>
      </c>
      <c r="T4" s="10"/>
      <c r="AG4" s="5"/>
    </row>
    <row r="5" spans="1:37" ht="12.75" hidden="1" customHeight="1" outlineLevel="1">
      <c r="B5" s="6" t="s">
        <v>467</v>
      </c>
      <c r="C5" s="9">
        <v>8.5000000000000006E-2</v>
      </c>
      <c r="D5" s="9">
        <v>8.5000000000000006E-2</v>
      </c>
      <c r="E5" s="9">
        <v>8.5000000000000006E-2</v>
      </c>
      <c r="F5" s="9">
        <v>8.5000000000000006E-2</v>
      </c>
      <c r="G5" s="9">
        <v>8.5000000000000006E-2</v>
      </c>
      <c r="H5" s="9">
        <v>8.5000000000000006E-2</v>
      </c>
      <c r="I5" s="9">
        <v>8.5000000000000006E-2</v>
      </c>
      <c r="J5" s="9">
        <v>8.5000000000000006E-2</v>
      </c>
      <c r="K5" s="9">
        <v>8.5000000000000006E-2</v>
      </c>
      <c r="L5" s="9">
        <v>8.5000000000000006E-2</v>
      </c>
      <c r="M5" s="9">
        <v>8.5000000000000006E-2</v>
      </c>
      <c r="N5" s="9">
        <v>8.5000000000000006E-2</v>
      </c>
      <c r="O5" s="9">
        <v>8.5000000000000006E-2</v>
      </c>
      <c r="P5" s="9">
        <v>8.5000000000000006E-2</v>
      </c>
      <c r="Q5" s="9">
        <v>8.5000000000000006E-2</v>
      </c>
      <c r="R5" s="9">
        <v>8.5000000000000006E-2</v>
      </c>
      <c r="S5" s="9">
        <v>8.5000000000000006E-2</v>
      </c>
      <c r="T5" s="10"/>
      <c r="AG5" s="5"/>
    </row>
    <row r="6" spans="1:37" collapsed="1">
      <c r="B6" s="3" t="s">
        <v>468</v>
      </c>
      <c r="C6" s="11">
        <f t="shared" ref="C6:S6" si="4">C4*C7</f>
        <v>5.9797500000000001</v>
      </c>
      <c r="D6" s="11">
        <f t="shared" si="4"/>
        <v>6.5598749999999999</v>
      </c>
      <c r="E6" s="11">
        <f t="shared" si="4"/>
        <v>6.6208967836286474</v>
      </c>
      <c r="F6" s="11">
        <f t="shared" si="4"/>
        <v>6.6824862088780899</v>
      </c>
      <c r="G6" s="11">
        <f t="shared" si="4"/>
        <v>6.7446485561087268</v>
      </c>
      <c r="H6" s="11">
        <f t="shared" si="4"/>
        <v>6.8073891548003385</v>
      </c>
      <c r="I6" s="11">
        <f t="shared" si="4"/>
        <v>6.870713384009008</v>
      </c>
      <c r="J6" s="11">
        <f t="shared" si="4"/>
        <v>6.9346266728282986</v>
      </c>
      <c r="K6" s="11">
        <f t="shared" si="4"/>
        <v>6.999134500854713</v>
      </c>
      <c r="L6" s="11">
        <f t="shared" si="4"/>
        <v>7.064242398657484</v>
      </c>
      <c r="M6" s="11">
        <f t="shared" si="4"/>
        <v>7.1299559482527419</v>
      </c>
      <c r="N6" s="11">
        <f t="shared" si="4"/>
        <v>7.1962807835820826</v>
      </c>
      <c r="O6" s="11">
        <f t="shared" si="4"/>
        <v>7.2632225909955972</v>
      </c>
      <c r="P6" s="11">
        <f t="shared" si="4"/>
        <v>7.33078710973939</v>
      </c>
      <c r="Q6" s="11">
        <f t="shared" si="4"/>
        <v>7.3989801324476261</v>
      </c>
      <c r="R6" s="11">
        <f t="shared" si="4"/>
        <v>7.4678075056391693</v>
      </c>
      <c r="S6" s="11">
        <f t="shared" si="4"/>
        <v>7.5372751302188297</v>
      </c>
      <c r="T6" s="10"/>
      <c r="AG6" s="5"/>
    </row>
    <row r="7" spans="1:37" ht="12.75" hidden="1" customHeight="1" outlineLevel="1">
      <c r="B7" s="6" t="s">
        <v>469</v>
      </c>
      <c r="C7" s="12">
        <v>0.25</v>
      </c>
      <c r="D7" s="12">
        <v>0.25</v>
      </c>
      <c r="E7" s="12">
        <v>0.25</v>
      </c>
      <c r="F7" s="12">
        <v>0.25</v>
      </c>
      <c r="G7" s="12">
        <v>0.25</v>
      </c>
      <c r="H7" s="12">
        <v>0.25</v>
      </c>
      <c r="I7" s="12">
        <v>0.25</v>
      </c>
      <c r="J7" s="12">
        <v>0.25</v>
      </c>
      <c r="K7" s="12">
        <v>0.25</v>
      </c>
      <c r="L7" s="12">
        <v>0.25</v>
      </c>
      <c r="M7" s="12">
        <v>0.25</v>
      </c>
      <c r="N7" s="12">
        <v>0.25</v>
      </c>
      <c r="O7" s="12">
        <v>0.25</v>
      </c>
      <c r="P7" s="12">
        <v>0.25</v>
      </c>
      <c r="Q7" s="12">
        <v>0.25</v>
      </c>
      <c r="R7" s="12">
        <v>0.25</v>
      </c>
      <c r="S7" s="12">
        <v>0.25</v>
      </c>
      <c r="T7" s="10"/>
      <c r="AG7" s="5"/>
    </row>
    <row r="8" spans="1:37" ht="12.75" hidden="1" customHeight="1" outlineLevel="1">
      <c r="B8" s="6" t="s">
        <v>470</v>
      </c>
      <c r="C8" s="12">
        <f t="shared" ref="C8:S8" si="5">C7*C5</f>
        <v>2.1250000000000002E-2</v>
      </c>
      <c r="D8" s="12">
        <f t="shared" si="5"/>
        <v>2.1250000000000002E-2</v>
      </c>
      <c r="E8" s="12">
        <f t="shared" si="5"/>
        <v>2.1250000000000002E-2</v>
      </c>
      <c r="F8" s="12">
        <f t="shared" si="5"/>
        <v>2.1250000000000002E-2</v>
      </c>
      <c r="G8" s="12">
        <f t="shared" si="5"/>
        <v>2.1250000000000002E-2</v>
      </c>
      <c r="H8" s="12">
        <f t="shared" si="5"/>
        <v>2.1250000000000002E-2</v>
      </c>
      <c r="I8" s="12">
        <f t="shared" si="5"/>
        <v>2.1250000000000002E-2</v>
      </c>
      <c r="J8" s="12">
        <f t="shared" si="5"/>
        <v>2.1250000000000002E-2</v>
      </c>
      <c r="K8" s="12">
        <f t="shared" si="5"/>
        <v>2.1250000000000002E-2</v>
      </c>
      <c r="L8" s="12">
        <f t="shared" si="5"/>
        <v>2.1250000000000002E-2</v>
      </c>
      <c r="M8" s="12">
        <f t="shared" si="5"/>
        <v>2.1250000000000002E-2</v>
      </c>
      <c r="N8" s="12">
        <f t="shared" si="5"/>
        <v>2.1250000000000002E-2</v>
      </c>
      <c r="O8" s="12">
        <f t="shared" si="5"/>
        <v>2.1250000000000002E-2</v>
      </c>
      <c r="P8" s="12">
        <f t="shared" si="5"/>
        <v>2.1250000000000002E-2</v>
      </c>
      <c r="Q8" s="12">
        <f t="shared" si="5"/>
        <v>2.1250000000000002E-2</v>
      </c>
      <c r="R8" s="12">
        <f t="shared" si="5"/>
        <v>2.1250000000000002E-2</v>
      </c>
      <c r="S8" s="12">
        <f t="shared" si="5"/>
        <v>2.1250000000000002E-2</v>
      </c>
      <c r="T8" s="10"/>
      <c r="AG8" s="5"/>
    </row>
    <row r="9" spans="1:37" collapsed="1">
      <c r="B9" s="13" t="s">
        <v>471</v>
      </c>
      <c r="C9" s="14">
        <f t="shared" ref="C9:S9" si="6">C6*C10</f>
        <v>2.0929124999999997</v>
      </c>
      <c r="D9" s="14">
        <f t="shared" si="6"/>
        <v>2.2959562499999997</v>
      </c>
      <c r="E9" s="14">
        <f t="shared" si="6"/>
        <v>2.3173138742700266</v>
      </c>
      <c r="F9" s="14">
        <f t="shared" si="6"/>
        <v>2.3388701731073311</v>
      </c>
      <c r="G9" s="14">
        <f t="shared" si="6"/>
        <v>2.360626994638054</v>
      </c>
      <c r="H9" s="14">
        <f t="shared" si="6"/>
        <v>2.3825862041801185</v>
      </c>
      <c r="I9" s="14">
        <f t="shared" si="6"/>
        <v>2.4047496844031526</v>
      </c>
      <c r="J9" s="14">
        <f t="shared" si="6"/>
        <v>2.4271193354899046</v>
      </c>
      <c r="K9" s="14">
        <f t="shared" si="6"/>
        <v>2.4496970752991496</v>
      </c>
      <c r="L9" s="14">
        <f t="shared" si="6"/>
        <v>2.4724848395301193</v>
      </c>
      <c r="M9" s="14">
        <f t="shared" si="6"/>
        <v>2.4954845818884595</v>
      </c>
      <c r="N9" s="14">
        <f t="shared" si="6"/>
        <v>2.5186982742537287</v>
      </c>
      <c r="O9" s="14">
        <f t="shared" si="6"/>
        <v>2.5421279068484588</v>
      </c>
      <c r="P9" s="14">
        <f t="shared" si="6"/>
        <v>2.5657754884087862</v>
      </c>
      <c r="Q9" s="14">
        <f t="shared" si="6"/>
        <v>2.5896430463566689</v>
      </c>
      <c r="R9" s="14">
        <f t="shared" si="6"/>
        <v>2.6137326269737091</v>
      </c>
      <c r="S9" s="14">
        <f t="shared" si="6"/>
        <v>2.6380462955765904</v>
      </c>
      <c r="T9" s="10"/>
      <c r="AG9" s="5"/>
    </row>
    <row r="10" spans="1:37" ht="12.75" customHeight="1" outlineLevel="1">
      <c r="B10" s="6" t="s">
        <v>472</v>
      </c>
      <c r="C10" s="12">
        <v>0.35</v>
      </c>
      <c r="D10" s="12">
        <f t="shared" ref="D10:J10" si="7">C10</f>
        <v>0.35</v>
      </c>
      <c r="E10" s="12">
        <f t="shared" si="7"/>
        <v>0.35</v>
      </c>
      <c r="F10" s="12">
        <f t="shared" si="7"/>
        <v>0.35</v>
      </c>
      <c r="G10" s="12">
        <f t="shared" si="7"/>
        <v>0.35</v>
      </c>
      <c r="H10" s="12">
        <f t="shared" si="7"/>
        <v>0.35</v>
      </c>
      <c r="I10" s="12">
        <f t="shared" si="7"/>
        <v>0.35</v>
      </c>
      <c r="J10" s="12">
        <f t="shared" si="7"/>
        <v>0.35</v>
      </c>
      <c r="K10" s="12">
        <f t="shared" ref="K10:S10" si="8">J10</f>
        <v>0.35</v>
      </c>
      <c r="L10" s="12">
        <f t="shared" si="8"/>
        <v>0.35</v>
      </c>
      <c r="M10" s="12">
        <f t="shared" si="8"/>
        <v>0.35</v>
      </c>
      <c r="N10" s="12">
        <f t="shared" si="8"/>
        <v>0.35</v>
      </c>
      <c r="O10" s="12">
        <f t="shared" si="8"/>
        <v>0.35</v>
      </c>
      <c r="P10" s="12">
        <f t="shared" si="8"/>
        <v>0.35</v>
      </c>
      <c r="Q10" s="12">
        <f t="shared" si="8"/>
        <v>0.35</v>
      </c>
      <c r="R10" s="12">
        <f t="shared" si="8"/>
        <v>0.35</v>
      </c>
      <c r="S10" s="12">
        <f t="shared" si="8"/>
        <v>0.35</v>
      </c>
      <c r="AG10" s="5"/>
    </row>
    <row r="11" spans="1:37">
      <c r="B11" s="13" t="s">
        <v>473</v>
      </c>
      <c r="C11" s="15">
        <f t="shared" ref="C11:S11" si="9">C9*C16*10^3</f>
        <v>0</v>
      </c>
      <c r="D11" s="15">
        <f t="shared" si="9"/>
        <v>0</v>
      </c>
      <c r="E11" s="15">
        <f t="shared" si="9"/>
        <v>0</v>
      </c>
      <c r="F11" s="15">
        <f t="shared" si="9"/>
        <v>0</v>
      </c>
      <c r="G11" s="15">
        <f t="shared" si="9"/>
        <v>0</v>
      </c>
      <c r="H11" s="15">
        <f t="shared" si="9"/>
        <v>0</v>
      </c>
      <c r="I11" s="15">
        <f t="shared" si="9"/>
        <v>0</v>
      </c>
      <c r="J11" s="15">
        <f t="shared" si="9"/>
        <v>0</v>
      </c>
      <c r="K11" s="15">
        <f t="shared" si="9"/>
        <v>0</v>
      </c>
      <c r="L11" s="15">
        <f t="shared" si="9"/>
        <v>3.5577346875894857</v>
      </c>
      <c r="M11" s="15">
        <f t="shared" si="9"/>
        <v>9.704662262899566</v>
      </c>
      <c r="N11" s="15">
        <f t="shared" si="9"/>
        <v>22.514499465685784</v>
      </c>
      <c r="O11" s="15">
        <f t="shared" si="9"/>
        <v>37.514397653694857</v>
      </c>
      <c r="P11" s="15">
        <f t="shared" si="9"/>
        <v>51.276984610692104</v>
      </c>
      <c r="Q11" s="15">
        <f t="shared" si="9"/>
        <v>62.286706928243994</v>
      </c>
      <c r="R11" s="15">
        <f t="shared" si="9"/>
        <v>70.570780928290134</v>
      </c>
      <c r="S11" s="15">
        <f t="shared" si="9"/>
        <v>76.716599146942769</v>
      </c>
      <c r="AG11" s="5"/>
    </row>
    <row r="12" spans="1:37" ht="12.75" customHeight="1">
      <c r="B12" s="16"/>
      <c r="C12" s="4"/>
      <c r="D12" s="4"/>
      <c r="E12" s="4"/>
      <c r="F12" s="4"/>
      <c r="G12" s="4"/>
      <c r="H12" s="4"/>
      <c r="I12" s="4"/>
      <c r="J12" s="4"/>
      <c r="K12" s="4"/>
      <c r="L12" s="17">
        <v>0.7</v>
      </c>
      <c r="M12" s="17">
        <v>1</v>
      </c>
      <c r="N12" s="17">
        <f t="shared" ref="N12:S12" si="10">M12+0.4</f>
        <v>1.4</v>
      </c>
      <c r="O12" s="17">
        <f t="shared" si="10"/>
        <v>1.7999999999999998</v>
      </c>
      <c r="P12" s="17">
        <f t="shared" si="10"/>
        <v>2.1999999999999997</v>
      </c>
      <c r="Q12" s="17">
        <f t="shared" si="10"/>
        <v>2.5999999999999996</v>
      </c>
      <c r="R12" s="17">
        <f t="shared" si="10"/>
        <v>2.9999999999999996</v>
      </c>
      <c r="S12" s="17">
        <f t="shared" si="10"/>
        <v>3.3999999999999995</v>
      </c>
      <c r="T12" s="17" t="s">
        <v>474</v>
      </c>
      <c r="U12" s="17">
        <v>3</v>
      </c>
      <c r="V12" s="17" t="s">
        <v>475</v>
      </c>
      <c r="W12" s="17">
        <v>8</v>
      </c>
      <c r="X12" s="17" t="s">
        <v>476</v>
      </c>
      <c r="Y12" s="18">
        <v>3.5000000000000003E-2</v>
      </c>
      <c r="Z12" s="17"/>
      <c r="AA12" s="17"/>
      <c r="AB12" s="17"/>
      <c r="AG12" s="5"/>
    </row>
    <row r="13" spans="1:37" s="745" customFormat="1" ht="12.75" customHeight="1" outlineLevel="1">
      <c r="B13" s="741"/>
      <c r="C13" s="742"/>
      <c r="D13" s="742"/>
      <c r="E13" s="742"/>
      <c r="F13" s="742"/>
      <c r="G13" s="742"/>
      <c r="H13" s="742"/>
      <c r="I13" s="742"/>
      <c r="J13" s="742"/>
      <c r="K13" s="742"/>
      <c r="L13" s="749">
        <f>L14*2</f>
        <v>2.8778616804506769E-3</v>
      </c>
      <c r="M13" s="749">
        <f t="shared" ref="M13:S13" si="11">M14*2</f>
        <v>7.7777777777777784E-3</v>
      </c>
      <c r="N13" s="749">
        <f t="shared" si="11"/>
        <v>1.7877885331347727E-2</v>
      </c>
      <c r="O13" s="749">
        <f t="shared" si="11"/>
        <v>2.9514170040485826E-2</v>
      </c>
      <c r="P13" s="749">
        <f t="shared" si="11"/>
        <v>3.9969969969969966E-2</v>
      </c>
      <c r="Q13" s="749">
        <f t="shared" si="11"/>
        <v>4.8104472943384421E-2</v>
      </c>
      <c r="R13" s="749">
        <f t="shared" si="11"/>
        <v>5.3999999999999999E-2</v>
      </c>
      <c r="S13" s="749">
        <f t="shared" si="11"/>
        <v>5.8161677659394555E-2</v>
      </c>
      <c r="T13" s="743"/>
      <c r="U13" s="743"/>
      <c r="V13" s="743"/>
      <c r="W13" s="743"/>
      <c r="X13" s="743"/>
      <c r="Y13" s="744"/>
      <c r="Z13" s="743"/>
      <c r="AA13" s="743"/>
      <c r="AB13" s="743"/>
      <c r="AG13" s="746"/>
    </row>
    <row r="14" spans="1:37" s="745" customFormat="1" ht="12.75" customHeight="1" outlineLevel="1">
      <c r="B14" s="741"/>
      <c r="C14" s="742"/>
      <c r="D14" s="742"/>
      <c r="E14" s="742"/>
      <c r="F14" s="742"/>
      <c r="G14" s="742"/>
      <c r="H14" s="742"/>
      <c r="I14" s="742"/>
      <c r="J14" s="742"/>
      <c r="K14" s="742"/>
      <c r="L14" s="749">
        <f t="shared" ref="L14:S14" si="12">$Y$12*L12^$U$12/($W$12+L12^$U$12)</f>
        <v>1.4389308402253385E-3</v>
      </c>
      <c r="M14" s="749">
        <f t="shared" si="12"/>
        <v>3.8888888888888892E-3</v>
      </c>
      <c r="N14" s="749">
        <f t="shared" si="12"/>
        <v>8.9389426656738633E-3</v>
      </c>
      <c r="O14" s="749">
        <f t="shared" si="12"/>
        <v>1.4757085020242913E-2</v>
      </c>
      <c r="P14" s="749">
        <f t="shared" si="12"/>
        <v>1.9984984984984983E-2</v>
      </c>
      <c r="Q14" s="749">
        <f t="shared" si="12"/>
        <v>2.4052236471692211E-2</v>
      </c>
      <c r="R14" s="749">
        <f t="shared" si="12"/>
        <v>2.7E-2</v>
      </c>
      <c r="S14" s="1080">
        <f t="shared" si="12"/>
        <v>2.9080838829697277E-2</v>
      </c>
      <c r="T14" s="743"/>
      <c r="U14" s="743"/>
      <c r="V14" s="743"/>
      <c r="W14" s="743"/>
      <c r="X14" s="743"/>
      <c r="Y14" s="744"/>
      <c r="Z14" s="743"/>
      <c r="AA14" s="743"/>
      <c r="AB14" s="743"/>
      <c r="AG14" s="746"/>
    </row>
    <row r="15" spans="1:37" s="745" customFormat="1" ht="12.75" customHeight="1" outlineLevel="1">
      <c r="B15" s="741"/>
      <c r="C15" s="742"/>
      <c r="D15" s="742"/>
      <c r="E15" s="742"/>
      <c r="F15" s="742"/>
      <c r="G15" s="742"/>
      <c r="H15" s="742"/>
      <c r="I15" s="742"/>
      <c r="J15" s="742"/>
      <c r="K15" s="742"/>
      <c r="L15" s="749">
        <f t="shared" ref="L15:S15" si="13">L14*0.667</f>
        <v>9.5976687043030078E-4</v>
      </c>
      <c r="M15" s="749">
        <f t="shared" si="13"/>
        <v>2.5938888888888891E-3</v>
      </c>
      <c r="N15" s="749">
        <f t="shared" si="13"/>
        <v>5.9622747580044674E-3</v>
      </c>
      <c r="O15" s="749">
        <f t="shared" si="13"/>
        <v>9.842975708502023E-3</v>
      </c>
      <c r="P15" s="749">
        <f t="shared" si="13"/>
        <v>1.3329984984984984E-2</v>
      </c>
      <c r="Q15" s="749">
        <f t="shared" si="13"/>
        <v>1.6042841726618705E-2</v>
      </c>
      <c r="R15" s="749">
        <f t="shared" si="13"/>
        <v>1.8009000000000001E-2</v>
      </c>
      <c r="S15" s="749">
        <f t="shared" si="13"/>
        <v>1.9396919499408086E-2</v>
      </c>
      <c r="T15" s="743"/>
      <c r="U15" s="743"/>
      <c r="V15" s="743"/>
      <c r="W15" s="743"/>
      <c r="X15" s="743"/>
      <c r="Y15" s="744"/>
      <c r="Z15" s="743"/>
      <c r="AA15" s="743"/>
      <c r="AB15" s="743"/>
      <c r="AG15" s="746"/>
    </row>
    <row r="16" spans="1:37">
      <c r="A16" s="751" t="s">
        <v>668</v>
      </c>
      <c r="B16" s="747" t="s">
        <v>477</v>
      </c>
      <c r="C16" s="745"/>
      <c r="D16" s="745"/>
      <c r="E16" s="745"/>
      <c r="F16" s="745"/>
      <c r="G16" s="745"/>
      <c r="H16" s="748"/>
      <c r="I16" s="748"/>
      <c r="J16" s="748"/>
      <c r="K16" s="748"/>
      <c r="L16" s="750">
        <f>CHOOSE(DCF!$C$25,'Eosinophilic Asthma'!L13,'Eosinophilic Asthma'!L14,'Eosinophilic Asthma'!L15)</f>
        <v>1.4389308402253385E-3</v>
      </c>
      <c r="M16" s="750">
        <f>CHOOSE(DCF!$C$25,'Eosinophilic Asthma'!M13,'Eosinophilic Asthma'!M14,'Eosinophilic Asthma'!M15)</f>
        <v>3.8888888888888892E-3</v>
      </c>
      <c r="N16" s="750">
        <f>CHOOSE(DCF!$C$25,'Eosinophilic Asthma'!N13,'Eosinophilic Asthma'!N14,'Eosinophilic Asthma'!N15)</f>
        <v>8.9389426656738633E-3</v>
      </c>
      <c r="O16" s="750">
        <f>CHOOSE(DCF!$C$25,'Eosinophilic Asthma'!O13,'Eosinophilic Asthma'!O14,'Eosinophilic Asthma'!O15)</f>
        <v>1.4757085020242913E-2</v>
      </c>
      <c r="P16" s="750">
        <f>CHOOSE(DCF!$C$25,'Eosinophilic Asthma'!P13,'Eosinophilic Asthma'!P14,'Eosinophilic Asthma'!P15)</f>
        <v>1.9984984984984983E-2</v>
      </c>
      <c r="Q16" s="750">
        <f>CHOOSE(DCF!$C$25,'Eosinophilic Asthma'!Q13,'Eosinophilic Asthma'!Q14,'Eosinophilic Asthma'!Q15)</f>
        <v>2.4052236471692211E-2</v>
      </c>
      <c r="R16" s="750">
        <f>CHOOSE(DCF!$C$25,'Eosinophilic Asthma'!R13,'Eosinophilic Asthma'!R14,'Eosinophilic Asthma'!R15)</f>
        <v>2.7E-2</v>
      </c>
      <c r="S16" s="750">
        <f>CHOOSE(DCF!$C$25,'Eosinophilic Asthma'!S13,'Eosinophilic Asthma'!S14,'Eosinophilic Asthma'!S15)</f>
        <v>2.9080838829697277E-2</v>
      </c>
      <c r="W16" s="20"/>
      <c r="X16" s="20"/>
      <c r="Y16" s="20"/>
      <c r="Z16" s="20"/>
      <c r="AA16" s="20"/>
      <c r="AB16" s="20"/>
      <c r="AG16" s="5"/>
    </row>
    <row r="17" spans="2:37">
      <c r="B17" s="16" t="s">
        <v>478</v>
      </c>
      <c r="L17" s="21">
        <f>ROUND(2*AH24*12,-1)</f>
        <v>26000</v>
      </c>
      <c r="M17" s="21">
        <f t="shared" ref="M17:S17" si="14">L17*(1+M18)</f>
        <v>27300</v>
      </c>
      <c r="N17" s="21">
        <f t="shared" si="14"/>
        <v>28665</v>
      </c>
      <c r="O17" s="21">
        <f t="shared" si="14"/>
        <v>30098.25</v>
      </c>
      <c r="P17" s="21">
        <f t="shared" si="14"/>
        <v>31603.162500000002</v>
      </c>
      <c r="Q17" s="21">
        <f t="shared" si="14"/>
        <v>33183.320625</v>
      </c>
      <c r="R17" s="21">
        <f t="shared" si="14"/>
        <v>34842.486656250003</v>
      </c>
      <c r="S17" s="21">
        <f t="shared" si="14"/>
        <v>36584.610989062501</v>
      </c>
      <c r="AG17" s="5"/>
    </row>
    <row r="18" spans="2:37">
      <c r="B18" s="6" t="s">
        <v>479</v>
      </c>
      <c r="L18" s="12">
        <v>0.05</v>
      </c>
      <c r="M18" s="12">
        <v>0.05</v>
      </c>
      <c r="N18" s="12">
        <v>0.05</v>
      </c>
      <c r="O18" s="12">
        <v>0.05</v>
      </c>
      <c r="P18" s="12">
        <v>0.05</v>
      </c>
      <c r="Q18" s="12">
        <v>0.05</v>
      </c>
      <c r="R18" s="12">
        <v>0.05</v>
      </c>
      <c r="S18" s="12">
        <v>0.05</v>
      </c>
      <c r="AG18" s="5"/>
    </row>
    <row r="19" spans="2:37">
      <c r="B19" s="13" t="s">
        <v>484</v>
      </c>
      <c r="C19" s="22"/>
      <c r="D19" s="22"/>
      <c r="E19" s="22"/>
      <c r="F19" s="22"/>
      <c r="G19" s="22"/>
      <c r="H19" s="23"/>
      <c r="I19" s="23"/>
      <c r="J19" s="23"/>
      <c r="K19" s="23"/>
      <c r="L19" s="1089">
        <f t="shared" ref="L19:S19" si="15">L11*L17/10^3</f>
        <v>92.501101877326633</v>
      </c>
      <c r="M19" s="23">
        <f t="shared" si="15"/>
        <v>264.93727977715815</v>
      </c>
      <c r="N19" s="23">
        <f t="shared" si="15"/>
        <v>645.37812718388295</v>
      </c>
      <c r="O19" s="23">
        <f t="shared" si="15"/>
        <v>1129.1177191803213</v>
      </c>
      <c r="P19" s="23">
        <f t="shared" si="15"/>
        <v>1620.5148771617019</v>
      </c>
      <c r="Q19" s="23">
        <f t="shared" si="15"/>
        <v>2066.8797666753294</v>
      </c>
      <c r="R19" s="23">
        <f t="shared" si="15"/>
        <v>2458.8614928150914</v>
      </c>
      <c r="S19" s="23">
        <f t="shared" si="15"/>
        <v>2806.6469361947452</v>
      </c>
      <c r="AG19" s="5"/>
    </row>
    <row r="20" spans="2:37">
      <c r="B20" s="24"/>
      <c r="L20" s="1079"/>
      <c r="M20" s="1079"/>
      <c r="N20" s="1079"/>
      <c r="O20" s="1079"/>
      <c r="P20" s="1079"/>
      <c r="Q20" s="1079"/>
      <c r="R20" s="1079"/>
      <c r="S20" s="1079"/>
      <c r="AG20" s="5"/>
    </row>
    <row r="21" spans="2:37">
      <c r="K21" s="47" t="s">
        <v>573</v>
      </c>
      <c r="L21" s="42" t="s">
        <v>574</v>
      </c>
      <c r="M21" s="42" t="s">
        <v>575</v>
      </c>
      <c r="N21" s="42" t="s">
        <v>576</v>
      </c>
      <c r="O21" s="42" t="s">
        <v>577</v>
      </c>
      <c r="P21" s="42" t="s">
        <v>578</v>
      </c>
      <c r="Q21" s="42" t="s">
        <v>579</v>
      </c>
      <c r="R21" s="44">
        <v>2009</v>
      </c>
      <c r="AG21" s="5"/>
    </row>
    <row r="22" spans="2:37" hidden="1" outlineLevel="1">
      <c r="K22" s="43" t="s">
        <v>568</v>
      </c>
      <c r="L22" s="45" t="s">
        <v>569</v>
      </c>
      <c r="M22" s="45">
        <v>30</v>
      </c>
      <c r="N22" s="45">
        <v>68.599999999999994</v>
      </c>
      <c r="O22" s="45">
        <v>96</v>
      </c>
      <c r="P22" s="45">
        <v>111</v>
      </c>
      <c r="Q22" s="45">
        <v>117</v>
      </c>
      <c r="R22" s="45"/>
      <c r="AG22" s="5"/>
    </row>
    <row r="23" spans="2:37" hidden="1" outlineLevel="1">
      <c r="K23" s="43" t="s">
        <v>570</v>
      </c>
      <c r="L23" s="45" t="s">
        <v>569</v>
      </c>
      <c r="M23" s="45">
        <v>43.7</v>
      </c>
      <c r="N23" s="45">
        <v>82.1</v>
      </c>
      <c r="O23" s="45">
        <v>106</v>
      </c>
      <c r="P23" s="45">
        <v>120</v>
      </c>
      <c r="Q23" s="45">
        <v>129</v>
      </c>
      <c r="R23" s="45"/>
      <c r="AG23" s="5"/>
    </row>
    <row r="24" spans="2:37" hidden="1" outlineLevel="1">
      <c r="K24" s="43" t="s">
        <v>571</v>
      </c>
      <c r="L24" s="45">
        <v>6.8</v>
      </c>
      <c r="M24" s="45">
        <v>53.9</v>
      </c>
      <c r="N24" s="45">
        <v>81.400000000000006</v>
      </c>
      <c r="O24" s="45">
        <v>108</v>
      </c>
      <c r="P24" s="45">
        <v>121</v>
      </c>
      <c r="Q24" s="45">
        <v>136</v>
      </c>
      <c r="R24" s="45"/>
      <c r="AG24" s="3">
        <f>SUM($AK24:AK$43)</f>
        <v>5214</v>
      </c>
      <c r="AH24" s="25">
        <f>0.00002*AG24*AG24+0.0184*AG24+443.62</f>
        <v>1083.2735200000002</v>
      </c>
      <c r="AI24" s="26"/>
      <c r="AJ24" s="27">
        <v>43101</v>
      </c>
      <c r="AK24" s="5">
        <f t="shared" ref="AK24:AK42" si="16">DAYS360(AJ25,AJ24)</f>
        <v>1530</v>
      </c>
    </row>
    <row r="25" spans="2:37" hidden="1" outlineLevel="1">
      <c r="K25" s="43" t="s">
        <v>572</v>
      </c>
      <c r="L25" s="45">
        <v>18.5</v>
      </c>
      <c r="M25" s="45">
        <v>60.9</v>
      </c>
      <c r="N25" s="45">
        <v>95.5</v>
      </c>
      <c r="O25" s="45">
        <v>117</v>
      </c>
      <c r="P25" s="45">
        <v>120</v>
      </c>
      <c r="Q25" s="45">
        <v>135</v>
      </c>
      <c r="R25" s="45"/>
      <c r="AG25" s="3">
        <f>SUM($AK25:AK$43)</f>
        <v>3684</v>
      </c>
      <c r="AH25" s="25">
        <v>777.01</v>
      </c>
      <c r="AI25" s="26"/>
      <c r="AJ25" s="28">
        <v>41548</v>
      </c>
      <c r="AK25" s="5">
        <f t="shared" si="16"/>
        <v>179</v>
      </c>
    </row>
    <row r="26" spans="2:37" collapsed="1">
      <c r="K26" s="43" t="s">
        <v>174</v>
      </c>
      <c r="L26" s="46">
        <f t="shared" ref="L26:Q26" si="17">SUM(L22:L25)</f>
        <v>25.3</v>
      </c>
      <c r="M26" s="46">
        <f t="shared" si="17"/>
        <v>188.5</v>
      </c>
      <c r="N26" s="46">
        <f t="shared" si="17"/>
        <v>327.60000000000002</v>
      </c>
      <c r="O26" s="46">
        <f t="shared" si="17"/>
        <v>427</v>
      </c>
      <c r="P26" s="46">
        <f t="shared" si="17"/>
        <v>472</v>
      </c>
      <c r="Q26" s="46">
        <f t="shared" si="17"/>
        <v>517</v>
      </c>
      <c r="R26" s="46">
        <v>571</v>
      </c>
      <c r="AG26" s="3">
        <f>SUM($AK26:AK$43)</f>
        <v>3505</v>
      </c>
      <c r="AH26" s="25">
        <v>747.12</v>
      </c>
      <c r="AI26" s="26"/>
      <c r="AJ26" s="28">
        <v>41366</v>
      </c>
      <c r="AK26" s="5">
        <f t="shared" si="16"/>
        <v>180</v>
      </c>
    </row>
    <row r="27" spans="2:37">
      <c r="AG27" s="3">
        <f>SUM($AK27:AK$43)</f>
        <v>3325</v>
      </c>
      <c r="AH27" s="25">
        <v>718.38</v>
      </c>
      <c r="AI27" s="26"/>
      <c r="AJ27" s="28">
        <v>41184</v>
      </c>
      <c r="AK27" s="5">
        <f t="shared" si="16"/>
        <v>179</v>
      </c>
    </row>
    <row r="28" spans="2:37">
      <c r="AG28" s="3">
        <f>SUM($AK28:AK$43)</f>
        <v>3146</v>
      </c>
      <c r="AH28" s="25">
        <v>690.75</v>
      </c>
      <c r="AI28" s="26"/>
      <c r="AJ28" s="28">
        <v>41002</v>
      </c>
      <c r="AK28" s="5">
        <f t="shared" si="16"/>
        <v>179</v>
      </c>
    </row>
    <row r="29" spans="2:37">
      <c r="AG29" s="3">
        <f>SUM($AK29:AK$43)</f>
        <v>2967</v>
      </c>
      <c r="AH29" s="25">
        <v>664.18</v>
      </c>
      <c r="AI29" s="26"/>
      <c r="AJ29" s="28">
        <v>40820</v>
      </c>
      <c r="AK29" s="5">
        <f t="shared" si="16"/>
        <v>169</v>
      </c>
    </row>
    <row r="30" spans="2:37">
      <c r="AG30" s="3">
        <f>SUM($AK30:AK$43)</f>
        <v>2798</v>
      </c>
      <c r="AH30" s="25">
        <v>638.63</v>
      </c>
      <c r="AI30" s="26"/>
      <c r="AJ30" s="28">
        <v>40648</v>
      </c>
      <c r="AK30" s="5">
        <f t="shared" si="16"/>
        <v>194</v>
      </c>
    </row>
    <row r="31" spans="2:37">
      <c r="AG31" s="3">
        <f>SUM($AK31:AK$43)</f>
        <v>2604</v>
      </c>
      <c r="AH31" s="25">
        <v>614.07000000000005</v>
      </c>
      <c r="AI31" s="26"/>
      <c r="AJ31" s="28">
        <v>40452</v>
      </c>
      <c r="AK31" s="5">
        <f t="shared" si="16"/>
        <v>180</v>
      </c>
    </row>
    <row r="32" spans="2:37">
      <c r="AG32" s="3">
        <f>SUM($AK32:AK$43)</f>
        <v>2424</v>
      </c>
      <c r="AH32" s="25">
        <v>596.17999999999995</v>
      </c>
      <c r="AI32" s="26"/>
      <c r="AJ32" s="28">
        <v>40269</v>
      </c>
      <c r="AK32" s="5">
        <f t="shared" si="16"/>
        <v>180</v>
      </c>
    </row>
    <row r="33" spans="33:37">
      <c r="AG33" s="3">
        <f>SUM($AK33:AK$43)</f>
        <v>2244</v>
      </c>
      <c r="AH33" s="25">
        <v>578.82000000000005</v>
      </c>
      <c r="AI33" s="26"/>
      <c r="AJ33" s="28">
        <v>40087</v>
      </c>
      <c r="AK33" s="5">
        <f t="shared" si="16"/>
        <v>180</v>
      </c>
    </row>
    <row r="34" spans="33:37">
      <c r="AG34" s="3">
        <f>SUM($AK34:AK$43)</f>
        <v>2064</v>
      </c>
      <c r="AH34" s="25">
        <v>561.96</v>
      </c>
      <c r="AI34" s="26"/>
      <c r="AJ34" s="28">
        <v>39904</v>
      </c>
      <c r="AK34" s="5">
        <f t="shared" si="16"/>
        <v>180</v>
      </c>
    </row>
    <row r="35" spans="33:37">
      <c r="AG35" s="3">
        <f>SUM($AK35:AK$43)</f>
        <v>1884</v>
      </c>
      <c r="AH35" s="25">
        <v>542.96</v>
      </c>
      <c r="AI35" s="26"/>
      <c r="AJ35" s="28">
        <v>39722</v>
      </c>
      <c r="AK35" s="5">
        <f t="shared" si="16"/>
        <v>180</v>
      </c>
    </row>
    <row r="36" spans="33:37">
      <c r="AG36" s="3">
        <f>SUM($AK36:AK$43)</f>
        <v>1704</v>
      </c>
      <c r="AH36" s="25">
        <v>532.30999999999995</v>
      </c>
      <c r="AI36" s="26"/>
      <c r="AJ36" s="28">
        <v>39539</v>
      </c>
      <c r="AK36" s="5">
        <f t="shared" si="16"/>
        <v>172</v>
      </c>
    </row>
    <row r="37" spans="33:37">
      <c r="AG37" s="3">
        <f>SUM($AK37:AK$43)</f>
        <v>1532</v>
      </c>
      <c r="AH37" s="25">
        <v>519.33000000000004</v>
      </c>
      <c r="AI37" s="26"/>
      <c r="AJ37" s="28">
        <v>39364</v>
      </c>
      <c r="AK37" s="5">
        <f t="shared" si="16"/>
        <v>158</v>
      </c>
    </row>
    <row r="38" spans="33:37">
      <c r="AG38" s="3">
        <f>SUM($AK38:AK$43)</f>
        <v>1374</v>
      </c>
      <c r="AH38" s="25">
        <v>509.15</v>
      </c>
      <c r="AI38" s="26"/>
      <c r="AJ38" s="28">
        <v>39203</v>
      </c>
      <c r="AK38" s="5">
        <f t="shared" si="16"/>
        <v>194</v>
      </c>
    </row>
    <row r="39" spans="33:37">
      <c r="AG39" s="3">
        <f>SUM($AK39:AK$43)</f>
        <v>1180</v>
      </c>
      <c r="AH39" s="25">
        <v>496.73</v>
      </c>
      <c r="AI39" s="26"/>
      <c r="AJ39" s="28">
        <v>39007</v>
      </c>
      <c r="AK39" s="5">
        <f t="shared" si="16"/>
        <v>193</v>
      </c>
    </row>
    <row r="40" spans="33:37">
      <c r="AG40" s="3">
        <f>SUM($AK40:AK$43)</f>
        <v>987</v>
      </c>
      <c r="AH40" s="25">
        <v>486.99</v>
      </c>
      <c r="AI40" s="26"/>
      <c r="AJ40" s="28">
        <v>38811</v>
      </c>
      <c r="AK40" s="5">
        <f t="shared" si="16"/>
        <v>253</v>
      </c>
    </row>
    <row r="41" spans="33:37">
      <c r="AG41" s="3">
        <f>SUM($AK41:AK$43)</f>
        <v>734</v>
      </c>
      <c r="AH41" s="25">
        <v>475.11</v>
      </c>
      <c r="AI41" s="26"/>
      <c r="AJ41" s="28">
        <v>38554</v>
      </c>
      <c r="AK41" s="5">
        <f t="shared" si="16"/>
        <v>320</v>
      </c>
    </row>
    <row r="42" spans="33:37">
      <c r="AG42" s="3">
        <f>SUM($AK42:AK$43)</f>
        <v>414</v>
      </c>
      <c r="AH42" s="25">
        <v>454.65</v>
      </c>
      <c r="AI42" s="26"/>
      <c r="AJ42" s="28">
        <v>38231</v>
      </c>
      <c r="AK42" s="5">
        <f t="shared" si="16"/>
        <v>414</v>
      </c>
    </row>
    <row r="43" spans="33:37">
      <c r="AG43" s="3">
        <f>SUM($AK$43:AK43)</f>
        <v>0</v>
      </c>
      <c r="AH43" s="25">
        <v>433</v>
      </c>
      <c r="AI43" s="26"/>
      <c r="AJ43" s="28">
        <v>37809</v>
      </c>
      <c r="AK43" s="5">
        <v>0</v>
      </c>
    </row>
    <row r="44" spans="33:37">
      <c r="AG44" s="3">
        <f>AG24/365</f>
        <v>14.284931506849315</v>
      </c>
      <c r="AI44" s="29">
        <f>(AH24/AH43)^(1/AG44)-1</f>
        <v>6.6299102781278041E-2</v>
      </c>
    </row>
    <row r="117" spans="2:2">
      <c r="B117" s="30"/>
    </row>
  </sheetData>
  <phoneticPr fontId="39" type="noConversion"/>
  <pageMargins left="0.75" right="0.75" top="1" bottom="1" header="0.5" footer="0.5"/>
  <pageSetup orientation="portrait" r:id="rId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AB19"/>
  <sheetViews>
    <sheetView zoomScaleNormal="100" workbookViewId="0">
      <selection activeCell="L18" sqref="L18"/>
    </sheetView>
  </sheetViews>
  <sheetFormatPr defaultColWidth="8" defaultRowHeight="12.75" outlineLevelRow="1" outlineLevelCol="1"/>
  <cols>
    <col min="1" max="1" width="1.875" style="763" customWidth="1"/>
    <col min="2" max="2" width="29.75" style="3" bestFit="1" customWidth="1"/>
    <col min="3" max="11" width="8" style="3" customWidth="1" outlineLevel="1"/>
    <col min="12" max="12" width="8" style="3" customWidth="1"/>
    <col min="13" max="16384" width="8" style="3"/>
  </cols>
  <sheetData>
    <row r="1" spans="1:25">
      <c r="B1" s="2"/>
      <c r="C1" s="2">
        <v>2000</v>
      </c>
      <c r="D1" s="2">
        <v>2010</v>
      </c>
      <c r="E1" s="2">
        <f t="shared" ref="E1:S1" si="0">D1+1</f>
        <v>2011</v>
      </c>
      <c r="F1" s="2">
        <f t="shared" si="0"/>
        <v>2012</v>
      </c>
      <c r="G1" s="2">
        <f t="shared" si="0"/>
        <v>2013</v>
      </c>
      <c r="H1" s="2">
        <f t="shared" si="0"/>
        <v>2014</v>
      </c>
      <c r="I1" s="2">
        <f t="shared" si="0"/>
        <v>2015</v>
      </c>
      <c r="J1" s="2">
        <f t="shared" si="0"/>
        <v>2016</v>
      </c>
      <c r="K1" s="2">
        <f t="shared" si="0"/>
        <v>2017</v>
      </c>
      <c r="L1" s="2">
        <f t="shared" si="0"/>
        <v>2018</v>
      </c>
      <c r="M1" s="2">
        <f t="shared" si="0"/>
        <v>2019</v>
      </c>
      <c r="N1" s="2">
        <f t="shared" si="0"/>
        <v>2020</v>
      </c>
      <c r="O1" s="2">
        <f t="shared" si="0"/>
        <v>2021</v>
      </c>
      <c r="P1" s="2">
        <f t="shared" si="0"/>
        <v>2022</v>
      </c>
      <c r="Q1" s="2">
        <f t="shared" si="0"/>
        <v>2023</v>
      </c>
      <c r="R1" s="2">
        <f t="shared" si="0"/>
        <v>2024</v>
      </c>
      <c r="S1" s="2">
        <f t="shared" si="0"/>
        <v>2025</v>
      </c>
    </row>
    <row r="2" spans="1:25">
      <c r="B2" s="3" t="s">
        <v>464</v>
      </c>
      <c r="C2" s="4">
        <v>281.39999999999998</v>
      </c>
      <c r="D2" s="4">
        <v>308.7</v>
      </c>
      <c r="E2" s="4">
        <f t="shared" ref="E2:S2" si="1">D2*(1+D3)</f>
        <v>311.57161334723043</v>
      </c>
      <c r="F2" s="4">
        <f t="shared" si="1"/>
        <v>314.46993924132187</v>
      </c>
      <c r="G2" s="4">
        <f t="shared" si="1"/>
        <v>317.39522616982242</v>
      </c>
      <c r="H2" s="4">
        <f t="shared" si="1"/>
        <v>320.34772493178059</v>
      </c>
      <c r="I2" s="4">
        <f t="shared" si="1"/>
        <v>323.32768865924743</v>
      </c>
      <c r="J2" s="4">
        <f t="shared" si="1"/>
        <v>326.33537283897874</v>
      </c>
      <c r="K2" s="4">
        <f t="shared" si="1"/>
        <v>329.37103533433941</v>
      </c>
      <c r="L2" s="4">
        <f t="shared" si="1"/>
        <v>332.43493640741099</v>
      </c>
      <c r="M2" s="4">
        <f t="shared" si="1"/>
        <v>335.52733874130547</v>
      </c>
      <c r="N2" s="4">
        <f t="shared" si="1"/>
        <v>338.64850746268621</v>
      </c>
      <c r="O2" s="4">
        <f t="shared" si="1"/>
        <v>341.79871016449869</v>
      </c>
      <c r="P2" s="4">
        <f t="shared" si="1"/>
        <v>344.97821692891245</v>
      </c>
      <c r="Q2" s="4">
        <f t="shared" si="1"/>
        <v>348.18730035047651</v>
      </c>
      <c r="R2" s="4">
        <f t="shared" si="1"/>
        <v>351.42623555949029</v>
      </c>
      <c r="S2" s="4">
        <f t="shared" si="1"/>
        <v>354.69530024559197</v>
      </c>
    </row>
    <row r="3" spans="1:25" hidden="1" outlineLevel="1">
      <c r="B3" s="766" t="s">
        <v>465</v>
      </c>
      <c r="D3" s="7">
        <f>(D2/C2)^(1/10)-1</f>
        <v>9.3022784166842953E-3</v>
      </c>
      <c r="E3" s="8">
        <f t="shared" ref="E3:S3" si="2">D3</f>
        <v>9.3022784166842953E-3</v>
      </c>
      <c r="F3" s="8">
        <f t="shared" si="2"/>
        <v>9.3022784166842953E-3</v>
      </c>
      <c r="G3" s="8">
        <f t="shared" si="2"/>
        <v>9.3022784166842953E-3</v>
      </c>
      <c r="H3" s="8">
        <f t="shared" si="2"/>
        <v>9.3022784166842953E-3</v>
      </c>
      <c r="I3" s="8">
        <f t="shared" si="2"/>
        <v>9.3022784166842953E-3</v>
      </c>
      <c r="J3" s="8">
        <f t="shared" si="2"/>
        <v>9.3022784166842953E-3</v>
      </c>
      <c r="K3" s="8">
        <f t="shared" si="2"/>
        <v>9.3022784166842953E-3</v>
      </c>
      <c r="L3" s="8">
        <f t="shared" si="2"/>
        <v>9.3022784166842953E-3</v>
      </c>
      <c r="M3" s="8">
        <f t="shared" si="2"/>
        <v>9.3022784166842953E-3</v>
      </c>
      <c r="N3" s="8">
        <f t="shared" si="2"/>
        <v>9.3022784166842953E-3</v>
      </c>
      <c r="O3" s="8">
        <f t="shared" si="2"/>
        <v>9.3022784166842953E-3</v>
      </c>
      <c r="P3" s="8">
        <f t="shared" si="2"/>
        <v>9.3022784166842953E-3</v>
      </c>
      <c r="Q3" s="8">
        <f t="shared" si="2"/>
        <v>9.3022784166842953E-3</v>
      </c>
      <c r="R3" s="8">
        <f t="shared" si="2"/>
        <v>9.3022784166842953E-3</v>
      </c>
      <c r="S3" s="8">
        <f t="shared" si="2"/>
        <v>9.3022784166842953E-3</v>
      </c>
    </row>
    <row r="4" spans="1:25" collapsed="1">
      <c r="B4" s="3" t="s">
        <v>480</v>
      </c>
      <c r="C4" s="4">
        <f t="shared" ref="C4:S4" si="3">C2*C5</f>
        <v>16.883999999999997</v>
      </c>
      <c r="D4" s="4">
        <f t="shared" si="3"/>
        <v>18.521999999999998</v>
      </c>
      <c r="E4" s="4">
        <f t="shared" si="3"/>
        <v>18.694296800833826</v>
      </c>
      <c r="F4" s="4">
        <f t="shared" si="3"/>
        <v>18.868196354479313</v>
      </c>
      <c r="G4" s="4">
        <f t="shared" si="3"/>
        <v>19.043713570189343</v>
      </c>
      <c r="H4" s="4">
        <f t="shared" si="3"/>
        <v>19.220863495906833</v>
      </c>
      <c r="I4" s="4">
        <f t="shared" si="3"/>
        <v>19.399661319554845</v>
      </c>
      <c r="J4" s="4">
        <f t="shared" si="3"/>
        <v>19.580122370338724</v>
      </c>
      <c r="K4" s="4">
        <f t="shared" si="3"/>
        <v>19.762262120060363</v>
      </c>
      <c r="L4" s="4">
        <f t="shared" si="3"/>
        <v>19.946096184444659</v>
      </c>
      <c r="M4" s="4">
        <f t="shared" si="3"/>
        <v>20.131640324478326</v>
      </c>
      <c r="N4" s="4">
        <f t="shared" si="3"/>
        <v>20.318910447761173</v>
      </c>
      <c r="O4" s="4">
        <f t="shared" si="3"/>
        <v>20.507922609869919</v>
      </c>
      <c r="P4" s="4">
        <f t="shared" si="3"/>
        <v>20.698693015734747</v>
      </c>
      <c r="Q4" s="4">
        <f t="shared" si="3"/>
        <v>20.891238021028588</v>
      </c>
      <c r="R4" s="4">
        <f t="shared" si="3"/>
        <v>21.085574133569416</v>
      </c>
      <c r="S4" s="4">
        <f t="shared" si="3"/>
        <v>21.281718014735517</v>
      </c>
      <c r="T4" s="10"/>
    </row>
    <row r="5" spans="1:25" outlineLevel="1">
      <c r="B5" s="766" t="s">
        <v>481</v>
      </c>
      <c r="C5" s="12">
        <v>0.06</v>
      </c>
      <c r="D5" s="12">
        <v>0.06</v>
      </c>
      <c r="E5" s="12">
        <v>0.06</v>
      </c>
      <c r="F5" s="12">
        <v>0.06</v>
      </c>
      <c r="G5" s="12">
        <v>0.06</v>
      </c>
      <c r="H5" s="12">
        <v>0.06</v>
      </c>
      <c r="I5" s="12">
        <v>0.06</v>
      </c>
      <c r="J5" s="12">
        <v>0.06</v>
      </c>
      <c r="K5" s="12">
        <v>0.06</v>
      </c>
      <c r="L5" s="12">
        <v>0.06</v>
      </c>
      <c r="M5" s="12">
        <v>0.06</v>
      </c>
      <c r="N5" s="12">
        <v>0.06</v>
      </c>
      <c r="O5" s="12">
        <v>0.06</v>
      </c>
      <c r="P5" s="12">
        <v>0.06</v>
      </c>
      <c r="Q5" s="12">
        <v>0.06</v>
      </c>
      <c r="R5" s="12">
        <v>0.06</v>
      </c>
      <c r="S5" s="12">
        <v>0.06</v>
      </c>
      <c r="T5" s="10"/>
    </row>
    <row r="6" spans="1:25" outlineLevel="1">
      <c r="B6" s="16" t="s">
        <v>781</v>
      </c>
      <c r="C6" s="32">
        <f>C4*C7</f>
        <v>5.5717199999999991</v>
      </c>
      <c r="D6" s="32">
        <f t="shared" ref="D6:S6" si="4">D4*D7</f>
        <v>6.11226</v>
      </c>
      <c r="E6" s="32">
        <f t="shared" si="4"/>
        <v>6.1691179442751629</v>
      </c>
      <c r="F6" s="32">
        <f t="shared" si="4"/>
        <v>6.2265047969781735</v>
      </c>
      <c r="G6" s="32">
        <f t="shared" si="4"/>
        <v>6.2844254781624835</v>
      </c>
      <c r="H6" s="32">
        <f t="shared" si="4"/>
        <v>6.3428849536492553</v>
      </c>
      <c r="I6" s="32">
        <f t="shared" si="4"/>
        <v>6.4018882354530993</v>
      </c>
      <c r="J6" s="32">
        <f t="shared" si="4"/>
        <v>6.4614403822117792</v>
      </c>
      <c r="K6" s="32">
        <f t="shared" si="4"/>
        <v>6.5215464996199204</v>
      </c>
      <c r="L6" s="32">
        <f t="shared" si="4"/>
        <v>6.5822117408667378</v>
      </c>
      <c r="M6" s="32">
        <f t="shared" si="4"/>
        <v>6.6434413070778477</v>
      </c>
      <c r="N6" s="32">
        <f t="shared" si="4"/>
        <v>6.7052404477611871</v>
      </c>
      <c r="O6" s="32">
        <f t="shared" si="4"/>
        <v>6.7676144612570734</v>
      </c>
      <c r="P6" s="32">
        <f t="shared" si="4"/>
        <v>6.8305686951924667</v>
      </c>
      <c r="Q6" s="32">
        <f t="shared" si="4"/>
        <v>6.8941085469394343</v>
      </c>
      <c r="R6" s="32">
        <f t="shared" si="4"/>
        <v>6.9582394640779075</v>
      </c>
      <c r="S6" s="32">
        <f t="shared" si="4"/>
        <v>7.0229669448627208</v>
      </c>
      <c r="T6" s="10"/>
    </row>
    <row r="7" spans="1:25" outlineLevel="1">
      <c r="B7" s="766" t="s">
        <v>782</v>
      </c>
      <c r="C7" s="12">
        <v>0.33</v>
      </c>
      <c r="D7" s="12">
        <f>C7</f>
        <v>0.33</v>
      </c>
      <c r="E7" s="12">
        <f t="shared" ref="E7:S7" si="5">D7</f>
        <v>0.33</v>
      </c>
      <c r="F7" s="12">
        <f t="shared" si="5"/>
        <v>0.33</v>
      </c>
      <c r="G7" s="12">
        <f t="shared" si="5"/>
        <v>0.33</v>
      </c>
      <c r="H7" s="12">
        <f t="shared" si="5"/>
        <v>0.33</v>
      </c>
      <c r="I7" s="12">
        <f t="shared" si="5"/>
        <v>0.33</v>
      </c>
      <c r="J7" s="12">
        <f t="shared" si="5"/>
        <v>0.33</v>
      </c>
      <c r="K7" s="12">
        <f t="shared" si="5"/>
        <v>0.33</v>
      </c>
      <c r="L7" s="12">
        <f t="shared" si="5"/>
        <v>0.33</v>
      </c>
      <c r="M7" s="12">
        <f t="shared" si="5"/>
        <v>0.33</v>
      </c>
      <c r="N7" s="12">
        <f t="shared" si="5"/>
        <v>0.33</v>
      </c>
      <c r="O7" s="12">
        <f t="shared" si="5"/>
        <v>0.33</v>
      </c>
      <c r="P7" s="12">
        <f t="shared" si="5"/>
        <v>0.33</v>
      </c>
      <c r="Q7" s="12">
        <f t="shared" si="5"/>
        <v>0.33</v>
      </c>
      <c r="R7" s="12">
        <f t="shared" si="5"/>
        <v>0.33</v>
      </c>
      <c r="S7" s="12">
        <f t="shared" si="5"/>
        <v>0.33</v>
      </c>
      <c r="T7" s="10"/>
    </row>
    <row r="8" spans="1:25">
      <c r="B8" s="22" t="s">
        <v>788</v>
      </c>
      <c r="C8" s="14">
        <f>C6*C9</f>
        <v>1.3929299999999998</v>
      </c>
      <c r="D8" s="14">
        <f t="shared" ref="D8:S8" si="6">D6*D9</f>
        <v>1.528065</v>
      </c>
      <c r="E8" s="14">
        <f t="shared" si="6"/>
        <v>1.5422794860687907</v>
      </c>
      <c r="F8" s="14">
        <f t="shared" si="6"/>
        <v>1.5566261992445434</v>
      </c>
      <c r="G8" s="14">
        <f t="shared" si="6"/>
        <v>1.5711063695406209</v>
      </c>
      <c r="H8" s="14">
        <f t="shared" si="6"/>
        <v>1.5857212384123138</v>
      </c>
      <c r="I8" s="14">
        <f t="shared" si="6"/>
        <v>1.6004720588632748</v>
      </c>
      <c r="J8" s="14">
        <f t="shared" si="6"/>
        <v>1.6153600955529448</v>
      </c>
      <c r="K8" s="14">
        <f t="shared" si="6"/>
        <v>1.6303866249049801</v>
      </c>
      <c r="L8" s="14">
        <f t="shared" si="6"/>
        <v>1.6455529352166844</v>
      </c>
      <c r="M8" s="14">
        <f t="shared" si="6"/>
        <v>1.6608603267694619</v>
      </c>
      <c r="N8" s="14">
        <f t="shared" si="6"/>
        <v>1.6763101119402968</v>
      </c>
      <c r="O8" s="14">
        <f t="shared" si="6"/>
        <v>1.6919036153142684</v>
      </c>
      <c r="P8" s="14">
        <f t="shared" si="6"/>
        <v>1.7076421737981167</v>
      </c>
      <c r="Q8" s="14">
        <f t="shared" si="6"/>
        <v>1.7235271367348586</v>
      </c>
      <c r="R8" s="14">
        <f t="shared" si="6"/>
        <v>1.7395598660194769</v>
      </c>
      <c r="S8" s="14">
        <f t="shared" si="6"/>
        <v>1.7557417362156802</v>
      </c>
      <c r="T8" s="10"/>
    </row>
    <row r="9" spans="1:25" outlineLevel="1">
      <c r="B9" s="766" t="s">
        <v>482</v>
      </c>
      <c r="C9" s="12">
        <v>0.25</v>
      </c>
      <c r="D9" s="12">
        <v>0.25</v>
      </c>
      <c r="E9" s="12">
        <v>0.25</v>
      </c>
      <c r="F9" s="12">
        <v>0.25</v>
      </c>
      <c r="G9" s="12">
        <v>0.25</v>
      </c>
      <c r="H9" s="12">
        <v>0.25</v>
      </c>
      <c r="I9" s="12">
        <v>0.25</v>
      </c>
      <c r="J9" s="12">
        <v>0.25</v>
      </c>
      <c r="K9" s="12">
        <v>0.25</v>
      </c>
      <c r="L9" s="12">
        <v>0.25</v>
      </c>
      <c r="M9" s="12">
        <v>0.25</v>
      </c>
      <c r="N9" s="12">
        <v>0.25</v>
      </c>
      <c r="O9" s="12">
        <v>0.25</v>
      </c>
      <c r="P9" s="12">
        <v>0.25</v>
      </c>
      <c r="Q9" s="12">
        <v>0.25</v>
      </c>
      <c r="R9" s="12">
        <v>0.25</v>
      </c>
      <c r="S9" s="12">
        <v>0.25</v>
      </c>
    </row>
    <row r="10" spans="1:25">
      <c r="B10" s="22" t="s">
        <v>473</v>
      </c>
      <c r="C10" s="15">
        <f t="shared" ref="C10:S10" si="7">C8*C15*10^3</f>
        <v>0</v>
      </c>
      <c r="D10" s="15">
        <f t="shared" si="7"/>
        <v>0</v>
      </c>
      <c r="E10" s="15">
        <f t="shared" si="7"/>
        <v>0</v>
      </c>
      <c r="F10" s="15">
        <f t="shared" si="7"/>
        <v>0</v>
      </c>
      <c r="G10" s="15">
        <f t="shared" si="7"/>
        <v>0</v>
      </c>
      <c r="H10" s="15">
        <f t="shared" si="7"/>
        <v>0</v>
      </c>
      <c r="I10" s="15">
        <f t="shared" si="7"/>
        <v>0</v>
      </c>
      <c r="J10" s="15">
        <f t="shared" si="7"/>
        <v>0</v>
      </c>
      <c r="K10" s="15">
        <f t="shared" si="7"/>
        <v>8.6818728836697563</v>
      </c>
      <c r="L10" s="15">
        <f t="shared" si="7"/>
        <v>22.117597289559946</v>
      </c>
      <c r="M10" s="15">
        <f t="shared" si="7"/>
        <v>34.186717489367609</v>
      </c>
      <c r="N10" s="15">
        <f t="shared" si="7"/>
        <v>47.120143255524347</v>
      </c>
      <c r="O10" s="15">
        <f t="shared" si="7"/>
        <v>56.59475943539416</v>
      </c>
      <c r="P10" s="15">
        <f t="shared" si="7"/>
        <v>63.176434824934375</v>
      </c>
      <c r="Q10" s="15">
        <f t="shared" si="7"/>
        <v>67.773456619526982</v>
      </c>
      <c r="R10" s="15">
        <f t="shared" si="7"/>
        <v>71.092314693185088</v>
      </c>
      <c r="S10" s="15">
        <f t="shared" si="7"/>
        <v>73.596570759671991</v>
      </c>
    </row>
    <row r="11" spans="1:25" outlineLevel="1">
      <c r="B11" s="31"/>
      <c r="C11" s="32"/>
      <c r="D11" s="32"/>
      <c r="E11" s="32"/>
      <c r="F11" s="32"/>
      <c r="G11" s="32"/>
      <c r="H11" s="32"/>
      <c r="I11" s="32"/>
      <c r="J11" s="17">
        <v>0</v>
      </c>
      <c r="K11" s="17">
        <v>1.0649999999999999</v>
      </c>
      <c r="L11" s="17">
        <f>K11+0.5</f>
        <v>1.5649999999999999</v>
      </c>
      <c r="M11" s="17">
        <f>L11+0.4</f>
        <v>1.9649999999999999</v>
      </c>
      <c r="N11" s="17">
        <f>M11+0.5</f>
        <v>2.4649999999999999</v>
      </c>
      <c r="O11" s="17">
        <f t="shared" ref="O11:S11" si="8">N11+0.5</f>
        <v>2.9649999999999999</v>
      </c>
      <c r="P11" s="17">
        <f t="shared" si="8"/>
        <v>3.4649999999999999</v>
      </c>
      <c r="Q11" s="17">
        <f t="shared" si="8"/>
        <v>3.9649999999999999</v>
      </c>
      <c r="R11" s="17">
        <f t="shared" si="8"/>
        <v>4.4649999999999999</v>
      </c>
      <c r="S11" s="17">
        <f t="shared" si="8"/>
        <v>4.9649999999999999</v>
      </c>
      <c r="T11" s="17" t="s">
        <v>474</v>
      </c>
      <c r="U11" s="17">
        <v>3</v>
      </c>
      <c r="V11" s="17" t="s">
        <v>475</v>
      </c>
      <c r="W11" s="17">
        <v>9</v>
      </c>
      <c r="X11" s="17" t="s">
        <v>476</v>
      </c>
      <c r="Y11" s="18">
        <v>4.4999999999999998E-2</v>
      </c>
    </row>
    <row r="12" spans="1:25" outlineLevel="1">
      <c r="A12" s="764"/>
      <c r="B12" s="745"/>
      <c r="C12" s="741"/>
      <c r="D12" s="742"/>
      <c r="E12" s="742"/>
      <c r="F12" s="742"/>
      <c r="G12" s="742"/>
      <c r="H12" s="742"/>
      <c r="I12" s="742"/>
      <c r="J12" s="753">
        <f t="shared" ref="J12" si="9">K13*2</f>
        <v>1.0650078639078311E-2</v>
      </c>
      <c r="K12" s="753">
        <f t="shared" ref="K12" si="10">L13*2</f>
        <v>2.6881660038055873E-2</v>
      </c>
      <c r="L12" s="753">
        <f t="shared" ref="L12:R12" si="11">M13*2</f>
        <v>4.1167480417650969E-2</v>
      </c>
      <c r="M12" s="753">
        <f t="shared" si="11"/>
        <v>5.6218885658314961E-2</v>
      </c>
      <c r="N12" s="753">
        <f t="shared" si="11"/>
        <v>6.6900689759306145E-2</v>
      </c>
      <c r="O12" s="753">
        <f t="shared" si="11"/>
        <v>7.3992591415586936E-2</v>
      </c>
      <c r="P12" s="753">
        <f t="shared" si="11"/>
        <v>7.8645070535901876E-2</v>
      </c>
      <c r="Q12" s="753">
        <f t="shared" si="11"/>
        <v>8.1735979407091125E-2</v>
      </c>
      <c r="R12" s="753">
        <f t="shared" si="11"/>
        <v>8.3835303611682427E-2</v>
      </c>
      <c r="S12" s="753">
        <f>R12*1.05</f>
        <v>8.8027068792266558E-2</v>
      </c>
      <c r="U12" s="17"/>
      <c r="V12" s="17"/>
      <c r="W12" s="17"/>
      <c r="X12" s="17"/>
      <c r="Y12" s="18"/>
    </row>
    <row r="13" spans="1:25" outlineLevel="1">
      <c r="A13" s="764"/>
      <c r="B13" s="745"/>
      <c r="C13" s="741"/>
      <c r="D13" s="742"/>
      <c r="E13" s="742"/>
      <c r="F13" s="742"/>
      <c r="G13" s="742"/>
      <c r="H13" s="742"/>
      <c r="I13" s="742"/>
      <c r="J13" s="752">
        <f>$Y$11*J11^$U$11/($W$11+J11^$U$11)</f>
        <v>0</v>
      </c>
      <c r="K13" s="752">
        <f t="shared" ref="K13" si="12">$Y$11*K11^$U$11/($W$11+K11^$U$11)</f>
        <v>5.3250393195391557E-3</v>
      </c>
      <c r="L13" s="752">
        <f>$Y$11*L11^$U$11/($W$11+L11^$U$11)</f>
        <v>1.3440830019027936E-2</v>
      </c>
      <c r="M13" s="753">
        <f t="shared" ref="M13:S13" si="13">$Y$11*M11^$U$11/($W$11+M11^$U$11)</f>
        <v>2.0583740208825484E-2</v>
      </c>
      <c r="N13" s="753">
        <f t="shared" si="13"/>
        <v>2.8109442829157481E-2</v>
      </c>
      <c r="O13" s="753">
        <f t="shared" si="13"/>
        <v>3.3450344879653073E-2</v>
      </c>
      <c r="P13" s="753">
        <f t="shared" si="13"/>
        <v>3.6996295707793468E-2</v>
      </c>
      <c r="Q13" s="753">
        <f t="shared" si="13"/>
        <v>3.9322535267950938E-2</v>
      </c>
      <c r="R13" s="753">
        <f t="shared" si="13"/>
        <v>4.0867989703545562E-2</v>
      </c>
      <c r="S13" s="753">
        <f t="shared" si="13"/>
        <v>4.1917651805841213E-2</v>
      </c>
      <c r="U13" s="17"/>
      <c r="V13" s="17"/>
      <c r="W13" s="17"/>
      <c r="X13" s="17"/>
      <c r="Y13" s="18"/>
    </row>
    <row r="14" spans="1:25" outlineLevel="1">
      <c r="A14" s="764"/>
      <c r="B14" s="745"/>
      <c r="C14" s="741"/>
      <c r="D14" s="742"/>
      <c r="E14" s="742"/>
      <c r="F14" s="742"/>
      <c r="G14" s="742"/>
      <c r="H14" s="742"/>
      <c r="I14" s="742"/>
      <c r="J14" s="753">
        <f t="shared" ref="J14:K14" si="14">J13*0.667</f>
        <v>0</v>
      </c>
      <c r="K14" s="753">
        <f t="shared" si="14"/>
        <v>3.5518012261326172E-3</v>
      </c>
      <c r="L14" s="753">
        <f t="shared" ref="L14:S14" si="15">L13*0.667</f>
        <v>8.9650336226916334E-3</v>
      </c>
      <c r="M14" s="753">
        <f t="shared" si="15"/>
        <v>1.3729354719286598E-2</v>
      </c>
      <c r="N14" s="753">
        <f t="shared" si="15"/>
        <v>1.8748998367048041E-2</v>
      </c>
      <c r="O14" s="753">
        <f t="shared" si="15"/>
        <v>2.2311380034728601E-2</v>
      </c>
      <c r="P14" s="753">
        <f t="shared" si="15"/>
        <v>2.4676529237098243E-2</v>
      </c>
      <c r="Q14" s="753">
        <f t="shared" si="15"/>
        <v>2.6228131023723279E-2</v>
      </c>
      <c r="R14" s="753">
        <f t="shared" si="15"/>
        <v>2.7258949132264891E-2</v>
      </c>
      <c r="S14" s="753">
        <f t="shared" si="15"/>
        <v>2.7959073754496092E-2</v>
      </c>
      <c r="U14" s="17"/>
      <c r="V14" s="17"/>
      <c r="W14" s="17"/>
      <c r="X14" s="17"/>
      <c r="Y14" s="18"/>
    </row>
    <row r="15" spans="1:25">
      <c r="A15" s="765" t="s">
        <v>668</v>
      </c>
      <c r="B15" s="762" t="s">
        <v>477</v>
      </c>
      <c r="C15" s="748"/>
      <c r="D15" s="748"/>
      <c r="E15" s="748"/>
      <c r="F15" s="748"/>
      <c r="G15" s="748"/>
      <c r="H15" s="748"/>
      <c r="I15" s="748"/>
      <c r="J15" s="750">
        <f>CHOOSE(DCF!$C$25,J12,J13,J14)</f>
        <v>0</v>
      </c>
      <c r="K15" s="750">
        <f>CHOOSE(DCF!$C$25,K12,K13,K14)</f>
        <v>5.3250393195391557E-3</v>
      </c>
      <c r="L15" s="750">
        <f>CHOOSE(DCF!$C$25,L12,L13,L14)</f>
        <v>1.3440830019027936E-2</v>
      </c>
      <c r="M15" s="750">
        <f>CHOOSE(DCF!$C$25,M12,M13,M14)</f>
        <v>2.0583740208825484E-2</v>
      </c>
      <c r="N15" s="750">
        <f>CHOOSE(DCF!$C$25,N12,N13,N14)</f>
        <v>2.8109442829157481E-2</v>
      </c>
      <c r="O15" s="750">
        <f>CHOOSE(DCF!$C$25,O12,O13,O14)</f>
        <v>3.3450344879653073E-2</v>
      </c>
      <c r="P15" s="750">
        <f>CHOOSE(DCF!$C$25,P12,P13,P14)</f>
        <v>3.6996295707793468E-2</v>
      </c>
      <c r="Q15" s="750">
        <f>CHOOSE(DCF!$C$25,Q12,Q13,Q14)</f>
        <v>3.9322535267950938E-2</v>
      </c>
      <c r="R15" s="750">
        <f>CHOOSE(DCF!$C$25,R12,R13,R14)</f>
        <v>4.0867989703545562E-2</v>
      </c>
      <c r="S15" s="750">
        <f>CHOOSE(DCF!$C$25,S12,S13,S14)</f>
        <v>4.1917651805841213E-2</v>
      </c>
    </row>
    <row r="16" spans="1:25">
      <c r="B16" s="16" t="s">
        <v>478</v>
      </c>
      <c r="J16" s="21">
        <v>26000</v>
      </c>
      <c r="K16" s="21">
        <f t="shared" ref="K16" si="16">J16*(1+K17)</f>
        <v>27300</v>
      </c>
      <c r="L16" s="21">
        <f t="shared" ref="L16" si="17">K16*(1+L17)</f>
        <v>28665</v>
      </c>
      <c r="M16" s="21">
        <f t="shared" ref="M16:S16" si="18">L16*(1+M17)</f>
        <v>30098.25</v>
      </c>
      <c r="N16" s="21">
        <f t="shared" si="18"/>
        <v>31603.162500000002</v>
      </c>
      <c r="O16" s="21">
        <f t="shared" si="18"/>
        <v>33183.320625</v>
      </c>
      <c r="P16" s="21">
        <f t="shared" si="18"/>
        <v>34842.486656250003</v>
      </c>
      <c r="Q16" s="21">
        <f t="shared" si="18"/>
        <v>36584.610989062501</v>
      </c>
      <c r="R16" s="21">
        <f t="shared" si="18"/>
        <v>38413.841538515626</v>
      </c>
      <c r="S16" s="21">
        <f t="shared" si="18"/>
        <v>40334.533615441411</v>
      </c>
    </row>
    <row r="17" spans="2:28">
      <c r="B17" s="6" t="s">
        <v>479</v>
      </c>
      <c r="K17" s="12">
        <v>0.05</v>
      </c>
      <c r="L17" s="12">
        <v>0.05</v>
      </c>
      <c r="M17" s="12">
        <v>0.05</v>
      </c>
      <c r="N17" s="12">
        <v>0.05</v>
      </c>
      <c r="O17" s="12">
        <v>0.05</v>
      </c>
      <c r="P17" s="12">
        <v>0.05</v>
      </c>
      <c r="Q17" s="12">
        <v>0.05</v>
      </c>
      <c r="R17" s="12">
        <v>0.05</v>
      </c>
      <c r="S17" s="12">
        <v>0.05</v>
      </c>
    </row>
    <row r="18" spans="2:28">
      <c r="B18" s="13" t="s">
        <v>483</v>
      </c>
      <c r="C18" s="22"/>
      <c r="D18" s="22"/>
      <c r="E18" s="22"/>
      <c r="F18" s="22"/>
      <c r="G18" s="22"/>
      <c r="H18" s="23"/>
      <c r="I18" s="23"/>
      <c r="J18" s="23">
        <f t="shared" ref="J18" si="19">J10*J16/10^3</f>
        <v>0</v>
      </c>
      <c r="K18" s="23">
        <f t="shared" ref="K18:S18" si="20">K10*K16/10^3</f>
        <v>237.01512972418433</v>
      </c>
      <c r="L18" s="23">
        <f t="shared" si="20"/>
        <v>634.00092630523579</v>
      </c>
      <c r="M18" s="23">
        <f t="shared" si="20"/>
        <v>1028.9603696743586</v>
      </c>
      <c r="N18" s="23">
        <f t="shared" si="20"/>
        <v>1489.145544327615</v>
      </c>
      <c r="O18" s="23">
        <f t="shared" si="20"/>
        <v>1878.0020480394285</v>
      </c>
      <c r="P18" s="23">
        <f t="shared" si="20"/>
        <v>2201.2240873772239</v>
      </c>
      <c r="Q18" s="23">
        <f t="shared" si="20"/>
        <v>2479.4655458094976</v>
      </c>
      <c r="R18" s="23">
        <f t="shared" si="20"/>
        <v>2730.9289112302981</v>
      </c>
      <c r="S18" s="23">
        <f t="shared" si="20"/>
        <v>2968.4833572872026</v>
      </c>
      <c r="U18" s="20"/>
      <c r="V18" s="20"/>
      <c r="W18" s="20"/>
      <c r="X18" s="20"/>
      <c r="Y18" s="20"/>
      <c r="Z18" s="20"/>
      <c r="AA18" s="20"/>
      <c r="AB18" s="20"/>
    </row>
    <row r="19" spans="2:28">
      <c r="B19" s="24"/>
    </row>
  </sheetData>
  <phoneticPr fontId="39" type="noConversion"/>
  <pageMargins left="0.75" right="0.75" top="1" bottom="1" header="0.5" footer="0.5"/>
  <pageSetup orientation="portrait" r:id="rId1"/>
  <headerFooter alignWithMargins="0"/>
  <drawing r:id="rId2"/>
  <legacy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3:M12"/>
  <sheetViews>
    <sheetView zoomScaleNormal="100" workbookViewId="0">
      <selection activeCell="M29" sqref="M29"/>
    </sheetView>
  </sheetViews>
  <sheetFormatPr defaultRowHeight="12.75"/>
  <cols>
    <col min="1" max="1" width="2.875" style="465" customWidth="1"/>
    <col min="2" max="2" width="24.25" style="465" bestFit="1" customWidth="1"/>
    <col min="3" max="16384" width="9" style="465"/>
  </cols>
  <sheetData>
    <row r="3" spans="2:13" ht="13.5" thickBot="1">
      <c r="B3" s="760" t="s">
        <v>785</v>
      </c>
      <c r="C3" s="760">
        <v>2006</v>
      </c>
      <c r="D3" s="760">
        <v>2007</v>
      </c>
      <c r="E3" s="760">
        <v>2008</v>
      </c>
      <c r="F3" s="760">
        <v>2009</v>
      </c>
      <c r="G3" s="760">
        <v>2010</v>
      </c>
      <c r="H3" s="760">
        <v>2011</v>
      </c>
      <c r="I3" s="760">
        <v>2012</v>
      </c>
      <c r="J3" s="760">
        <v>2013</v>
      </c>
      <c r="K3" s="760">
        <f>J3+1</f>
        <v>2014</v>
      </c>
      <c r="L3" s="760">
        <f t="shared" ref="L3:M3" si="0">K3+1</f>
        <v>2015</v>
      </c>
      <c r="M3" s="760">
        <f t="shared" si="0"/>
        <v>2016</v>
      </c>
    </row>
    <row r="4" spans="2:13">
      <c r="B4" s="465" t="s">
        <v>225</v>
      </c>
      <c r="G4" s="465">
        <v>58</v>
      </c>
      <c r="H4" s="465">
        <v>141</v>
      </c>
      <c r="I4" s="465">
        <v>241</v>
      </c>
      <c r="J4" s="703">
        <f>314/'Historical Eye Sales'!I72</f>
        <v>338.78561182541608</v>
      </c>
      <c r="K4" s="703">
        <f>406/'Historical Eye Sales'!J72</f>
        <v>443.5017242232617</v>
      </c>
      <c r="L4" s="703">
        <f>550/'Historical Eye Sales'!AZ10</f>
        <v>571.58846773500011</v>
      </c>
      <c r="M4" s="703">
        <f>647/'Historical Eye Sales'!BE10</f>
        <v>656.76050091438083</v>
      </c>
    </row>
    <row r="5" spans="2:13">
      <c r="B5" s="465" t="s">
        <v>783</v>
      </c>
      <c r="C5" s="465">
        <v>4</v>
      </c>
      <c r="D5" s="465">
        <v>31</v>
      </c>
      <c r="E5" s="465">
        <v>36</v>
      </c>
      <c r="F5" s="465">
        <v>42</v>
      </c>
      <c r="G5" s="465">
        <v>136</v>
      </c>
      <c r="H5" s="465">
        <v>198</v>
      </c>
      <c r="I5" s="465">
        <v>265</v>
      </c>
      <c r="J5" s="703">
        <f>360/'Historical Eye Sales'!I72</f>
        <v>388.41662502277006</v>
      </c>
      <c r="K5" s="703">
        <f>433/'Historical Eye Sales'!J72</f>
        <v>472.99568125288749</v>
      </c>
      <c r="L5" s="703">
        <f>473/'Historical Eye Sales'!AZ10</f>
        <v>491.56608225210005</v>
      </c>
      <c r="M5" s="703">
        <f>558/'Historical Eye Sales'!BE10</f>
        <v>566.41786632183084</v>
      </c>
    </row>
    <row r="6" spans="2:13">
      <c r="B6" s="465" t="s">
        <v>546</v>
      </c>
      <c r="F6" s="465">
        <v>99</v>
      </c>
      <c r="G6" s="465">
        <v>167</v>
      </c>
      <c r="H6" s="465">
        <v>195</v>
      </c>
      <c r="I6" s="465">
        <v>201</v>
      </c>
      <c r="J6" s="703">
        <f>197/'Historical Eye Sales'!I72</f>
        <v>212.55020869301583</v>
      </c>
      <c r="K6" s="703">
        <f>214/'Historical Eye Sales'!J72</f>
        <v>233.76691867925618</v>
      </c>
      <c r="L6" s="703">
        <f>221/'Historical Eye Sales'!AZ10</f>
        <v>229.67463885351822</v>
      </c>
      <c r="M6" s="703">
        <f>284/'Historical Eye Sales'!BE10</f>
        <v>288.28436207060923</v>
      </c>
    </row>
    <row r="7" spans="2:13">
      <c r="B7" s="757" t="s">
        <v>784</v>
      </c>
      <c r="C7" s="757"/>
      <c r="D7" s="757"/>
      <c r="E7" s="757"/>
      <c r="F7" s="757">
        <v>5</v>
      </c>
      <c r="G7" s="757">
        <v>36</v>
      </c>
      <c r="H7" s="757">
        <v>84</v>
      </c>
      <c r="I7" s="757">
        <v>135</v>
      </c>
      <c r="J7" s="758">
        <f>166/'Historical Eye Sales'!I72</f>
        <v>179.1032215382773</v>
      </c>
      <c r="K7" s="758">
        <f>171/'Historical Eye Sales'!J72</f>
        <v>186.79506118762993</v>
      </c>
      <c r="L7" s="758">
        <f>188/'Historical Eye Sales'!AZ10</f>
        <v>195.37933078941822</v>
      </c>
      <c r="M7" s="758">
        <f>208/'Historical Eye Sales'!BE10</f>
        <v>211.1378426432631</v>
      </c>
    </row>
    <row r="8" spans="2:13">
      <c r="B8" s="542" t="s">
        <v>787</v>
      </c>
      <c r="C8" s="761">
        <f>SUM(C4:C7)</f>
        <v>4</v>
      </c>
      <c r="D8" s="761">
        <f t="shared" ref="D8:M8" si="1">SUM(D4:D7)</f>
        <v>31</v>
      </c>
      <c r="E8" s="761">
        <f t="shared" si="1"/>
        <v>36</v>
      </c>
      <c r="F8" s="761">
        <f t="shared" si="1"/>
        <v>146</v>
      </c>
      <c r="G8" s="761">
        <f t="shared" si="1"/>
        <v>397</v>
      </c>
      <c r="H8" s="761">
        <f t="shared" si="1"/>
        <v>618</v>
      </c>
      <c r="I8" s="761">
        <f t="shared" si="1"/>
        <v>842</v>
      </c>
      <c r="J8" s="761">
        <f t="shared" si="1"/>
        <v>1118.8556670794794</v>
      </c>
      <c r="K8" s="761">
        <f t="shared" si="1"/>
        <v>1337.0593853430353</v>
      </c>
      <c r="L8" s="761">
        <f t="shared" si="1"/>
        <v>1488.2085196300366</v>
      </c>
      <c r="M8" s="761">
        <f t="shared" si="1"/>
        <v>1722.600571950084</v>
      </c>
    </row>
    <row r="9" spans="2:13" s="574" customFormat="1">
      <c r="B9" s="759" t="s">
        <v>180</v>
      </c>
      <c r="D9" s="579">
        <f t="shared" ref="D9:J9" si="2">D8/C8-1</f>
        <v>6.75</v>
      </c>
      <c r="E9" s="579">
        <f t="shared" si="2"/>
        <v>0.16129032258064524</v>
      </c>
      <c r="F9" s="579">
        <f t="shared" si="2"/>
        <v>3.0555555555555554</v>
      </c>
      <c r="G9" s="579">
        <f t="shared" si="2"/>
        <v>1.7191780821917808</v>
      </c>
      <c r="H9" s="579">
        <f t="shared" si="2"/>
        <v>0.5566750629722923</v>
      </c>
      <c r="I9" s="579">
        <f t="shared" si="2"/>
        <v>0.36245954692556626</v>
      </c>
      <c r="J9" s="579">
        <f t="shared" si="2"/>
        <v>0.32880720555757659</v>
      </c>
      <c r="K9" s="579">
        <f t="shared" ref="K9" si="3">K8/J8-1</f>
        <v>0.19502400951601517</v>
      </c>
      <c r="L9" s="579">
        <f t="shared" ref="L9" si="4">L8/K8-1</f>
        <v>0.11304593942790553</v>
      </c>
      <c r="M9" s="579">
        <f t="shared" ref="M9" si="5">M8/L8-1</f>
        <v>0.15749946948181459</v>
      </c>
    </row>
    <row r="11" spans="2:13">
      <c r="B11" s="542" t="s">
        <v>786</v>
      </c>
      <c r="C11" s="761">
        <f>Antibodies!R51+Antibodies!R62</f>
        <v>0</v>
      </c>
      <c r="D11" s="761">
        <f>Antibodies!W51+Antibodies!W62</f>
        <v>12.600869565217394</v>
      </c>
      <c r="E11" s="761">
        <f>Antibodies!AB51+Antibodies!AB62</f>
        <v>129.56730434782608</v>
      </c>
      <c r="F11" s="761">
        <f>Antibodies!AG51+Antibodies!AG62</f>
        <v>247.5</v>
      </c>
      <c r="G11" s="761">
        <f>Antibodies!AL51+Antibodies!AL62</f>
        <v>356</v>
      </c>
      <c r="H11" s="761">
        <f>Antibodies!AQ51+Antibodies!AQ62</f>
        <v>471.5</v>
      </c>
      <c r="I11" s="761">
        <f>Antibodies!AV51+Antibodies!AV62</f>
        <v>567.5</v>
      </c>
      <c r="J11" s="761">
        <f>Antibodies!BA51+Antibodies!BA62</f>
        <v>662.5</v>
      </c>
    </row>
    <row r="12" spans="2:13" s="574" customFormat="1">
      <c r="B12" s="759" t="s">
        <v>180</v>
      </c>
      <c r="D12" s="1055" t="str">
        <f>IFERROR(D11/C11-1,"NA")</f>
        <v>NA</v>
      </c>
      <c r="E12" s="579">
        <f t="shared" ref="E12:J12" si="6">E11/D11-1</f>
        <v>9.2824097715823584</v>
      </c>
      <c r="F12" s="579">
        <f t="shared" si="6"/>
        <v>0.91020413094017294</v>
      </c>
      <c r="G12" s="579">
        <f t="shared" si="6"/>
        <v>0.43838383838383832</v>
      </c>
      <c r="H12" s="579">
        <f t="shared" si="6"/>
        <v>0.324438202247191</v>
      </c>
      <c r="I12" s="579">
        <f t="shared" si="6"/>
        <v>0.2036055143160127</v>
      </c>
      <c r="J12" s="579">
        <f t="shared" si="6"/>
        <v>0.16740088105726869</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5.875" style="1" bestFit="1" customWidth="1"/>
    <col min="2" max="2" width="17.375" style="1136" customWidth="1"/>
    <col min="3" max="3" width="10.5" style="1" bestFit="1" customWidth="1"/>
    <col min="4" max="256" width="9" style="1"/>
    <col min="257" max="257" width="25.875" style="1" bestFit="1" customWidth="1"/>
    <col min="258" max="258" width="17.375" style="1" customWidth="1"/>
    <col min="259" max="259" width="10.5" style="1" bestFit="1" customWidth="1"/>
    <col min="260" max="512" width="9" style="1"/>
    <col min="513" max="513" width="25.875" style="1" bestFit="1" customWidth="1"/>
    <col min="514" max="514" width="17.375" style="1" customWidth="1"/>
    <col min="515" max="515" width="10.5" style="1" bestFit="1" customWidth="1"/>
    <col min="516" max="768" width="9" style="1"/>
    <col min="769" max="769" width="25.875" style="1" bestFit="1" customWidth="1"/>
    <col min="770" max="770" width="17.375" style="1" customWidth="1"/>
    <col min="771" max="771" width="10.5" style="1" bestFit="1" customWidth="1"/>
    <col min="772" max="1024" width="9" style="1"/>
    <col min="1025" max="1025" width="25.875" style="1" bestFit="1" customWidth="1"/>
    <col min="1026" max="1026" width="17.375" style="1" customWidth="1"/>
    <col min="1027" max="1027" width="10.5" style="1" bestFit="1" customWidth="1"/>
    <col min="1028" max="1280" width="9" style="1"/>
    <col min="1281" max="1281" width="25.875" style="1" bestFit="1" customWidth="1"/>
    <col min="1282" max="1282" width="17.375" style="1" customWidth="1"/>
    <col min="1283" max="1283" width="10.5" style="1" bestFit="1" customWidth="1"/>
    <col min="1284" max="1536" width="9" style="1"/>
    <col min="1537" max="1537" width="25.875" style="1" bestFit="1" customWidth="1"/>
    <col min="1538" max="1538" width="17.375" style="1" customWidth="1"/>
    <col min="1539" max="1539" width="10.5" style="1" bestFit="1" customWidth="1"/>
    <col min="1540" max="1792" width="9" style="1"/>
    <col min="1793" max="1793" width="25.875" style="1" bestFit="1" customWidth="1"/>
    <col min="1794" max="1794" width="17.375" style="1" customWidth="1"/>
    <col min="1795" max="1795" width="10.5" style="1" bestFit="1" customWidth="1"/>
    <col min="1796" max="2048" width="9" style="1"/>
    <col min="2049" max="2049" width="25.875" style="1" bestFit="1" customWidth="1"/>
    <col min="2050" max="2050" width="17.375" style="1" customWidth="1"/>
    <col min="2051" max="2051" width="10.5" style="1" bestFit="1" customWidth="1"/>
    <col min="2052" max="2304" width="9" style="1"/>
    <col min="2305" max="2305" width="25.875" style="1" bestFit="1" customWidth="1"/>
    <col min="2306" max="2306" width="17.375" style="1" customWidth="1"/>
    <col min="2307" max="2307" width="10.5" style="1" bestFit="1" customWidth="1"/>
    <col min="2308" max="2560" width="9" style="1"/>
    <col min="2561" max="2561" width="25.875" style="1" bestFit="1" customWidth="1"/>
    <col min="2562" max="2562" width="17.375" style="1" customWidth="1"/>
    <col min="2563" max="2563" width="10.5" style="1" bestFit="1" customWidth="1"/>
    <col min="2564" max="2816" width="9" style="1"/>
    <col min="2817" max="2817" width="25.875" style="1" bestFit="1" customWidth="1"/>
    <col min="2818" max="2818" width="17.375" style="1" customWidth="1"/>
    <col min="2819" max="2819" width="10.5" style="1" bestFit="1" customWidth="1"/>
    <col min="2820" max="3072" width="9" style="1"/>
    <col min="3073" max="3073" width="25.875" style="1" bestFit="1" customWidth="1"/>
    <col min="3074" max="3074" width="17.375" style="1" customWidth="1"/>
    <col min="3075" max="3075" width="10.5" style="1" bestFit="1" customWidth="1"/>
    <col min="3076" max="3328" width="9" style="1"/>
    <col min="3329" max="3329" width="25.875" style="1" bestFit="1" customWidth="1"/>
    <col min="3330" max="3330" width="17.375" style="1" customWidth="1"/>
    <col min="3331" max="3331" width="10.5" style="1" bestFit="1" customWidth="1"/>
    <col min="3332" max="3584" width="9" style="1"/>
    <col min="3585" max="3585" width="25.875" style="1" bestFit="1" customWidth="1"/>
    <col min="3586" max="3586" width="17.375" style="1" customWidth="1"/>
    <col min="3587" max="3587" width="10.5" style="1" bestFit="1" customWidth="1"/>
    <col min="3588" max="3840" width="9" style="1"/>
    <col min="3841" max="3841" width="25.875" style="1" bestFit="1" customWidth="1"/>
    <col min="3842" max="3842" width="17.375" style="1" customWidth="1"/>
    <col min="3843" max="3843" width="10.5" style="1" bestFit="1" customWidth="1"/>
    <col min="3844" max="4096" width="9" style="1"/>
    <col min="4097" max="4097" width="25.875" style="1" bestFit="1" customWidth="1"/>
    <col min="4098" max="4098" width="17.375" style="1" customWidth="1"/>
    <col min="4099" max="4099" width="10.5" style="1" bestFit="1" customWidth="1"/>
    <col min="4100" max="4352" width="9" style="1"/>
    <col min="4353" max="4353" width="25.875" style="1" bestFit="1" customWidth="1"/>
    <col min="4354" max="4354" width="17.375" style="1" customWidth="1"/>
    <col min="4355" max="4355" width="10.5" style="1" bestFit="1" customWidth="1"/>
    <col min="4356" max="4608" width="9" style="1"/>
    <col min="4609" max="4609" width="25.875" style="1" bestFit="1" customWidth="1"/>
    <col min="4610" max="4610" width="17.375" style="1" customWidth="1"/>
    <col min="4611" max="4611" width="10.5" style="1" bestFit="1" customWidth="1"/>
    <col min="4612" max="4864" width="9" style="1"/>
    <col min="4865" max="4865" width="25.875" style="1" bestFit="1" customWidth="1"/>
    <col min="4866" max="4866" width="17.375" style="1" customWidth="1"/>
    <col min="4867" max="4867" width="10.5" style="1" bestFit="1" customWidth="1"/>
    <col min="4868" max="5120" width="9" style="1"/>
    <col min="5121" max="5121" width="25.875" style="1" bestFit="1" customWidth="1"/>
    <col min="5122" max="5122" width="17.375" style="1" customWidth="1"/>
    <col min="5123" max="5123" width="10.5" style="1" bestFit="1" customWidth="1"/>
    <col min="5124" max="5376" width="9" style="1"/>
    <col min="5377" max="5377" width="25.875" style="1" bestFit="1" customWidth="1"/>
    <col min="5378" max="5378" width="17.375" style="1" customWidth="1"/>
    <col min="5379" max="5379" width="10.5" style="1" bestFit="1" customWidth="1"/>
    <col min="5380" max="5632" width="9" style="1"/>
    <col min="5633" max="5633" width="25.875" style="1" bestFit="1" customWidth="1"/>
    <col min="5634" max="5634" width="17.375" style="1" customWidth="1"/>
    <col min="5635" max="5635" width="10.5" style="1" bestFit="1" customWidth="1"/>
    <col min="5636" max="5888" width="9" style="1"/>
    <col min="5889" max="5889" width="25.875" style="1" bestFit="1" customWidth="1"/>
    <col min="5890" max="5890" width="17.375" style="1" customWidth="1"/>
    <col min="5891" max="5891" width="10.5" style="1" bestFit="1" customWidth="1"/>
    <col min="5892" max="6144" width="9" style="1"/>
    <col min="6145" max="6145" width="25.875" style="1" bestFit="1" customWidth="1"/>
    <col min="6146" max="6146" width="17.375" style="1" customWidth="1"/>
    <col min="6147" max="6147" width="10.5" style="1" bestFit="1" customWidth="1"/>
    <col min="6148" max="6400" width="9" style="1"/>
    <col min="6401" max="6401" width="25.875" style="1" bestFit="1" customWidth="1"/>
    <col min="6402" max="6402" width="17.375" style="1" customWidth="1"/>
    <col min="6403" max="6403" width="10.5" style="1" bestFit="1" customWidth="1"/>
    <col min="6404" max="6656" width="9" style="1"/>
    <col min="6657" max="6657" width="25.875" style="1" bestFit="1" customWidth="1"/>
    <col min="6658" max="6658" width="17.375" style="1" customWidth="1"/>
    <col min="6659" max="6659" width="10.5" style="1" bestFit="1" customWidth="1"/>
    <col min="6660" max="6912" width="9" style="1"/>
    <col min="6913" max="6913" width="25.875" style="1" bestFit="1" customWidth="1"/>
    <col min="6914" max="6914" width="17.375" style="1" customWidth="1"/>
    <col min="6915" max="6915" width="10.5" style="1" bestFit="1" customWidth="1"/>
    <col min="6916" max="7168" width="9" style="1"/>
    <col min="7169" max="7169" width="25.875" style="1" bestFit="1" customWidth="1"/>
    <col min="7170" max="7170" width="17.375" style="1" customWidth="1"/>
    <col min="7171" max="7171" width="10.5" style="1" bestFit="1" customWidth="1"/>
    <col min="7172" max="7424" width="9" style="1"/>
    <col min="7425" max="7425" width="25.875" style="1" bestFit="1" customWidth="1"/>
    <col min="7426" max="7426" width="17.375" style="1" customWidth="1"/>
    <col min="7427" max="7427" width="10.5" style="1" bestFit="1" customWidth="1"/>
    <col min="7428" max="7680" width="9" style="1"/>
    <col min="7681" max="7681" width="25.875" style="1" bestFit="1" customWidth="1"/>
    <col min="7682" max="7682" width="17.375" style="1" customWidth="1"/>
    <col min="7683" max="7683" width="10.5" style="1" bestFit="1" customWidth="1"/>
    <col min="7684" max="7936" width="9" style="1"/>
    <col min="7937" max="7937" width="25.875" style="1" bestFit="1" customWidth="1"/>
    <col min="7938" max="7938" width="17.375" style="1" customWidth="1"/>
    <col min="7939" max="7939" width="10.5" style="1" bestFit="1" customWidth="1"/>
    <col min="7940" max="8192" width="9" style="1"/>
    <col min="8193" max="8193" width="25.875" style="1" bestFit="1" customWidth="1"/>
    <col min="8194" max="8194" width="17.375" style="1" customWidth="1"/>
    <col min="8195" max="8195" width="10.5" style="1" bestFit="1" customWidth="1"/>
    <col min="8196" max="8448" width="9" style="1"/>
    <col min="8449" max="8449" width="25.875" style="1" bestFit="1" customWidth="1"/>
    <col min="8450" max="8450" width="17.375" style="1" customWidth="1"/>
    <col min="8451" max="8451" width="10.5" style="1" bestFit="1" customWidth="1"/>
    <col min="8452" max="8704" width="9" style="1"/>
    <col min="8705" max="8705" width="25.875" style="1" bestFit="1" customWidth="1"/>
    <col min="8706" max="8706" width="17.375" style="1" customWidth="1"/>
    <col min="8707" max="8707" width="10.5" style="1" bestFit="1" customWidth="1"/>
    <col min="8708" max="8960" width="9" style="1"/>
    <col min="8961" max="8961" width="25.875" style="1" bestFit="1" customWidth="1"/>
    <col min="8962" max="8962" width="17.375" style="1" customWidth="1"/>
    <col min="8963" max="8963" width="10.5" style="1" bestFit="1" customWidth="1"/>
    <col min="8964" max="9216" width="9" style="1"/>
    <col min="9217" max="9217" width="25.875" style="1" bestFit="1" customWidth="1"/>
    <col min="9218" max="9218" width="17.375" style="1" customWidth="1"/>
    <col min="9219" max="9219" width="10.5" style="1" bestFit="1" customWidth="1"/>
    <col min="9220" max="9472" width="9" style="1"/>
    <col min="9473" max="9473" width="25.875" style="1" bestFit="1" customWidth="1"/>
    <col min="9474" max="9474" width="17.375" style="1" customWidth="1"/>
    <col min="9475" max="9475" width="10.5" style="1" bestFit="1" customWidth="1"/>
    <col min="9476" max="9728" width="9" style="1"/>
    <col min="9729" max="9729" width="25.875" style="1" bestFit="1" customWidth="1"/>
    <col min="9730" max="9730" width="17.375" style="1" customWidth="1"/>
    <col min="9731" max="9731" width="10.5" style="1" bestFit="1" customWidth="1"/>
    <col min="9732" max="9984" width="9" style="1"/>
    <col min="9985" max="9985" width="25.875" style="1" bestFit="1" customWidth="1"/>
    <col min="9986" max="9986" width="17.375" style="1" customWidth="1"/>
    <col min="9987" max="9987" width="10.5" style="1" bestFit="1" customWidth="1"/>
    <col min="9988" max="10240" width="9" style="1"/>
    <col min="10241" max="10241" width="25.875" style="1" bestFit="1" customWidth="1"/>
    <col min="10242" max="10242" width="17.375" style="1" customWidth="1"/>
    <col min="10243" max="10243" width="10.5" style="1" bestFit="1" customWidth="1"/>
    <col min="10244" max="10496" width="9" style="1"/>
    <col min="10497" max="10497" width="25.875" style="1" bestFit="1" customWidth="1"/>
    <col min="10498" max="10498" width="17.375" style="1" customWidth="1"/>
    <col min="10499" max="10499" width="10.5" style="1" bestFit="1" customWidth="1"/>
    <col min="10500" max="10752" width="9" style="1"/>
    <col min="10753" max="10753" width="25.875" style="1" bestFit="1" customWidth="1"/>
    <col min="10754" max="10754" width="17.375" style="1" customWidth="1"/>
    <col min="10755" max="10755" width="10.5" style="1" bestFit="1" customWidth="1"/>
    <col min="10756" max="11008" width="9" style="1"/>
    <col min="11009" max="11009" width="25.875" style="1" bestFit="1" customWidth="1"/>
    <col min="11010" max="11010" width="17.375" style="1" customWidth="1"/>
    <col min="11011" max="11011" width="10.5" style="1" bestFit="1" customWidth="1"/>
    <col min="11012" max="11264" width="9" style="1"/>
    <col min="11265" max="11265" width="25.875" style="1" bestFit="1" customWidth="1"/>
    <col min="11266" max="11266" width="17.375" style="1" customWidth="1"/>
    <col min="11267" max="11267" width="10.5" style="1" bestFit="1" customWidth="1"/>
    <col min="11268" max="11520" width="9" style="1"/>
    <col min="11521" max="11521" width="25.875" style="1" bestFit="1" customWidth="1"/>
    <col min="11522" max="11522" width="17.375" style="1" customWidth="1"/>
    <col min="11523" max="11523" width="10.5" style="1" bestFit="1" customWidth="1"/>
    <col min="11524" max="11776" width="9" style="1"/>
    <col min="11777" max="11777" width="25.875" style="1" bestFit="1" customWidth="1"/>
    <col min="11778" max="11778" width="17.375" style="1" customWidth="1"/>
    <col min="11779" max="11779" width="10.5" style="1" bestFit="1" customWidth="1"/>
    <col min="11780" max="12032" width="9" style="1"/>
    <col min="12033" max="12033" width="25.875" style="1" bestFit="1" customWidth="1"/>
    <col min="12034" max="12034" width="17.375" style="1" customWidth="1"/>
    <col min="12035" max="12035" width="10.5" style="1" bestFit="1" customWidth="1"/>
    <col min="12036" max="12288" width="9" style="1"/>
    <col min="12289" max="12289" width="25.875" style="1" bestFit="1" customWidth="1"/>
    <col min="12290" max="12290" width="17.375" style="1" customWidth="1"/>
    <col min="12291" max="12291" width="10.5" style="1" bestFit="1" customWidth="1"/>
    <col min="12292" max="12544" width="9" style="1"/>
    <col min="12545" max="12545" width="25.875" style="1" bestFit="1" customWidth="1"/>
    <col min="12546" max="12546" width="17.375" style="1" customWidth="1"/>
    <col min="12547" max="12547" width="10.5" style="1" bestFit="1" customWidth="1"/>
    <col min="12548" max="12800" width="9" style="1"/>
    <col min="12801" max="12801" width="25.875" style="1" bestFit="1" customWidth="1"/>
    <col min="12802" max="12802" width="17.375" style="1" customWidth="1"/>
    <col min="12803" max="12803" width="10.5" style="1" bestFit="1" customWidth="1"/>
    <col min="12804" max="13056" width="9" style="1"/>
    <col min="13057" max="13057" width="25.875" style="1" bestFit="1" customWidth="1"/>
    <col min="13058" max="13058" width="17.375" style="1" customWidth="1"/>
    <col min="13059" max="13059" width="10.5" style="1" bestFit="1" customWidth="1"/>
    <col min="13060" max="13312" width="9" style="1"/>
    <col min="13313" max="13313" width="25.875" style="1" bestFit="1" customWidth="1"/>
    <col min="13314" max="13314" width="17.375" style="1" customWidth="1"/>
    <col min="13315" max="13315" width="10.5" style="1" bestFit="1" customWidth="1"/>
    <col min="13316" max="13568" width="9" style="1"/>
    <col min="13569" max="13569" width="25.875" style="1" bestFit="1" customWidth="1"/>
    <col min="13570" max="13570" width="17.375" style="1" customWidth="1"/>
    <col min="13571" max="13571" width="10.5" style="1" bestFit="1" customWidth="1"/>
    <col min="13572" max="13824" width="9" style="1"/>
    <col min="13825" max="13825" width="25.875" style="1" bestFit="1" customWidth="1"/>
    <col min="13826" max="13826" width="17.375" style="1" customWidth="1"/>
    <col min="13827" max="13827" width="10.5" style="1" bestFit="1" customWidth="1"/>
    <col min="13828" max="14080" width="9" style="1"/>
    <col min="14081" max="14081" width="25.875" style="1" bestFit="1" customWidth="1"/>
    <col min="14082" max="14082" width="17.375" style="1" customWidth="1"/>
    <col min="14083" max="14083" width="10.5" style="1" bestFit="1" customWidth="1"/>
    <col min="14084" max="14336" width="9" style="1"/>
    <col min="14337" max="14337" width="25.875" style="1" bestFit="1" customWidth="1"/>
    <col min="14338" max="14338" width="17.375" style="1" customWidth="1"/>
    <col min="14339" max="14339" width="10.5" style="1" bestFit="1" customWidth="1"/>
    <col min="14340" max="14592" width="9" style="1"/>
    <col min="14593" max="14593" width="25.875" style="1" bestFit="1" customWidth="1"/>
    <col min="14594" max="14594" width="17.375" style="1" customWidth="1"/>
    <col min="14595" max="14595" width="10.5" style="1" bestFit="1" customWidth="1"/>
    <col min="14596" max="14848" width="9" style="1"/>
    <col min="14849" max="14849" width="25.875" style="1" bestFit="1" customWidth="1"/>
    <col min="14850" max="14850" width="17.375" style="1" customWidth="1"/>
    <col min="14851" max="14851" width="10.5" style="1" bestFit="1" customWidth="1"/>
    <col min="14852" max="15104" width="9" style="1"/>
    <col min="15105" max="15105" width="25.875" style="1" bestFit="1" customWidth="1"/>
    <col min="15106" max="15106" width="17.375" style="1" customWidth="1"/>
    <col min="15107" max="15107" width="10.5" style="1" bestFit="1" customWidth="1"/>
    <col min="15108" max="15360" width="9" style="1"/>
    <col min="15361" max="15361" width="25.875" style="1" bestFit="1" customWidth="1"/>
    <col min="15362" max="15362" width="17.375" style="1" customWidth="1"/>
    <col min="15363" max="15363" width="10.5" style="1" bestFit="1" customWidth="1"/>
    <col min="15364" max="15616" width="9" style="1"/>
    <col min="15617" max="15617" width="25.875" style="1" bestFit="1" customWidth="1"/>
    <col min="15618" max="15618" width="17.375" style="1" customWidth="1"/>
    <col min="15619" max="15619" width="10.5" style="1" bestFit="1" customWidth="1"/>
    <col min="15620" max="15872" width="9" style="1"/>
    <col min="15873" max="15873" width="25.875" style="1" bestFit="1" customWidth="1"/>
    <col min="15874" max="15874" width="17.375" style="1" customWidth="1"/>
    <col min="15875" max="15875" width="10.5" style="1" bestFit="1" customWidth="1"/>
    <col min="15876" max="16128" width="9" style="1"/>
    <col min="16129" max="16129" width="25.875" style="1" bestFit="1" customWidth="1"/>
    <col min="16130" max="16130" width="17.375" style="1" customWidth="1"/>
    <col min="16131" max="16131" width="10.5" style="1" bestFit="1" customWidth="1"/>
    <col min="16132" max="16384" width="9" style="1"/>
  </cols>
  <sheetData>
    <row r="1" spans="1:2">
      <c r="A1" s="1" t="s">
        <v>1202</v>
      </c>
      <c r="B1" s="1135">
        <v>6.1</v>
      </c>
    </row>
    <row r="2" spans="1:2">
      <c r="A2" s="1" t="s">
        <v>1203</v>
      </c>
      <c r="B2" s="1138">
        <v>43203.448969907404</v>
      </c>
    </row>
    <row r="3" spans="1:2">
      <c r="A3" s="1" t="s">
        <v>1204</v>
      </c>
      <c r="B3" s="1136" t="s">
        <v>904</v>
      </c>
    </row>
    <row r="4" spans="1:2">
      <c r="A4" s="1" t="s">
        <v>1205</v>
      </c>
      <c r="B4" s="1136" t="s">
        <v>1206</v>
      </c>
    </row>
    <row r="5" spans="1:2">
      <c r="A5" s="1" t="s">
        <v>1207</v>
      </c>
      <c r="B5" s="1136" t="s">
        <v>1208</v>
      </c>
    </row>
    <row r="6" spans="1:2">
      <c r="A6" s="1" t="s">
        <v>1209</v>
      </c>
    </row>
    <row r="7" spans="1:2">
      <c r="A7" s="1" t="s">
        <v>1210</v>
      </c>
      <c r="B7" s="1136" t="s">
        <v>766</v>
      </c>
    </row>
    <row r="8" spans="1:2">
      <c r="A8" s="1" t="s">
        <v>1211</v>
      </c>
      <c r="B8" s="1136" t="s">
        <v>1212</v>
      </c>
    </row>
    <row r="9" spans="1:2">
      <c r="A9" s="1" t="s">
        <v>1213</v>
      </c>
      <c r="B9" s="1136" t="s">
        <v>1251</v>
      </c>
    </row>
    <row r="10" spans="1:2">
      <c r="A10" s="1" t="s">
        <v>1214</v>
      </c>
    </row>
    <row r="11" spans="1:2">
      <c r="A11" s="1" t="s">
        <v>1215</v>
      </c>
    </row>
    <row r="12" spans="1:2">
      <c r="A12" s="1" t="s">
        <v>1216</v>
      </c>
    </row>
    <row r="13" spans="1:2">
      <c r="A13" s="1" t="s">
        <v>1217</v>
      </c>
    </row>
    <row r="14" spans="1:2">
      <c r="A14" s="1" t="s">
        <v>1218</v>
      </c>
    </row>
    <row r="15" spans="1:2">
      <c r="A15" s="1" t="s">
        <v>1219</v>
      </c>
    </row>
    <row r="16" spans="1:2">
      <c r="A16" s="1" t="s">
        <v>1220</v>
      </c>
    </row>
    <row r="17" spans="1:4">
      <c r="A17" s="1" t="s">
        <v>1221</v>
      </c>
      <c r="B17" s="1136" t="s">
        <v>1252</v>
      </c>
    </row>
    <row r="18" spans="1:4">
      <c r="A18" s="1" t="s">
        <v>1222</v>
      </c>
      <c r="B18" s="1136" t="s">
        <v>905</v>
      </c>
    </row>
    <row r="19" spans="1:4">
      <c r="A19" s="1" t="s">
        <v>1223</v>
      </c>
      <c r="B19" s="1136" t="s">
        <v>765</v>
      </c>
    </row>
    <row r="20" spans="1:4">
      <c r="A20" s="1" t="s">
        <v>1224</v>
      </c>
      <c r="B20" s="1137" t="s">
        <v>1255</v>
      </c>
    </row>
    <row r="21" spans="1:4">
      <c r="A21" s="1" t="s">
        <v>1225</v>
      </c>
      <c r="B21" s="1136" t="s">
        <v>765</v>
      </c>
    </row>
    <row r="22" spans="1:4">
      <c r="A22" s="1" t="s">
        <v>1226</v>
      </c>
      <c r="B22" s="1137">
        <v>2730190</v>
      </c>
    </row>
    <row r="23" spans="1:4">
      <c r="A23" s="1" t="s">
        <v>771</v>
      </c>
      <c r="B23" s="1135">
        <v>323.22000000000003</v>
      </c>
    </row>
    <row r="24" spans="1:4">
      <c r="A24" s="1" t="s">
        <v>770</v>
      </c>
      <c r="B24" s="1136" t="s">
        <v>764</v>
      </c>
      <c r="D24" s="1" t="s">
        <v>1227</v>
      </c>
    </row>
    <row r="25" spans="1:4">
      <c r="A25" s="1" t="s">
        <v>1228</v>
      </c>
      <c r="B25" s="1136" t="s">
        <v>1256</v>
      </c>
    </row>
    <row r="26" spans="1:4">
      <c r="A26" s="1" t="s">
        <v>1229</v>
      </c>
      <c r="B26" s="1136">
        <v>0</v>
      </c>
    </row>
    <row r="27" spans="1:4">
      <c r="A27" s="1" t="s">
        <v>1230</v>
      </c>
      <c r="B27" s="1136" t="s">
        <v>1231</v>
      </c>
    </row>
    <row r="28" spans="1:4">
      <c r="A28" s="1" t="s">
        <v>1232</v>
      </c>
      <c r="B28" s="1136" t="s">
        <v>1233</v>
      </c>
    </row>
    <row r="29" spans="1:4">
      <c r="A29" s="1" t="s">
        <v>1234</v>
      </c>
    </row>
    <row r="30" spans="1:4">
      <c r="A30" s="1" t="s">
        <v>1235</v>
      </c>
    </row>
    <row r="31" spans="1:4">
      <c r="A31" s="1" t="s">
        <v>1236</v>
      </c>
    </row>
    <row r="32" spans="1:4">
      <c r="A32" s="1" t="s">
        <v>1237</v>
      </c>
      <c r="B32" s="1135"/>
    </row>
    <row r="33" spans="1:2">
      <c r="A33" s="1" t="s">
        <v>1238</v>
      </c>
      <c r="B33" s="1135"/>
    </row>
    <row r="34" spans="1:2">
      <c r="A34" s="1" t="s">
        <v>1239</v>
      </c>
      <c r="B34" s="1135"/>
    </row>
    <row r="35" spans="1:2">
      <c r="A35" s="1" t="s">
        <v>1240</v>
      </c>
      <c r="B35" s="1136">
        <v>1000000</v>
      </c>
    </row>
    <row r="36" spans="1:2">
      <c r="A36" s="1" t="s">
        <v>1241</v>
      </c>
      <c r="B36" s="1136" t="s">
        <v>1253</v>
      </c>
    </row>
    <row r="37" spans="1:2">
      <c r="A37" s="1" t="s">
        <v>1242</v>
      </c>
      <c r="B37" s="1136" t="s">
        <v>1243</v>
      </c>
    </row>
    <row r="38" spans="1:2">
      <c r="A38" s="1" t="s">
        <v>1244</v>
      </c>
      <c r="B38" s="1136" t="s">
        <v>1245</v>
      </c>
    </row>
    <row r="39" spans="1:2">
      <c r="A39" s="1" t="s">
        <v>1246</v>
      </c>
      <c r="B39" s="1136" t="s">
        <v>1254</v>
      </c>
    </row>
    <row r="40" spans="1:2">
      <c r="A40" s="1" t="s">
        <v>1247</v>
      </c>
      <c r="B40" s="1136">
        <v>1500004768</v>
      </c>
    </row>
    <row r="41" spans="1:2">
      <c r="A41" s="1" t="s">
        <v>1248</v>
      </c>
      <c r="B41" s="1136">
        <v>1</v>
      </c>
    </row>
    <row r="42" spans="1:2">
      <c r="A42" s="767" t="s">
        <v>1249</v>
      </c>
    </row>
    <row r="43" spans="1:2">
      <c r="A43" s="1" t="s">
        <v>1250</v>
      </c>
    </row>
  </sheetData>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13"/>
  <sheetViews>
    <sheetView workbookViewId="0">
      <selection activeCell="E11" sqref="E11"/>
    </sheetView>
  </sheetViews>
  <sheetFormatPr defaultRowHeight="12.75"/>
  <cols>
    <col min="1" max="1" width="25" style="1" bestFit="1" customWidth="1"/>
    <col min="2" max="256" width="9" style="1"/>
    <col min="257" max="257" width="25" style="1" bestFit="1" customWidth="1"/>
    <col min="258" max="512" width="9" style="1"/>
    <col min="513" max="513" width="25" style="1" bestFit="1" customWidth="1"/>
    <col min="514" max="768" width="9" style="1"/>
    <col min="769" max="769" width="25" style="1" bestFit="1" customWidth="1"/>
    <col min="770" max="1024" width="9" style="1"/>
    <col min="1025" max="1025" width="25" style="1" bestFit="1" customWidth="1"/>
    <col min="1026" max="1280" width="9" style="1"/>
    <col min="1281" max="1281" width="25" style="1" bestFit="1" customWidth="1"/>
    <col min="1282" max="1536" width="9" style="1"/>
    <col min="1537" max="1537" width="25" style="1" bestFit="1" customWidth="1"/>
    <col min="1538" max="1792" width="9" style="1"/>
    <col min="1793" max="1793" width="25" style="1" bestFit="1" customWidth="1"/>
    <col min="1794" max="2048" width="9" style="1"/>
    <col min="2049" max="2049" width="25" style="1" bestFit="1" customWidth="1"/>
    <col min="2050" max="2304" width="9" style="1"/>
    <col min="2305" max="2305" width="25" style="1" bestFit="1" customWidth="1"/>
    <col min="2306" max="2560" width="9" style="1"/>
    <col min="2561" max="2561" width="25" style="1" bestFit="1" customWidth="1"/>
    <col min="2562" max="2816" width="9" style="1"/>
    <col min="2817" max="2817" width="25" style="1" bestFit="1" customWidth="1"/>
    <col min="2818" max="3072" width="9" style="1"/>
    <col min="3073" max="3073" width="25" style="1" bestFit="1" customWidth="1"/>
    <col min="3074" max="3328" width="9" style="1"/>
    <col min="3329" max="3329" width="25" style="1" bestFit="1" customWidth="1"/>
    <col min="3330" max="3584" width="9" style="1"/>
    <col min="3585" max="3585" width="25" style="1" bestFit="1" customWidth="1"/>
    <col min="3586" max="3840" width="9" style="1"/>
    <col min="3841" max="3841" width="25" style="1" bestFit="1" customWidth="1"/>
    <col min="3842" max="4096" width="9" style="1"/>
    <col min="4097" max="4097" width="25" style="1" bestFit="1" customWidth="1"/>
    <col min="4098" max="4352" width="9" style="1"/>
    <col min="4353" max="4353" width="25" style="1" bestFit="1" customWidth="1"/>
    <col min="4354" max="4608" width="9" style="1"/>
    <col min="4609" max="4609" width="25" style="1" bestFit="1" customWidth="1"/>
    <col min="4610" max="4864" width="9" style="1"/>
    <col min="4865" max="4865" width="25" style="1" bestFit="1" customWidth="1"/>
    <col min="4866" max="5120" width="9" style="1"/>
    <col min="5121" max="5121" width="25" style="1" bestFit="1" customWidth="1"/>
    <col min="5122" max="5376" width="9" style="1"/>
    <col min="5377" max="5377" width="25" style="1" bestFit="1" customWidth="1"/>
    <col min="5378" max="5632" width="9" style="1"/>
    <col min="5633" max="5633" width="25" style="1" bestFit="1" customWidth="1"/>
    <col min="5634" max="5888" width="9" style="1"/>
    <col min="5889" max="5889" width="25" style="1" bestFit="1" customWidth="1"/>
    <col min="5890" max="6144" width="9" style="1"/>
    <col min="6145" max="6145" width="25" style="1" bestFit="1" customWidth="1"/>
    <col min="6146" max="6400" width="9" style="1"/>
    <col min="6401" max="6401" width="25" style="1" bestFit="1" customWidth="1"/>
    <col min="6402" max="6656" width="9" style="1"/>
    <col min="6657" max="6657" width="25" style="1" bestFit="1" customWidth="1"/>
    <col min="6658" max="6912" width="9" style="1"/>
    <col min="6913" max="6913" width="25" style="1" bestFit="1" customWidth="1"/>
    <col min="6914" max="7168" width="9" style="1"/>
    <col min="7169" max="7169" width="25" style="1" bestFit="1" customWidth="1"/>
    <col min="7170" max="7424" width="9" style="1"/>
    <col min="7425" max="7425" width="25" style="1" bestFit="1" customWidth="1"/>
    <col min="7426" max="7680" width="9" style="1"/>
    <col min="7681" max="7681" width="25" style="1" bestFit="1" customWidth="1"/>
    <col min="7682" max="7936" width="9" style="1"/>
    <col min="7937" max="7937" width="25" style="1" bestFit="1" customWidth="1"/>
    <col min="7938" max="8192" width="9" style="1"/>
    <col min="8193" max="8193" width="25" style="1" bestFit="1" customWidth="1"/>
    <col min="8194" max="8448" width="9" style="1"/>
    <col min="8449" max="8449" width="25" style="1" bestFit="1" customWidth="1"/>
    <col min="8450" max="8704" width="9" style="1"/>
    <col min="8705" max="8705" width="25" style="1" bestFit="1" customWidth="1"/>
    <col min="8706" max="8960" width="9" style="1"/>
    <col min="8961" max="8961" width="25" style="1" bestFit="1" customWidth="1"/>
    <col min="8962" max="9216" width="9" style="1"/>
    <col min="9217" max="9217" width="25" style="1" bestFit="1" customWidth="1"/>
    <col min="9218" max="9472" width="9" style="1"/>
    <col min="9473" max="9473" width="25" style="1" bestFit="1" customWidth="1"/>
    <col min="9474" max="9728" width="9" style="1"/>
    <col min="9729" max="9729" width="25" style="1" bestFit="1" customWidth="1"/>
    <col min="9730" max="9984" width="9" style="1"/>
    <col min="9985" max="9985" width="25" style="1" bestFit="1" customWidth="1"/>
    <col min="9986" max="10240" width="9" style="1"/>
    <col min="10241" max="10241" width="25" style="1" bestFit="1" customWidth="1"/>
    <col min="10242" max="10496" width="9" style="1"/>
    <col min="10497" max="10497" width="25" style="1" bestFit="1" customWidth="1"/>
    <col min="10498" max="10752" width="9" style="1"/>
    <col min="10753" max="10753" width="25" style="1" bestFit="1" customWidth="1"/>
    <col min="10754" max="11008" width="9" style="1"/>
    <col min="11009" max="11009" width="25" style="1" bestFit="1" customWidth="1"/>
    <col min="11010" max="11264" width="9" style="1"/>
    <col min="11265" max="11265" width="25" style="1" bestFit="1" customWidth="1"/>
    <col min="11266" max="11520" width="9" style="1"/>
    <col min="11521" max="11521" width="25" style="1" bestFit="1" customWidth="1"/>
    <col min="11522" max="11776" width="9" style="1"/>
    <col min="11777" max="11777" width="25" style="1" bestFit="1" customWidth="1"/>
    <col min="11778" max="12032" width="9" style="1"/>
    <col min="12033" max="12033" width="25" style="1" bestFit="1" customWidth="1"/>
    <col min="12034" max="12288" width="9" style="1"/>
    <col min="12289" max="12289" width="25" style="1" bestFit="1" customWidth="1"/>
    <col min="12290" max="12544" width="9" style="1"/>
    <col min="12545" max="12545" width="25" style="1" bestFit="1" customWidth="1"/>
    <col min="12546" max="12800" width="9" style="1"/>
    <col min="12801" max="12801" width="25" style="1" bestFit="1" customWidth="1"/>
    <col min="12802" max="13056" width="9" style="1"/>
    <col min="13057" max="13057" width="25" style="1" bestFit="1" customWidth="1"/>
    <col min="13058" max="13312" width="9" style="1"/>
    <col min="13313" max="13313" width="25" style="1" bestFit="1" customWidth="1"/>
    <col min="13314" max="13568" width="9" style="1"/>
    <col min="13569" max="13569" width="25" style="1" bestFit="1" customWidth="1"/>
    <col min="13570" max="13824" width="9" style="1"/>
    <col min="13825" max="13825" width="25" style="1" bestFit="1" customWidth="1"/>
    <col min="13826" max="14080" width="9" style="1"/>
    <col min="14081" max="14081" width="25" style="1" bestFit="1" customWidth="1"/>
    <col min="14082" max="14336" width="9" style="1"/>
    <col min="14337" max="14337" width="25" style="1" bestFit="1" customWidth="1"/>
    <col min="14338" max="14592" width="9" style="1"/>
    <col min="14593" max="14593" width="25" style="1" bestFit="1" customWidth="1"/>
    <col min="14594" max="14848" width="9" style="1"/>
    <col min="14849" max="14849" width="25" style="1" bestFit="1" customWidth="1"/>
    <col min="14850" max="15104" width="9" style="1"/>
    <col min="15105" max="15105" width="25" style="1" bestFit="1" customWidth="1"/>
    <col min="15106" max="15360" width="9" style="1"/>
    <col min="15361" max="15361" width="25" style="1" bestFit="1" customWidth="1"/>
    <col min="15362" max="15616" width="9" style="1"/>
    <col min="15617" max="15617" width="25" style="1" bestFit="1" customWidth="1"/>
    <col min="15618" max="15872" width="9" style="1"/>
    <col min="15873" max="15873" width="25" style="1" bestFit="1" customWidth="1"/>
    <col min="15874" max="16128" width="9" style="1"/>
    <col min="16129" max="16129" width="25" style="1" bestFit="1" customWidth="1"/>
    <col min="16130" max="16384" width="9" style="1"/>
  </cols>
  <sheetData>
    <row r="1" spans="1:1">
      <c r="A1" s="1139" t="s">
        <v>1257</v>
      </c>
    </row>
    <row r="2" spans="1:1">
      <c r="A2" s="1139" t="s">
        <v>1262</v>
      </c>
    </row>
    <row r="3" spans="1:1">
      <c r="A3" s="1139" t="s">
        <v>1263</v>
      </c>
    </row>
    <row r="4" spans="1:1">
      <c r="A4" s="1139" t="s">
        <v>1264</v>
      </c>
    </row>
    <row r="5" spans="1:1">
      <c r="A5" s="1139" t="s">
        <v>1265</v>
      </c>
    </row>
    <row r="6" spans="1:1">
      <c r="A6" s="1139" t="s">
        <v>1258</v>
      </c>
    </row>
    <row r="7" spans="1:1">
      <c r="A7" s="1139" t="s">
        <v>1266</v>
      </c>
    </row>
    <row r="8" spans="1:1">
      <c r="A8" s="1139" t="s">
        <v>1267</v>
      </c>
    </row>
    <row r="9" spans="1:1">
      <c r="A9" s="1139" t="s">
        <v>1268</v>
      </c>
    </row>
    <row r="10" spans="1:1">
      <c r="A10" s="1139" t="s">
        <v>1259</v>
      </c>
    </row>
    <row r="11" spans="1:1">
      <c r="A11" s="1139" t="s">
        <v>1269</v>
      </c>
    </row>
    <row r="12" spans="1:1">
      <c r="A12" s="1139" t="s">
        <v>1260</v>
      </c>
    </row>
    <row r="13" spans="1:1">
      <c r="A13" s="1139" t="s">
        <v>1261</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46a6e238-150b-415e-8081-79808564e01f</GUID>
    <SOURCE_ALTADDRESS>$B$2:$N$36</SOURCE_ALTADDRESS>
    <SOURCETYPE>Table</SOURCETYPE>
    <SOURCE_OBJECTNAME>Linking_Range_3</SOURCE_OBJECTNAME>
    <OBJECTTYPE>Native</OBJECTTYPE>
    <SOURCE_SHEETCODE>Sheet27</SOURCE_SHEETCODE>
    <SOURCE_SHEETNAME>Variance</SOURCE_SHEETNAME>
    <SOURCEAPPLICATION>EXCEL_SOURCE</SOURCEAPPLICATION>
    <UPDATEDAT>5/7/2015 3:01:11 PM</UPDATEDAT>
    <SOURCE_ISOUTOFDATE>False</SOURCE_ISOUTOFDATE>
    <SOURCE_WORKBOOKNAME>REGN_MH.xlsm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/MSResearch/Content/ExternalAssets/2014-11/Images/iK91q1v7ri2vGqK1l4zQg--.png</TARGET_BINARYFULLNAME>
    <TARGET_STORYFULLNAME>/MSResearch/Content/ExternalAssets/2014-11/Sections/20141104_114511_Linking_Range_3.xml</TARGET_STORYFULLNAME>
    <TARGET_UUID>f17a058a-6441-11e4-9666-28a70841c2c6</TARGET_UUID>
    <TRANSPARENTBACKGROUND>False</TRANSPARENTBACKGROUND>
    <TRANSPARENTPLOTAREA>False</TRANSPARENTPLOTAREA>
    <LINKSTATUS>Unknown</LINKSTATUS>
    <EXTRACTSOURCEMODE>CopyToClipboard</EXTRACTSOURCEMODE>
  </Link>
  <Link>
    <GUID>955345e4-e542-4642-af73-613f7adb2cfd</GUID>
    <SOURCE_ALTADDRESS>$B$2:$BJ$41</SOURCE_ALTADDRESS>
    <SOURCETYPE>Table</SOURCETYPE>
    <SOURCE_OBJECTNAME>Linking_Range_5</SOURCE_OBJECTNAME>
    <OBJECTTYPE>Native</OBJECTTYPE>
    <SOURCE_SHEETCODE>Sheet6</SOURCE_SHEETCODE>
    <SOURCE_SHEETNAME>REVS</SOURCE_SHEETNAME>
    <SOURCEAPPLICATION>EXCEL_SOURCE</SOURCEAPPLICATION>
    <UPDATEDAT>5/7/2015 3:12:09 PM</UPDATEDAT>
    <SOURCE_ISOUTOFDATE>False</SOURCE_ISOUTOFDATE>
    <SOURCE_WORKBOOKNAME>REGN_MH.xlsm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/MSResearch/Content/ExternalAssets/2014-11/Images/nYCrfsnQxkS-RyUcSYTLEg--.png</TARGET_BINARYFULLNAME>
    <TARGET_STORYFULLNAME>/MSResearch/Content/ExternalAssets/2014-11/Sections/20141104_114646_Linking_Range_5.xml</TARGET_STORYFULLNAME>
    <TARGET_UUID>2a4946dc-6442-11e4-9666-28a70841c2c6</TARGET_UUID>
    <LINKSTATUS>Unknown</LINKSTATUS>
    <TRANSPARENTBACKGROUND>False</TRANSPARENTBACKGROUND>
    <TRANSPARENTPLOTAREA>False</TRANSPARENTPLOTAREA>
    <EXTRACTSOURCEMODE>CopyToClipboard</EXTRACTSOURCEMODE>
  </Link>
  <Link>
    <GUID>efbdbeb1-5833-4296-9bee-97e28401377c</GUID>
    <SOURCE_ALTADDRESS>$B$2:$BJ$91</SOURCE_ALTADDRESS>
    <SOURCETYPE>Table</SOURCETYPE>
    <SOURCE_OBJECTNAME>Linking_Range_4</SOURCE_OBJECTNAME>
    <OBJECTTYPE>Native</OBJECTTYPE>
    <SOURCE_SHEETCODE>Sheet3</SOURCE_SHEETCODE>
    <SOURCE_SHEETNAME>IS</SOURCE_SHEETNAME>
    <SOURCEAPPLICATION>EXCEL_SOURCE</SOURCEAPPLICATION>
    <UPDATEDAT>5/7/2015 3:14:30 PM</UPDATEDAT>
    <SOURCE_ISOUTOFDATE>False</SOURCE_ISOUTOFDATE>
    <SOURCE_WORKBOOKNAME>REGN_MH.xlsm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/MSResearch/Content/ExternalAssets/2014-11/Images/7J8jMDPynkKiYhzYM5NKFg--.png</TARGET_BINARYFULLNAME>
    <TARGET_STORYFULLNAME>/MSResearch/Content/ExternalAssets/2014-11/Sections/20141104_114549_Linking_Range_4.xml</TARGET_STORYFULLNAME>
    <TARGET_UUID>08218dda-6442-11e4-9666-28a70841c2c6</TARGET_UUID>
    <TRANSPARENTBACKGROUND>False</TRANSPARENTBACKGROUND>
    <TRANSPARENTPLOTAREA>False</TRANSPARENTPLOTAREA>
    <LINKSTATUS>Unknown</LINKSTATUS>
    <EXTRACTSOURCEMODE>CopyToClipboard</EXTRACTSOURCEMODE>
  </Link>
  <Link>
    <GUID>65a144cb-3432-4d1a-a845-0030cee69a51</GUID>
    <SOURCE_ALTADDRESS>$B$2:$BJ$43</SOURCE_ALTADDRESS>
    <SOURCETYPE>Table</SOURCETYPE>
    <SOURCE_OBJECTNAME>Linking_Range_6</SOURCE_OBJECTNAME>
    <OBJECTTYPE>Native</OBJECTTYPE>
    <SOURCE_SHEETCODE>Sheet4</SOURCE_SHEETCODE>
    <SOURCE_SHEETNAME>BS</SOURCE_SHEETNAME>
    <SOURCEAPPLICATION>EXCEL_SOURCE</SOURCEAPPLICATION>
    <UPDATEDAT>5/7/2015 3:15:23 PM</UPDATEDAT>
    <SOURCE_ISOUTOFDATE>False</SOURCE_ISOUTOFDATE>
    <SOURCE_WORKBOOKNAME>REGN_MH.xlsm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/MSResearch/Content/ExternalAssets/2014-11/Images/qetdjWBQ5U25avuxSHgiLQ--.png</TARGET_BINARYFULLNAME>
    <TARGET_STORYFULLNAME>/MSResearch/Content/ExternalAssets/2014-11/Sections/20141104_114602_Linking_Range_6.xml</TARGET_STORYFULLNAME>
    <TARGET_UUID>0fd71e0a-6442-11e4-9666-28a70841c2c6</TARGET_UUID>
    <TRANSPARENTBACKGROUND>False</TRANSPARENTBACKGROUND>
    <TRANSPARENTPLOTAREA>False</TRANSPARENTPLOTAREA>
    <LINKSTATUS>Unknown</LINKSTATUS>
    <EXTRACTSOURCEMODE>CopyToClipboard</EXTRACTSOURCEMODE>
  </Link>
  <Link>
    <GUID>dd8ba3cc-5ff5-45d1-8837-e89ec4433225</GUID>
    <SOURCE_ALTADDRESS>$B$2:$BJ$39</SOURCE_ALTADDRESS>
    <SOURCETYPE>Table</SOURCETYPE>
    <SOURCE_OBJECTNAME>Linking_Range_7</SOURCE_OBJECTNAME>
    <OBJECTTYPE>Native</OBJECTTYPE>
    <SOURCE_SHEETCODE>Sheet5</SOURCE_SHEETCODE>
    <SOURCE_SHEETNAME>CF</SOURCE_SHEETNAME>
    <SOURCEAPPLICATION>EXCEL_SOURCE</SOURCEAPPLICATION>
    <UPDATEDAT>5/7/2015 3:17:05 PM</UPDATEDAT>
    <SOURCE_ISOUTOFDATE>False</SOURCE_ISOUTOFDATE>
    <SOURCE_WORKBOOKNAME>REGN_MH.xlsm</SOURCE_WORKBOOKNAME>
    <SOURCE_WORKBOOKPATH>\\MSAD\ROOT\NA\NY\LIB\ER\HEALTH\Biotech\Harrison\Models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/MSResearch/Content/ExternalAssets/2014-11/Images/TFEiN-re3kOld6M3GUlgdQ--.png</TARGET_BINARYFULLNAME>
    <TARGET_STORYFULLNAME>/MSResearch/Content/ExternalAssets/2014-11/Sections/20141104_114612_Linking_Range_7.xml</TARGET_STORYFULLNAME>
    <TARGET_UUID>1620987c-6442-11e4-9666-28a70841c2c6</TARGET_UUID>
    <TRANSPARENTBACKGROUND>False</TRANSPARENTBACKGROUND>
    <TRANSPARENTPLOTAREA>False</TRANSPARENTPLOTAREA>
    <LINKSTATUS>Unknown</LINKSTATUS>
    <EXTRACTSOURCEMODE>CopyToClipboard</EXTRACTSOURCEMODE>
  </Link>
  <Link>
    <GUID>e553cc2d-ef5c-4bea-951b-b848b6190134</GUID>
    <SOURCETYPE>Chart</SOURCETYPE>
    <SOURCE_OBJECTNAME>MWA_Risk_Reward</SOURCE_OBJECTNAME>
    <SOURCE_SHEETCODE>MWRSSData</SOURCE_SHEETCODE>
    <SOURCE_SHEETNAME>MWA RR</SOURCE_SHEETNAME>
    <OBJECTTYPE>Native</OBJECTTYPE>
    <SOURCEAPPLICATION>EXCEL_SOURCE</SOURCEAPPLICATION>
    <UPDATEDAT>5/7/2015 3:20:58 PM</UPDATEDAT>
    <SOURCE_ISOUTOFDATE>False</SOURCE_ISOUTOFDATE>
    <SOURCE_WORKBOOKNAME>REGN_MH.xlsm</SOURCE_WORKBOOKNAME>
    <SOURCE_WORKBOOKPATH>\\MSAD\ROOT\NA\NY\LIB\ER\HEALTH\Biotech\Harrison\Models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/MSResearch/Content/ExternalAssets/2014-11/Images/A2diXvnuLUyGrQekRoG3_g--.png</TARGET_BINARYFULLNAME>
    <TARGET_STORYFULLNAME>/MSResearch/Content/ExternalAssets/2014-11/Sections/20141104_114408_MWA_Risk_Reward.xml</TARGET_STORYFULLNAME>
    <TARGET_UUID>cbb06df8-6441-11e4-9666-28a70841c2c6</TARGET_UUID>
    <LINKSTATUS>Unknown</LINKSTATUS>
    <HIDEGRIDLINES>False</HIDEGRIDLINES>
    <EXTRACTSOURCEMODE>CopyToClipboard</EXTRACTSOURCEMODE>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C8B07849-1087-4F24-8D5C-87F3EF7CFD2C}">
  <ds:schemaRefs>
    <ds:schemaRef ds:uri="thomsonreuters.linking.metadata"/>
  </ds:schemaRefs>
</ds:datastoreItem>
</file>

<file path=customXml/itemProps2.xml><?xml version="1.0" encoding="utf-8"?>
<ds:datastoreItem xmlns:ds="http://schemas.openxmlformats.org/officeDocument/2006/customXml" ds:itemID="{E093BF9C-4FCC-48AA-B11B-C4EBB6B1F9ED}">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94</vt:i4>
      </vt:variant>
    </vt:vector>
  </HeadingPairs>
  <TitlesOfParts>
    <vt:vector size="118" baseType="lpstr">
      <vt:lpstr>ImportantDisclosures</vt:lpstr>
      <vt:lpstr>DCF</vt:lpstr>
      <vt:lpstr>IS</vt:lpstr>
      <vt:lpstr>REVS</vt:lpstr>
      <vt:lpstr>BS</vt:lpstr>
      <vt:lpstr>CF</vt:lpstr>
      <vt:lpstr>Debt</vt:lpstr>
      <vt:lpstr>Product P&amp;L ---&gt;</vt:lpstr>
      <vt:lpstr>Eylea</vt:lpstr>
      <vt:lpstr>Historical Eye Sales</vt:lpstr>
      <vt:lpstr>Zaltrap</vt:lpstr>
      <vt:lpstr>Antibodies</vt:lpstr>
      <vt:lpstr>IO_Antibodies</vt:lpstr>
      <vt:lpstr>Project Costs</vt:lpstr>
      <vt:lpstr>Market Models ---&gt;</vt:lpstr>
      <vt:lpstr>Wet AMD</vt:lpstr>
      <vt:lpstr>DME</vt:lpstr>
      <vt:lpstr>Eylea Dosing Schedule</vt:lpstr>
      <vt:lpstr>PCSK9 Market</vt:lpstr>
      <vt:lpstr>Eosinophilic Asthma</vt:lpstr>
      <vt:lpstr>Atopic Dermatitis</vt:lpstr>
      <vt:lpstr>Historical IL-6 Sales</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Linking_12</vt:lpstr>
      <vt:lpstr>Linking_13</vt:lpstr>
      <vt:lpstr>Linking_14</vt:lpstr>
      <vt:lpstr>Linking_15</vt:lpstr>
      <vt:lpstr>Linking_16</vt:lpstr>
      <vt:lpstr>Linking_17</vt:lpstr>
      <vt:lpstr>Linking_18</vt:lpstr>
      <vt:lpstr>Linking_19</vt:lpstr>
      <vt:lpstr>Linking_2</vt:lpstr>
      <vt:lpstr>Linking_20</vt:lpstr>
      <vt:lpstr>Linking_21</vt:lpstr>
      <vt:lpstr>Linking_22</vt:lpstr>
      <vt:lpstr>Linking_3</vt:lpstr>
      <vt:lpstr>Linking_4</vt:lpstr>
      <vt:lpstr>Linking_5</vt:lpstr>
      <vt:lpstr>Linking_6</vt:lpstr>
      <vt:lpstr>Linking_7</vt:lpstr>
      <vt:lpstr>Linking_8</vt:lpstr>
      <vt:lpstr>Linking_9</vt:lpstr>
      <vt:lpstr>Linking_Range_2</vt:lpstr>
      <vt:lpstr>Linking_Range_4</vt:lpstr>
      <vt:lpstr>Linking_Range_5</vt:lpstr>
      <vt:lpstr>Linking_Range_6</vt:lpstr>
      <vt:lpstr>Linking_Range_7</vt:lpstr>
      <vt:lpstr>Linking_Range_8</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2011-11-14T15:24:44Z</dcterms:created>
  <dc:creator>Harrison, Matthew (Research)</dc:creator>
  <cp:lastModifiedBy>Purohit, Vikram (Research)</cp:lastModifiedBy>
  <cp:lastPrinted>2018-02-09T03:29:08Z</cp:lastPrinted>
  <dcterms:modified xsi:type="dcterms:W3CDTF">2018-04-13T14:46:32Z</dcterms:modified>
  <dc:title>Regeneron Model</dc:title>
</cp:coreProperties>
</file>

<file path=docProps/custom.xml><?xml version="1.0" encoding="utf-8"?>
<Properties xmlns="http://schemas.openxmlformats.org/officeDocument/2006/custom-properties" xmlns:vt="http://schemas.openxmlformats.org/officeDocument/2006/docPropsVTypes">
  <property fmtid="{D5CDD505-2E9C-101B-9397-08002B2CF9AE}" name="AK_Version" pid="2">
    <vt:lpwstr>2.0.8</vt:lpwstr>
  </property>
  <property fmtid="{D5CDD505-2E9C-101B-9397-08002B2CF9AE}" name="Language" pid="3">
    <vt:lpwstr>1033</vt:lpwstr>
  </property>
  <property fmtid="{D5CDD505-2E9C-101B-9397-08002B2CF9AE}" name="Create_Backup" pid="4">
    <vt:lpwstr>3</vt:lpwstr>
  </property>
  <property fmtid="{D5CDD505-2E9C-101B-9397-08002B2CF9AE}" name="Workbook_Font" pid="5">
    <vt:lpwstr>Frutiger 45 Light</vt:lpwstr>
  </property>
  <property fmtid="{D5CDD505-2E9C-101B-9397-08002B2CF9AE}" name="Workbook_FontSize" pid="6">
    <vt:lpwstr>10</vt:lpwstr>
  </property>
  <property fmtid="{D5CDD505-2E9C-101B-9397-08002B2CF9AE}" name="Average_Translated" pid="7">
    <vt:lpwstr>Average</vt:lpwstr>
  </property>
  <property fmtid="{D5CDD505-2E9C-101B-9397-08002B2CF9AE}" name="Thick_Lines" pid="8">
    <vt:lpwstr>0</vt:lpwstr>
  </property>
  <property fmtid="{D5CDD505-2E9C-101B-9397-08002B2CF9AE}" name="Num_Categories_On_XAxis" pid="9">
    <vt:lpwstr>6</vt:lpwstr>
  </property>
  <property fmtid="{D5CDD505-2E9C-101B-9397-08002B2CF9AE}" name="Share_PX_Label" pid="10">
    <vt:lpwstr>Stock Price</vt:lpwstr>
  </property>
  <property fmtid="{D5CDD505-2E9C-101B-9397-08002B2CF9AE}" name="Volume_Label" pid="11">
    <vt:lpwstr>Volume (000s)</vt:lpwstr>
  </property>
  <property fmtid="{D5CDD505-2E9C-101B-9397-08002B2CF9AE}" name="Stock_Volume_XAxis_Label" pid="12">
    <vt:lpwstr>Closing Date</vt:lpwstr>
  </property>
  <property fmtid="{D5CDD505-2E9C-101B-9397-08002B2CF9AE}" name="Pie_Chart_Labels" pid="13">
    <vt:lpwstr>-1</vt:lpwstr>
  </property>
  <property fmtid="{D5CDD505-2E9C-101B-9397-08002B2CF9AE}" name="Pie_Chart_Legend" pid="14">
    <vt:lpwstr>0</vt:lpwstr>
  </property>
  <property fmtid="{D5CDD505-2E9C-101B-9397-08002B2CF9AE}" name="Annotation_Add_Date" pid="15">
    <vt:lpwstr>-1</vt:lpwstr>
  </property>
  <property fmtid="{D5CDD505-2E9C-101B-9397-08002B2CF9AE}" name="Annotation_Date_Bold" pid="16">
    <vt:lpwstr>-1</vt:lpwstr>
  </property>
  <property fmtid="{D5CDD505-2E9C-101B-9397-08002B2CF9AE}" name="Annotation_Date_Format" pid="17">
    <vt:lpwstr>F1</vt:lpwstr>
  </property>
  <property fmtid="{D5CDD505-2E9C-101B-9397-08002B2CF9AE}" name="Chart_Format" pid="18">
    <vt:lpwstr>1</vt:lpwstr>
  </property>
  <property fmtid="{D5CDD505-2E9C-101B-9397-08002B2CF9AE}" name="UpgradeColorScheme" pid="19">
    <vt:lpwstr>No</vt:lpwstr>
  </property>
  <property fmtid="{D5CDD505-2E9C-101B-9397-08002B2CF9AE}" name="ShowGridlines" pid="20">
    <vt:lpwstr>-1</vt:lpwstr>
  </property>
  <property fmtid="{D5CDD505-2E9C-101B-9397-08002B2CF9AE}" name="ShowYAxis" pid="21">
    <vt:lpwstr>0</vt:lpwstr>
  </property>
  <property fmtid="{D5CDD505-2E9C-101B-9397-08002B2CF9AE}" name="UseStackWhiteBorder" pid="22">
    <vt:lpwstr>-1</vt:lpwstr>
  </property>
  <property fmtid="{D5CDD505-2E9C-101B-9397-08002B2CF9AE}" name="UseDashStyle" pid="23">
    <vt:lpwstr>0</vt:lpwstr>
  </property>
  <property fmtid="{D5CDD505-2E9C-101B-9397-08002B2CF9AE}" name="LinkingAutoNameNumberLinking_Range_" pid="24">
    <vt:lpwstr>8</vt:lpwstr>
  </property>
  <property fmtid="{D5CDD505-2E9C-101B-9397-08002B2CF9AE}" name="{A44787D4-0540-4523-9961-78E4036D8C6D}" pid="25">
    <vt:lpwstr>{DEA14E39-B302-4474-9ED2-280106D5A933}</vt:lpwstr>
  </property>
  <property fmtid="{D5CDD505-2E9C-101B-9397-08002B2CF9AE}" name="ERModPubTicket" pid="26">
    <vt:lpwstr>NA</vt:lpwstr>
  </property>
  <property fmtid="{D5CDD505-2E9C-101B-9397-08002B2CF9AE}" name="ERCompanyUploadState" pid="27">
    <vt:lpwstr>P</vt:lpwstr>
  </property>
  <property fmtid="{D5CDD505-2E9C-101B-9397-08002B2CF9AE}" name="ModelId" pid="28">
    <vt:lpwstr>761556</vt:lpwstr>
  </property>
  <property fmtid="{D5CDD505-2E9C-101B-9397-08002B2CF9AE}" name="ERModPubCompanyName" pid="29">
    <vt:lpwstr>Regeneron Pharmaceuticals Inc.</vt:lpwstr>
  </property>
  <property fmtid="{D5CDD505-2E9C-101B-9397-08002B2CF9AE}" name="MSDH34TAG" pid="30">
    <vt:lpwstr>.TEZUF76X5TAHATHESADREYAK-00-INB160+*94600-06=79d81064/-3f29/-11e8/-b3f7/-7a79cfe26848,MD=20180413111417/-0400,ZZ=000Z-6385.</vt:lpwstr>
  </property>
</Properties>
</file>